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5135" windowHeight="813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Print_Area" localSheetId="0">Hoja1!$A$1:$N$1510</definedName>
  </definedNames>
  <calcPr calcId="152511"/>
</workbook>
</file>

<file path=xl/calcChain.xml><?xml version="1.0" encoding="utf-8"?>
<calcChain xmlns="http://schemas.openxmlformats.org/spreadsheetml/2006/main">
  <c r="J787" i="1" l="1"/>
  <c r="F1502" i="1" l="1"/>
  <c r="C1485" i="1"/>
  <c r="I1484" i="1"/>
  <c r="L1485" i="1" s="1"/>
  <c r="J1480" i="1"/>
  <c r="I1482" i="1" s="1"/>
  <c r="K1475" i="1"/>
  <c r="E1475" i="1"/>
  <c r="F1458" i="1"/>
  <c r="F1457" i="1"/>
  <c r="F1463" i="1" s="1"/>
  <c r="J1473" i="1" s="1"/>
  <c r="L1487" i="1"/>
  <c r="D1370" i="1"/>
  <c r="AH1430" i="1"/>
  <c r="AA1430" i="1"/>
  <c r="T1429" i="1"/>
  <c r="L1418" i="1"/>
  <c r="C1421" i="1"/>
  <c r="D1421" i="1"/>
  <c r="E1421" i="1"/>
  <c r="F1421" i="1"/>
  <c r="G1421" i="1"/>
  <c r="H1421" i="1"/>
  <c r="I1421" i="1"/>
  <c r="B1421" i="1"/>
  <c r="I1407" i="1"/>
  <c r="B1395" i="1"/>
  <c r="E1398" i="1"/>
  <c r="I1405" i="1" s="1"/>
  <c r="F1407" i="1" s="1"/>
  <c r="F1391" i="1"/>
  <c r="I1410" i="1"/>
  <c r="D1404" i="1"/>
  <c r="E1399" i="1"/>
  <c r="F1392" i="1"/>
  <c r="K1392" i="1" s="1"/>
  <c r="I1395" i="1" s="1"/>
  <c r="F1384" i="1"/>
  <c r="E1383" i="1"/>
  <c r="C1224" i="1"/>
  <c r="F1227" i="1" s="1"/>
  <c r="F1220" i="1"/>
  <c r="G1157" i="1"/>
  <c r="G1347" i="1"/>
  <c r="D1326" i="1"/>
  <c r="E1338" i="1"/>
  <c r="F1290" i="1"/>
  <c r="F1300" i="1" s="1"/>
  <c r="G1263" i="1"/>
  <c r="F1262" i="1"/>
  <c r="F1261" i="1"/>
  <c r="B1261" i="1"/>
  <c r="E1330" i="1"/>
  <c r="H1322" i="1"/>
  <c r="C1322" i="1"/>
  <c r="G1269" i="1"/>
  <c r="G1270" i="1" s="1"/>
  <c r="E1225" i="1"/>
  <c r="C1226" i="1" s="1"/>
  <c r="F1228" i="1" s="1"/>
  <c r="E1232" i="1" s="1"/>
  <c r="E1252" i="1"/>
  <c r="E1243" i="1"/>
  <c r="F1243" i="1" s="1"/>
  <c r="E1242" i="1"/>
  <c r="I1247" i="1" s="1"/>
  <c r="F1249" i="1" s="1"/>
  <c r="C1233" i="1"/>
  <c r="C1234" i="1" s="1"/>
  <c r="D1234" i="1" s="1"/>
  <c r="F1221" i="1"/>
  <c r="E1231" i="1" s="1"/>
  <c r="E1212" i="1"/>
  <c r="I1252" i="1"/>
  <c r="D1246" i="1"/>
  <c r="F1213" i="1"/>
  <c r="H1197" i="1"/>
  <c r="G1194" i="1"/>
  <c r="E1190" i="1"/>
  <c r="G1193" i="1" s="1"/>
  <c r="J1153" i="1"/>
  <c r="D1140" i="1"/>
  <c r="H1136" i="1"/>
  <c r="C1136" i="1"/>
  <c r="E1144" i="1"/>
  <c r="F1104" i="1"/>
  <c r="K1129" i="1" s="1"/>
  <c r="E1148" i="1" s="1"/>
  <c r="G1090" i="1"/>
  <c r="G1091" i="1" s="1"/>
  <c r="K1091" i="1" s="1"/>
  <c r="F1083" i="1"/>
  <c r="F1082" i="1"/>
  <c r="B1082" i="1"/>
  <c r="B999" i="1"/>
  <c r="B1000" i="1" s="1"/>
  <c r="M1043" i="1"/>
  <c r="L1042" i="1"/>
  <c r="I1036" i="1"/>
  <c r="J1026" i="1"/>
  <c r="E1021" i="1"/>
  <c r="L1021" i="1" s="1"/>
  <c r="E1023" i="1" s="1"/>
  <c r="Q968" i="1"/>
  <c r="Q963" i="1"/>
  <c r="Q958" i="1"/>
  <c r="B958" i="1" s="1"/>
  <c r="B948" i="1"/>
  <c r="F949" i="1"/>
  <c r="F948" i="1"/>
  <c r="B989" i="1"/>
  <c r="B944" i="1"/>
  <c r="B923" i="1"/>
  <c r="B918" i="1"/>
  <c r="M28" i="1"/>
  <c r="C954" i="1" s="1"/>
  <c r="B968" i="1" s="1"/>
  <c r="M27" i="1"/>
  <c r="C908" i="1" s="1"/>
  <c r="B913" i="1"/>
  <c r="F904" i="1"/>
  <c r="F903" i="1"/>
  <c r="B903" i="1"/>
  <c r="K1395" i="1" l="1"/>
  <c r="C1487" i="1"/>
  <c r="J1489" i="1" s="1"/>
  <c r="B1491" i="1" s="1"/>
  <c r="E1476" i="1"/>
  <c r="B1492" i="1" s="1"/>
  <c r="G1491" i="1" s="1"/>
  <c r="E1465" i="1"/>
  <c r="K1466" i="1" s="1"/>
  <c r="H1407" i="1"/>
  <c r="F1393" i="1"/>
  <c r="H1384" i="1"/>
  <c r="F1114" i="1"/>
  <c r="E1404" i="1"/>
  <c r="I1157" i="1"/>
  <c r="F1399" i="1"/>
  <c r="M1407" i="1"/>
  <c r="I1347" i="1"/>
  <c r="K1315" i="1"/>
  <c r="E1334" i="1" s="1"/>
  <c r="L1334" i="1" s="1"/>
  <c r="K1270" i="1"/>
  <c r="E1044" i="1"/>
  <c r="G1195" i="1"/>
  <c r="K1195" i="1" s="1"/>
  <c r="H1213" i="1"/>
  <c r="D1322" i="1"/>
  <c r="I1322" i="1"/>
  <c r="F1148" i="1"/>
  <c r="L1148" i="1"/>
  <c r="E1150" i="1" s="1"/>
  <c r="I1136" i="1"/>
  <c r="D1130" i="1"/>
  <c r="E1130" i="1" s="1"/>
  <c r="G1234" i="1"/>
  <c r="H1234" i="1" s="1"/>
  <c r="E1246" i="1"/>
  <c r="D1136" i="1"/>
  <c r="C953" i="1"/>
  <c r="B914" i="1"/>
  <c r="G919" i="1" s="1"/>
  <c r="B960" i="1"/>
  <c r="G973" i="1" s="1"/>
  <c r="Q970" i="1"/>
  <c r="C909" i="1"/>
  <c r="B915" i="1" s="1"/>
  <c r="G928" i="1" s="1"/>
  <c r="Q960" i="1"/>
  <c r="B924" i="1"/>
  <c r="G921" i="1" s="1"/>
  <c r="G1493" i="1" l="1"/>
  <c r="G1495" i="1" s="1"/>
  <c r="H1491" i="1"/>
  <c r="D1316" i="1"/>
  <c r="E1316" i="1" s="1"/>
  <c r="B1335" i="1"/>
  <c r="E1336" i="1"/>
  <c r="Q969" i="1"/>
  <c r="F1334" i="1"/>
  <c r="B959" i="1"/>
  <c r="G964" i="1" s="1"/>
  <c r="B1149" i="1"/>
  <c r="Q959" i="1"/>
  <c r="B925" i="1"/>
  <c r="G930" i="1" s="1"/>
  <c r="F1222" i="1"/>
  <c r="F1229" i="1"/>
  <c r="D874" i="1"/>
  <c r="D873" i="1"/>
  <c r="I871" i="1"/>
  <c r="I870" i="1"/>
  <c r="L873" i="1" s="1"/>
  <c r="G875" i="1" s="1"/>
  <c r="C863" i="1"/>
  <c r="C850" i="1"/>
  <c r="E810" i="1"/>
  <c r="D676" i="1"/>
  <c r="D675" i="1"/>
  <c r="E600" i="1"/>
  <c r="G602" i="1" s="1"/>
  <c r="D603" i="1"/>
  <c r="D602" i="1"/>
  <c r="M891" i="1"/>
  <c r="H258" i="1"/>
  <c r="E873" i="1" l="1"/>
  <c r="E438" i="1"/>
  <c r="E439" i="1"/>
  <c r="G603" i="1"/>
  <c r="I478" i="1"/>
  <c r="L479" i="1" s="1"/>
  <c r="J474" i="1"/>
  <c r="I476" i="1" s="1"/>
  <c r="E469" i="1"/>
  <c r="E437" i="1"/>
  <c r="D439" i="1"/>
  <c r="D438" i="1"/>
  <c r="D437" i="1"/>
  <c r="E436" i="1"/>
  <c r="J1443" i="1" s="1"/>
  <c r="C1447" i="1" s="1"/>
  <c r="G1453" i="1" s="1"/>
  <c r="D436" i="1"/>
  <c r="I1443" i="1" s="1"/>
  <c r="B1447" i="1" s="1"/>
  <c r="G1452" i="1" s="1"/>
  <c r="J1452" i="1" s="1"/>
  <c r="G1497" i="1" s="1"/>
  <c r="E1499" i="1" s="1"/>
  <c r="G1499" i="1" s="1"/>
  <c r="L1502" i="1" l="1"/>
  <c r="F1503" i="1" s="1"/>
  <c r="L1504" i="1" s="1"/>
  <c r="J1453" i="1"/>
  <c r="I1495" i="1" s="1"/>
  <c r="B1469" i="1"/>
  <c r="E1469" i="1" s="1"/>
  <c r="K1469" i="1" s="1"/>
  <c r="J1471" i="1" s="1"/>
  <c r="H1506" i="1"/>
  <c r="E1507" i="1" s="1"/>
  <c r="H1507" i="1" s="1"/>
  <c r="E415" i="1"/>
  <c r="I420" i="1" s="1"/>
  <c r="F422" i="1" s="1"/>
  <c r="J395" i="1"/>
  <c r="F402" i="1" s="1"/>
  <c r="J394" i="1"/>
  <c r="F401" i="1" s="1"/>
  <c r="D395" i="1"/>
  <c r="F398" i="1" s="1"/>
  <c r="D394" i="1"/>
  <c r="F397" i="1" s="1"/>
  <c r="F387" i="1"/>
  <c r="E386" i="1"/>
  <c r="G337" i="1"/>
  <c r="D355" i="1" s="1"/>
  <c r="D308" i="1"/>
  <c r="D307" i="1"/>
  <c r="D302" i="1"/>
  <c r="D300" i="1"/>
  <c r="J278" i="1"/>
  <c r="D296" i="1" s="1"/>
  <c r="D883" i="1" s="1"/>
  <c r="G883" i="1" s="1"/>
  <c r="L306" i="1"/>
  <c r="H259" i="1"/>
  <c r="H32" i="1"/>
  <c r="J1069" i="1"/>
  <c r="F1069" i="1"/>
  <c r="B1069" i="1"/>
  <c r="E1031" i="1"/>
  <c r="K1031" i="1" s="1"/>
  <c r="G1003" i="1"/>
  <c r="F1021" i="1"/>
  <c r="J1017" i="1"/>
  <c r="E1017" i="1"/>
  <c r="H1014" i="1"/>
  <c r="C1014" i="1"/>
  <c r="D1008" i="1"/>
  <c r="E1008" i="1" s="1"/>
  <c r="B996" i="1"/>
  <c r="I878" i="1"/>
  <c r="I864" i="1"/>
  <c r="L776" i="1"/>
  <c r="L775" i="1"/>
  <c r="L774" i="1"/>
  <c r="J851" i="1"/>
  <c r="F858" i="1" s="1"/>
  <c r="E862" i="1" s="1"/>
  <c r="C851" i="1"/>
  <c r="F854" i="1" s="1"/>
  <c r="F853" i="1"/>
  <c r="E811" i="1"/>
  <c r="G741" i="1"/>
  <c r="G742" i="1" s="1"/>
  <c r="K742" i="1" s="1"/>
  <c r="B733" i="1"/>
  <c r="B794" i="1" s="1"/>
  <c r="E878" i="1" s="1"/>
  <c r="F700" i="1"/>
  <c r="F629" i="1"/>
  <c r="F561" i="1"/>
  <c r="F496" i="1"/>
  <c r="C684" i="1"/>
  <c r="B611" i="1"/>
  <c r="C542" i="1"/>
  <c r="C479" i="1"/>
  <c r="G652" i="1"/>
  <c r="G651" i="1"/>
  <c r="X981" i="1" s="1"/>
  <c r="D683" i="1"/>
  <c r="L684" i="1" s="1"/>
  <c r="E680" i="1"/>
  <c r="D681" i="1" s="1"/>
  <c r="E673" i="1"/>
  <c r="E672" i="1"/>
  <c r="G580" i="1"/>
  <c r="G579" i="1"/>
  <c r="K579" i="1" s="1"/>
  <c r="B625" i="1" s="1"/>
  <c r="D610" i="1"/>
  <c r="L611" i="1" s="1"/>
  <c r="E607" i="1"/>
  <c r="D608" i="1" s="1"/>
  <c r="E601" i="1"/>
  <c r="G508" i="1"/>
  <c r="B525" i="1" s="1"/>
  <c r="G507" i="1"/>
  <c r="K507" i="1" s="1"/>
  <c r="B557" i="1" s="1"/>
  <c r="I541" i="1"/>
  <c r="M543" i="1" s="1"/>
  <c r="F539" i="1"/>
  <c r="D540" i="1" s="1"/>
  <c r="D533" i="1"/>
  <c r="E532" i="1"/>
  <c r="K469" i="1"/>
  <c r="G444" i="1"/>
  <c r="G443" i="1"/>
  <c r="X979" i="1" s="1"/>
  <c r="X980" i="1" s="1"/>
  <c r="I425" i="1"/>
  <c r="C425" i="1"/>
  <c r="D419" i="1"/>
  <c r="E416" i="1"/>
  <c r="F416" i="1" s="1"/>
  <c r="C407" i="1"/>
  <c r="G408" i="1" s="1"/>
  <c r="H408" i="1" s="1"/>
  <c r="D351" i="1"/>
  <c r="G314" i="1"/>
  <c r="H280" i="1"/>
  <c r="D298" i="1" s="1"/>
  <c r="H260" i="1"/>
  <c r="F266" i="1" s="1"/>
  <c r="H270" i="1" s="1"/>
  <c r="L270" i="1" s="1"/>
  <c r="L271" i="1" s="1"/>
  <c r="H256" i="1"/>
  <c r="H255" i="1"/>
  <c r="A91" i="1"/>
  <c r="E66" i="1"/>
  <c r="J34" i="1"/>
  <c r="B181" i="1"/>
  <c r="I180" i="1"/>
  <c r="H184" i="1" s="1"/>
  <c r="K223" i="1"/>
  <c r="I223" i="1"/>
  <c r="G223" i="1"/>
  <c r="E223" i="1"/>
  <c r="C223" i="1"/>
  <c r="D223" i="1"/>
  <c r="F223" i="1"/>
  <c r="H223" i="1"/>
  <c r="J223" i="1"/>
  <c r="B223" i="1"/>
  <c r="N220" i="1"/>
  <c r="L220" i="1"/>
  <c r="J220" i="1"/>
  <c r="H220" i="1"/>
  <c r="F220" i="1"/>
  <c r="D220" i="1"/>
  <c r="E220" i="1"/>
  <c r="C220" i="1"/>
  <c r="G220" i="1"/>
  <c r="I220" i="1"/>
  <c r="K220" i="1"/>
  <c r="M220" i="1"/>
  <c r="E115" i="1"/>
  <c r="D107" i="1"/>
  <c r="L68" i="1"/>
  <c r="E65" i="1"/>
  <c r="C53" i="1"/>
  <c r="G26" i="1"/>
  <c r="F25" i="1"/>
  <c r="D653" i="1" s="1"/>
  <c r="F24" i="1"/>
  <c r="D581" i="1" s="1"/>
  <c r="F20" i="1"/>
  <c r="F18" i="1"/>
  <c r="I55" i="1" s="1"/>
  <c r="K55" i="1" s="1"/>
  <c r="D58" i="1" s="1"/>
  <c r="I58" i="1" s="1"/>
  <c r="G13" i="1"/>
  <c r="M76" i="1" s="1"/>
  <c r="H1504" i="1" l="1"/>
  <c r="L1507" i="1"/>
  <c r="B1083" i="1"/>
  <c r="C1085" i="1" s="1"/>
  <c r="B1097" i="1" s="1"/>
  <c r="B1098" i="1" s="1"/>
  <c r="B1099" i="1" s="1"/>
  <c r="B1100" i="1" s="1"/>
  <c r="B1101" i="1" s="1"/>
  <c r="B1102" i="1" s="1"/>
  <c r="B1103" i="1" s="1"/>
  <c r="B1262" i="1"/>
  <c r="C1264" i="1" s="1"/>
  <c r="B1279" i="1" s="1"/>
  <c r="B1280" i="1" s="1"/>
  <c r="B1281" i="1" s="1"/>
  <c r="B1282" i="1" s="1"/>
  <c r="X982" i="1"/>
  <c r="B904" i="1"/>
  <c r="C906" i="1" s="1"/>
  <c r="G918" i="1" s="1"/>
  <c r="J279" i="1"/>
  <c r="D297" i="1" s="1"/>
  <c r="D884" i="1" s="1"/>
  <c r="G884" i="1" s="1"/>
  <c r="J281" i="1"/>
  <c r="D299" i="1" s="1"/>
  <c r="D886" i="1" s="1"/>
  <c r="G886" i="1" s="1"/>
  <c r="F22" i="1"/>
  <c r="M29" i="1"/>
  <c r="M30" i="1"/>
  <c r="D761" i="1"/>
  <c r="C973" i="1"/>
  <c r="C975" i="1" s="1"/>
  <c r="G967" i="1" s="1"/>
  <c r="C928" i="1"/>
  <c r="C929" i="1" s="1"/>
  <c r="G922" i="1" s="1"/>
  <c r="G676" i="1"/>
  <c r="G675" i="1"/>
  <c r="I855" i="1"/>
  <c r="H387" i="1"/>
  <c r="D328" i="1"/>
  <c r="M887" i="1"/>
  <c r="I325" i="1"/>
  <c r="D327" i="1" s="1"/>
  <c r="D885" i="1"/>
  <c r="G885" i="1" s="1"/>
  <c r="K580" i="1"/>
  <c r="B593" i="1"/>
  <c r="E593" i="1" s="1"/>
  <c r="K761" i="1"/>
  <c r="L307" i="1"/>
  <c r="K652" i="1"/>
  <c r="F665" i="1"/>
  <c r="H665" i="1" s="1"/>
  <c r="E626" i="1"/>
  <c r="G626" i="1" s="1"/>
  <c r="K508" i="1"/>
  <c r="E525" i="1"/>
  <c r="J444" i="1"/>
  <c r="B462" i="1"/>
  <c r="E462" i="1" s="1"/>
  <c r="E419" i="1"/>
  <c r="C408" i="1"/>
  <c r="D408" i="1" s="1"/>
  <c r="F307" i="1"/>
  <c r="F302" i="1"/>
  <c r="F308" i="1"/>
  <c r="F300" i="1"/>
  <c r="E298" i="1"/>
  <c r="F298" i="1"/>
  <c r="F296" i="1"/>
  <c r="E296" i="1"/>
  <c r="H300" i="1"/>
  <c r="I60" i="1"/>
  <c r="I61" i="1" s="1"/>
  <c r="L55" i="1"/>
  <c r="C613" i="1"/>
  <c r="G811" i="1"/>
  <c r="K651" i="1"/>
  <c r="B696" i="1" s="1"/>
  <c r="E697" i="1" s="1"/>
  <c r="G697" i="1" s="1"/>
  <c r="I778" i="1"/>
  <c r="L778" i="1" s="1"/>
  <c r="F777" i="1" s="1"/>
  <c r="J850" i="1" s="1"/>
  <c r="D189" i="1"/>
  <c r="I18" i="1"/>
  <c r="F37" i="1" s="1"/>
  <c r="G109" i="1" s="1"/>
  <c r="L855" i="1"/>
  <c r="L1017" i="1"/>
  <c r="G268" i="1"/>
  <c r="J871" i="1"/>
  <c r="J1014" i="1"/>
  <c r="E767" i="1"/>
  <c r="B799" i="1"/>
  <c r="J35" i="1"/>
  <c r="F78" i="1"/>
  <c r="A84" i="1" s="1"/>
  <c r="B84" i="1" s="1"/>
  <c r="D88" i="1" s="1"/>
  <c r="E116" i="1"/>
  <c r="L116" i="1" s="1"/>
  <c r="F19" i="1"/>
  <c r="I19" i="1" s="1"/>
  <c r="L686" i="1"/>
  <c r="J656" i="1"/>
  <c r="C686" i="1" s="1"/>
  <c r="J655" i="1"/>
  <c r="L584" i="1"/>
  <c r="L613" i="1"/>
  <c r="L583" i="1"/>
  <c r="M604" i="1" s="1"/>
  <c r="E558" i="1"/>
  <c r="G558" i="1" s="1"/>
  <c r="D1059" i="1"/>
  <c r="F1032" i="1"/>
  <c r="H1034" i="1" s="1"/>
  <c r="E1038" i="1" s="1"/>
  <c r="C1004" i="1"/>
  <c r="J293" i="1"/>
  <c r="D309" i="1" s="1"/>
  <c r="D893" i="1" s="1"/>
  <c r="G893" i="1" s="1"/>
  <c r="J284" i="1"/>
  <c r="D301" i="1" s="1"/>
  <c r="D888" i="1" s="1"/>
  <c r="G888" i="1" s="1"/>
  <c r="J290" i="1"/>
  <c r="D306" i="1" s="1"/>
  <c r="D890" i="1" s="1"/>
  <c r="G890" i="1" s="1"/>
  <c r="E425" i="1"/>
  <c r="F403" i="1"/>
  <c r="E406" i="1"/>
  <c r="E405" i="1"/>
  <c r="F399" i="1"/>
  <c r="B798" i="1"/>
  <c r="F855" i="1"/>
  <c r="G188" i="1"/>
  <c r="E861" i="1"/>
  <c r="I185" i="1"/>
  <c r="G189" i="1"/>
  <c r="M403" i="1"/>
  <c r="C1003" i="1"/>
  <c r="C1057" i="1" s="1"/>
  <c r="I184" i="1"/>
  <c r="D1014" i="1"/>
  <c r="B1001" i="1"/>
  <c r="B1002" i="1" s="1"/>
  <c r="H185" i="1"/>
  <c r="D188" i="1"/>
  <c r="J443" i="1"/>
  <c r="G491" i="1" s="1"/>
  <c r="F1017" i="1"/>
  <c r="M399" i="1"/>
  <c r="B1046" i="1"/>
  <c r="D1112" i="1" l="1"/>
  <c r="F23" i="1"/>
  <c r="D509" i="1" s="1"/>
  <c r="F513" i="1" s="1"/>
  <c r="D543" i="1" s="1"/>
  <c r="J1358" i="1"/>
  <c r="F1372" i="1" s="1"/>
  <c r="B1200" i="1"/>
  <c r="I1200" i="1" s="1"/>
  <c r="F1272" i="1" s="1"/>
  <c r="B1139" i="1"/>
  <c r="G1150" i="1" s="1"/>
  <c r="B1283" i="1"/>
  <c r="B1284" i="1" s="1"/>
  <c r="E1059" i="1"/>
  <c r="I1061" i="1"/>
  <c r="J1063" i="1" s="1"/>
  <c r="H1064" i="1" s="1"/>
  <c r="I1034" i="1"/>
  <c r="C955" i="1"/>
  <c r="Q964" i="1" s="1"/>
  <c r="C910" i="1"/>
  <c r="B919" i="1" s="1"/>
  <c r="G920" i="1" s="1"/>
  <c r="L918" i="1" s="1"/>
  <c r="L919" i="1" s="1"/>
  <c r="L920" i="1" s="1"/>
  <c r="L921" i="1" s="1"/>
  <c r="L922" i="1" s="1"/>
  <c r="L923" i="1" s="1"/>
  <c r="L924" i="1" s="1"/>
  <c r="C911" i="1"/>
  <c r="B920" i="1" s="1"/>
  <c r="G929" i="1" s="1"/>
  <c r="L927" i="1" s="1"/>
  <c r="C956" i="1"/>
  <c r="E299" i="1"/>
  <c r="D445" i="1"/>
  <c r="F448" i="1" s="1"/>
  <c r="E470" i="1" s="1"/>
  <c r="F299" i="1"/>
  <c r="F857" i="1"/>
  <c r="F859" i="1" s="1"/>
  <c r="I859" i="1" s="1"/>
  <c r="L859" i="1"/>
  <c r="G329" i="1"/>
  <c r="D333" i="1"/>
  <c r="M888" i="1"/>
  <c r="D801" i="1"/>
  <c r="D332" i="1"/>
  <c r="E493" i="1"/>
  <c r="G493" i="1" s="1"/>
  <c r="G659" i="1"/>
  <c r="I670" i="1" s="1"/>
  <c r="M674" i="1"/>
  <c r="B691" i="1" s="1"/>
  <c r="H690" i="1" s="1"/>
  <c r="H692" i="1" s="1"/>
  <c r="I693" i="1" s="1"/>
  <c r="E297" i="1"/>
  <c r="F297" i="1"/>
  <c r="E306" i="1"/>
  <c r="F306" i="1"/>
  <c r="E309" i="1"/>
  <c r="F309" i="1"/>
  <c r="F301" i="1"/>
  <c r="E301" i="1"/>
  <c r="J36" i="1"/>
  <c r="H257" i="1"/>
  <c r="K149" i="1"/>
  <c r="F154" i="1"/>
  <c r="M151" i="1"/>
  <c r="H174" i="1" s="1"/>
  <c r="F153" i="1"/>
  <c r="E163" i="1"/>
  <c r="G172" i="1" s="1"/>
  <c r="E159" i="1"/>
  <c r="C172" i="1" s="1"/>
  <c r="M150" i="1"/>
  <c r="K155" i="1"/>
  <c r="M160" i="1"/>
  <c r="F155" i="1"/>
  <c r="K164" i="1"/>
  <c r="M148" i="1"/>
  <c r="G174" i="1" s="1"/>
  <c r="C161" i="1"/>
  <c r="E171" i="1" s="1"/>
  <c r="D152" i="1"/>
  <c r="D154" i="1"/>
  <c r="E162" i="1"/>
  <c r="F172" i="1" s="1"/>
  <c r="D149" i="1"/>
  <c r="D169" i="1" s="1"/>
  <c r="K162" i="1"/>
  <c r="K160" i="1"/>
  <c r="K150" i="1"/>
  <c r="M154" i="1"/>
  <c r="F150" i="1"/>
  <c r="E170" i="1" s="1"/>
  <c r="M161" i="1"/>
  <c r="E160" i="1"/>
  <c r="M153" i="1"/>
  <c r="F149" i="1"/>
  <c r="D170" i="1" s="1"/>
  <c r="M159" i="1"/>
  <c r="C159" i="1"/>
  <c r="C171" i="1" s="1"/>
  <c r="F151" i="1"/>
  <c r="F170" i="1" s="1"/>
  <c r="M164" i="1"/>
  <c r="D108" i="1"/>
  <c r="K108" i="1" s="1"/>
  <c r="C164" i="1"/>
  <c r="H171" i="1" s="1"/>
  <c r="J688" i="1"/>
  <c r="B690" i="1" s="1"/>
  <c r="M155" i="1"/>
  <c r="K159" i="1"/>
  <c r="K148" i="1"/>
  <c r="G173" i="1" s="1"/>
  <c r="M163" i="1"/>
  <c r="C163" i="1"/>
  <c r="G171" i="1" s="1"/>
  <c r="F148" i="1"/>
  <c r="C170" i="1" s="1"/>
  <c r="M152" i="1"/>
  <c r="D153" i="1"/>
  <c r="E164" i="1"/>
  <c r="H172" i="1" s="1"/>
  <c r="C160" i="1"/>
  <c r="D171" i="1" s="1"/>
  <c r="K151" i="1"/>
  <c r="H173" i="1" s="1"/>
  <c r="M149" i="1"/>
  <c r="D150" i="1"/>
  <c r="E169" i="1" s="1"/>
  <c r="D151" i="1"/>
  <c r="F169" i="1" s="1"/>
  <c r="E161" i="1"/>
  <c r="E172" i="1" s="1"/>
  <c r="K152" i="1"/>
  <c r="F152" i="1"/>
  <c r="K161" i="1"/>
  <c r="K154" i="1"/>
  <c r="K163" i="1"/>
  <c r="D148" i="1"/>
  <c r="C169" i="1" s="1"/>
  <c r="M162" i="1"/>
  <c r="C162" i="1"/>
  <c r="H175" i="1" s="1"/>
  <c r="K153" i="1"/>
  <c r="D155" i="1"/>
  <c r="B619" i="1"/>
  <c r="H618" i="1" s="1"/>
  <c r="G587" i="1"/>
  <c r="I598" i="1" s="1"/>
  <c r="F512" i="1"/>
  <c r="D534" i="1" s="1"/>
  <c r="J616" i="1"/>
  <c r="B618" i="1" s="1"/>
  <c r="J1046" i="1"/>
  <c r="E1048" i="1" s="1"/>
  <c r="D1046" i="1"/>
  <c r="F449" i="1" l="1"/>
  <c r="C481" i="1" s="1"/>
  <c r="E1410" i="1"/>
  <c r="E1412" i="1"/>
  <c r="M545" i="1"/>
  <c r="L547" i="1" s="1"/>
  <c r="B549" i="1" s="1"/>
  <c r="I1249" i="1"/>
  <c r="M1249" i="1" s="1"/>
  <c r="I1201" i="1"/>
  <c r="B1238" i="1" s="1"/>
  <c r="B1285" i="1"/>
  <c r="B1286" i="1" s="1"/>
  <c r="B1287" i="1" s="1"/>
  <c r="B1288" i="1" s="1"/>
  <c r="B1289" i="1" s="1"/>
  <c r="B1290" i="1" s="1"/>
  <c r="I1142" i="1"/>
  <c r="F1144" i="1" s="1"/>
  <c r="C1153" i="1"/>
  <c r="I1140" i="1"/>
  <c r="A1142" i="1" s="1"/>
  <c r="L481" i="1"/>
  <c r="D1063" i="1"/>
  <c r="B1066" i="1"/>
  <c r="F1067" i="1" s="1"/>
  <c r="E938" i="1"/>
  <c r="E937" i="1"/>
  <c r="E942" i="1"/>
  <c r="E941" i="1"/>
  <c r="E939" i="1"/>
  <c r="L928" i="1"/>
  <c r="L929" i="1" s="1"/>
  <c r="L930" i="1" s="1"/>
  <c r="L931" i="1" s="1"/>
  <c r="L932" i="1" s="1"/>
  <c r="L933" i="1" s="1"/>
  <c r="E943" i="1"/>
  <c r="E940" i="1"/>
  <c r="G974" i="1"/>
  <c r="Q965" i="1"/>
  <c r="AA963" i="1" s="1"/>
  <c r="B963" i="1"/>
  <c r="B964" i="1" s="1"/>
  <c r="G965" i="1" s="1"/>
  <c r="E802" i="1"/>
  <c r="F868" i="1"/>
  <c r="H704" i="1"/>
  <c r="E705" i="1" s="1"/>
  <c r="K693" i="1"/>
  <c r="G334" i="1"/>
  <c r="E803" i="1"/>
  <c r="G184" i="1"/>
  <c r="D710" i="1"/>
  <c r="I189" i="1"/>
  <c r="F715" i="1"/>
  <c r="I190" i="1"/>
  <c r="F716" i="1"/>
  <c r="G185" i="1"/>
  <c r="D711" i="1"/>
  <c r="F186" i="1"/>
  <c r="K198" i="1" s="1"/>
  <c r="H187" i="1"/>
  <c r="E713" i="1"/>
  <c r="D184" i="1"/>
  <c r="C710" i="1"/>
  <c r="F184" i="1"/>
  <c r="J196" i="1" s="1"/>
  <c r="I187" i="1"/>
  <c r="F713" i="1"/>
  <c r="H186" i="1"/>
  <c r="E712" i="1"/>
  <c r="E185" i="1"/>
  <c r="H197" i="1" s="1"/>
  <c r="F185" i="1"/>
  <c r="J197" i="1" s="1"/>
  <c r="D187" i="1"/>
  <c r="C713" i="1"/>
  <c r="E186" i="1"/>
  <c r="H198" i="1" s="1"/>
  <c r="D185" i="1"/>
  <c r="C711" i="1"/>
  <c r="F187" i="1"/>
  <c r="J199" i="1" s="1"/>
  <c r="I188" i="1"/>
  <c r="F714" i="1"/>
  <c r="H188" i="1"/>
  <c r="E714" i="1"/>
  <c r="I186" i="1"/>
  <c r="F712" i="1"/>
  <c r="D186" i="1"/>
  <c r="C712" i="1"/>
  <c r="G187" i="1"/>
  <c r="D713" i="1"/>
  <c r="H189" i="1"/>
  <c r="E715" i="1"/>
  <c r="I661" i="1"/>
  <c r="D663" i="1" s="1"/>
  <c r="M665" i="1" s="1"/>
  <c r="I668" i="1" s="1"/>
  <c r="F454" i="1"/>
  <c r="F304" i="1"/>
  <c r="F311" i="1"/>
  <c r="F310" i="1"/>
  <c r="E184" i="1"/>
  <c r="I196" i="1" s="1"/>
  <c r="F303" i="1"/>
  <c r="I690" i="1"/>
  <c r="H176" i="1"/>
  <c r="F171" i="1"/>
  <c r="F175" i="1"/>
  <c r="D174" i="1"/>
  <c r="C176" i="1"/>
  <c r="G176" i="1"/>
  <c r="F176" i="1"/>
  <c r="D176" i="1"/>
  <c r="D173" i="1"/>
  <c r="D172" i="1"/>
  <c r="D175" i="1"/>
  <c r="G175" i="1"/>
  <c r="C175" i="1"/>
  <c r="B550" i="1"/>
  <c r="H549" i="1" s="1"/>
  <c r="F518" i="1"/>
  <c r="I530" i="1" s="1"/>
  <c r="L700" i="1"/>
  <c r="F701" i="1" s="1"/>
  <c r="B486" i="1"/>
  <c r="G485" i="1" s="1"/>
  <c r="F335" i="1"/>
  <c r="I618" i="1"/>
  <c r="H620" i="1"/>
  <c r="G622" i="1" s="1"/>
  <c r="I589" i="1"/>
  <c r="D591" i="1" s="1"/>
  <c r="F330" i="1"/>
  <c r="J483" i="1" l="1"/>
  <c r="B485" i="1" s="1"/>
  <c r="G1412" i="1"/>
  <c r="H1249" i="1"/>
  <c r="E1254" i="1"/>
  <c r="G1254" i="1" s="1"/>
  <c r="D1153" i="1"/>
  <c r="H1144" i="1"/>
  <c r="J1144" i="1" s="1"/>
  <c r="B1325" i="1"/>
  <c r="I1328" i="1" s="1"/>
  <c r="D1298" i="1"/>
  <c r="H1068" i="1"/>
  <c r="J1068" i="1"/>
  <c r="J198" i="1"/>
  <c r="K208" i="1" s="1"/>
  <c r="L208" i="1" s="1"/>
  <c r="H196" i="1"/>
  <c r="E206" i="1" s="1"/>
  <c r="F206" i="1" s="1"/>
  <c r="H633" i="1"/>
  <c r="E634" i="1" s="1"/>
  <c r="I622" i="1"/>
  <c r="L593" i="1"/>
  <c r="I596" i="1" s="1"/>
  <c r="I198" i="1"/>
  <c r="I197" i="1"/>
  <c r="K197" i="1"/>
  <c r="K196" i="1"/>
  <c r="K199" i="1"/>
  <c r="E187" i="1"/>
  <c r="I199" i="1" s="1"/>
  <c r="H191" i="1"/>
  <c r="E717" i="1"/>
  <c r="E190" i="1"/>
  <c r="H202" i="1" s="1"/>
  <c r="G191" i="1"/>
  <c r="D717" i="1"/>
  <c r="G190" i="1"/>
  <c r="D716" i="1"/>
  <c r="E176" i="1"/>
  <c r="E174" i="1"/>
  <c r="D190" i="1"/>
  <c r="C716" i="1"/>
  <c r="G186" i="1"/>
  <c r="D712" i="1"/>
  <c r="H190" i="1"/>
  <c r="E716" i="1"/>
  <c r="E173" i="1"/>
  <c r="D191" i="1"/>
  <c r="C717" i="1"/>
  <c r="I191" i="1"/>
  <c r="F717" i="1"/>
  <c r="B320" i="1"/>
  <c r="F321" i="1" s="1"/>
  <c r="E456" i="1"/>
  <c r="H458" i="1" s="1"/>
  <c r="J467" i="1"/>
  <c r="B343" i="1"/>
  <c r="I207" i="1"/>
  <c r="J207" i="1" s="1"/>
  <c r="K207" i="1"/>
  <c r="L207" i="1" s="1"/>
  <c r="K206" i="1"/>
  <c r="L206" i="1" s="1"/>
  <c r="I206" i="1"/>
  <c r="J206" i="1" s="1"/>
  <c r="E208" i="1"/>
  <c r="F208" i="1" s="1"/>
  <c r="G208" i="1"/>
  <c r="H208" i="1" s="1"/>
  <c r="E207" i="1"/>
  <c r="F207" i="1" s="1"/>
  <c r="G207" i="1"/>
  <c r="H207" i="1" s="1"/>
  <c r="I209" i="1"/>
  <c r="J209" i="1" s="1"/>
  <c r="K209" i="1"/>
  <c r="L209" i="1" s="1"/>
  <c r="E520" i="1"/>
  <c r="H522" i="1" s="1"/>
  <c r="K525" i="1" s="1"/>
  <c r="I528" i="1" s="1"/>
  <c r="E191" i="1"/>
  <c r="E189" i="1"/>
  <c r="E175" i="1"/>
  <c r="E188" i="1"/>
  <c r="L629" i="1"/>
  <c r="F630" i="1" s="1"/>
  <c r="G487" i="1"/>
  <c r="H485" i="1"/>
  <c r="H705" i="1"/>
  <c r="L705" i="1"/>
  <c r="L702" i="1"/>
  <c r="H702" i="1"/>
  <c r="H551" i="1"/>
  <c r="I553" i="1" s="1"/>
  <c r="K553" i="1" s="1"/>
  <c r="I549" i="1"/>
  <c r="G1336" i="1" l="1"/>
  <c r="C1343" i="1"/>
  <c r="I1326" i="1"/>
  <c r="A1328" i="1" s="1"/>
  <c r="H1330" i="1"/>
  <c r="J1330" i="1" s="1"/>
  <c r="F1330" i="1"/>
  <c r="L1068" i="1"/>
  <c r="I208" i="1"/>
  <c r="J208" i="1" s="1"/>
  <c r="C754" i="1"/>
  <c r="G206" i="1"/>
  <c r="H206" i="1" s="1"/>
  <c r="H565" i="1"/>
  <c r="E566" i="1" s="1"/>
  <c r="H199" i="1"/>
  <c r="E209" i="1" s="1"/>
  <c r="F209" i="1" s="1"/>
  <c r="K462" i="1"/>
  <c r="J465" i="1" s="1"/>
  <c r="I202" i="1"/>
  <c r="D718" i="1"/>
  <c r="F718" i="1" s="1"/>
  <c r="D719" i="1"/>
  <c r="F719" i="1" s="1"/>
  <c r="F190" i="1"/>
  <c r="J202" i="1" s="1"/>
  <c r="F188" i="1"/>
  <c r="F191" i="1"/>
  <c r="F189" i="1"/>
  <c r="J201" i="1" s="1"/>
  <c r="D322" i="1"/>
  <c r="G489" i="1"/>
  <c r="I489" i="1" s="1"/>
  <c r="B366" i="1"/>
  <c r="F344" i="1"/>
  <c r="D345" i="1"/>
  <c r="E275" i="1"/>
  <c r="G275" i="1" s="1"/>
  <c r="C1276" i="1" s="1"/>
  <c r="G1276" i="1" s="1"/>
  <c r="K1276" i="1" s="1"/>
  <c r="T1418" i="1" s="1"/>
  <c r="E212" i="1"/>
  <c r="F212" i="1" s="1"/>
  <c r="G212" i="1"/>
  <c r="H212" i="1" s="1"/>
  <c r="I201" i="1"/>
  <c r="H201" i="1"/>
  <c r="H200" i="1"/>
  <c r="I200" i="1"/>
  <c r="I203" i="1"/>
  <c r="H203" i="1"/>
  <c r="L631" i="1"/>
  <c r="H631" i="1"/>
  <c r="L561" i="1"/>
  <c r="F562" i="1" s="1"/>
  <c r="H634" i="1"/>
  <c r="L634" i="1"/>
  <c r="AF1431" i="1" l="1"/>
  <c r="B1427" i="1" s="1"/>
  <c r="R1430" i="1"/>
  <c r="B1428" i="1" s="1"/>
  <c r="Y1431" i="1"/>
  <c r="B1429" i="1" s="1"/>
  <c r="D1343" i="1"/>
  <c r="K1300" i="1"/>
  <c r="G209" i="1"/>
  <c r="H209" i="1" s="1"/>
  <c r="G754" i="1"/>
  <c r="K754" i="1" s="1"/>
  <c r="C974" i="1" s="1"/>
  <c r="C976" i="1" s="1"/>
  <c r="G976" i="1" s="1"/>
  <c r="C1094" i="1"/>
  <c r="G1094" i="1" s="1"/>
  <c r="J282" i="1"/>
  <c r="E300" i="1" s="1"/>
  <c r="E887" i="1" s="1"/>
  <c r="J285" i="1"/>
  <c r="B949" i="1" s="1"/>
  <c r="L1416" i="1" s="1"/>
  <c r="E370" i="1"/>
  <c r="E371" i="1"/>
  <c r="F377" i="1"/>
  <c r="D367" i="1"/>
  <c r="D368" i="1"/>
  <c r="K202" i="1"/>
  <c r="K201" i="1"/>
  <c r="K203" i="1"/>
  <c r="J203" i="1"/>
  <c r="K200" i="1"/>
  <c r="J200" i="1"/>
  <c r="L496" i="1"/>
  <c r="F497" i="1" s="1"/>
  <c r="L498" i="1" s="1"/>
  <c r="B349" i="1"/>
  <c r="E353" i="1" s="1"/>
  <c r="H500" i="1"/>
  <c r="E501" i="1" s="1"/>
  <c r="L501" i="1" s="1"/>
  <c r="J291" i="1"/>
  <c r="E307" i="1" s="1"/>
  <c r="E891" i="1" s="1"/>
  <c r="J292" i="1"/>
  <c r="E308" i="1" s="1"/>
  <c r="E892" i="1" s="1"/>
  <c r="K212" i="1"/>
  <c r="L212" i="1" s="1"/>
  <c r="I212" i="1"/>
  <c r="J212" i="1" s="1"/>
  <c r="G213" i="1"/>
  <c r="H213" i="1" s="1"/>
  <c r="E213" i="1"/>
  <c r="F213" i="1" s="1"/>
  <c r="E211" i="1"/>
  <c r="F211" i="1" s="1"/>
  <c r="G211" i="1"/>
  <c r="H211" i="1" s="1"/>
  <c r="I211" i="1"/>
  <c r="J211" i="1" s="1"/>
  <c r="K211" i="1"/>
  <c r="L211" i="1" s="1"/>
  <c r="G210" i="1"/>
  <c r="H210" i="1" s="1"/>
  <c r="E210" i="1"/>
  <c r="F210" i="1" s="1"/>
  <c r="L563" i="1"/>
  <c r="H563" i="1"/>
  <c r="H566" i="1"/>
  <c r="L566" i="1"/>
  <c r="B1425" i="1" l="1"/>
  <c r="B1426" i="1"/>
  <c r="K1094" i="1"/>
  <c r="K1114" i="1" s="1"/>
  <c r="B1158" i="1" s="1"/>
  <c r="D1160" i="1" s="1"/>
  <c r="F1160" i="1" s="1"/>
  <c r="F1302" i="1"/>
  <c r="B1348" i="1"/>
  <c r="D1350" i="1" s="1"/>
  <c r="F1350" i="1" s="1"/>
  <c r="E302" i="1"/>
  <c r="E889" i="1" s="1"/>
  <c r="F889" i="1" s="1"/>
  <c r="K760" i="1"/>
  <c r="D760" i="1"/>
  <c r="E768" i="1" s="1"/>
  <c r="B793" i="1"/>
  <c r="D795" i="1" s="1"/>
  <c r="D868" i="1" s="1"/>
  <c r="H868" i="1" s="1"/>
  <c r="J868" i="1" s="1"/>
  <c r="C951" i="1"/>
  <c r="G963" i="1" s="1"/>
  <c r="L963" i="1" s="1"/>
  <c r="C952" i="1"/>
  <c r="G972" i="1" s="1"/>
  <c r="L972" i="1" s="1"/>
  <c r="G887" i="1"/>
  <c r="F887" i="1"/>
  <c r="K210" i="1"/>
  <c r="L210" i="1" s="1"/>
  <c r="I210" i="1"/>
  <c r="J210" i="1" s="1"/>
  <c r="G892" i="1"/>
  <c r="F892" i="1"/>
  <c r="K213" i="1"/>
  <c r="L213" i="1" s="1"/>
  <c r="I213" i="1"/>
  <c r="J213" i="1" s="1"/>
  <c r="G891" i="1"/>
  <c r="F891" i="1"/>
  <c r="E427" i="1"/>
  <c r="F357" i="1"/>
  <c r="H498" i="1"/>
  <c r="B412" i="1"/>
  <c r="D412" i="1" s="1"/>
  <c r="N374" i="1"/>
  <c r="H501" i="1"/>
  <c r="E374" i="1"/>
  <c r="N376" i="1" s="1"/>
  <c r="E311" i="1"/>
  <c r="E310" i="1"/>
  <c r="F1116" i="1" l="1"/>
  <c r="K1098" i="1"/>
  <c r="B1201" i="1" s="1"/>
  <c r="M1200" i="1" s="1"/>
  <c r="D796" i="1"/>
  <c r="J875" i="1" s="1"/>
  <c r="I875" i="1" s="1"/>
  <c r="E303" i="1"/>
  <c r="E304" i="1"/>
  <c r="G889" i="1"/>
  <c r="G895" i="1" s="1"/>
  <c r="K895" i="1" s="1"/>
  <c r="E879" i="1"/>
  <c r="G879" i="1" s="1"/>
  <c r="E982" i="1"/>
  <c r="B339" i="1"/>
  <c r="D341" i="1" s="1"/>
  <c r="K1097" i="1" l="1"/>
  <c r="B1431" i="1" s="1"/>
  <c r="K1099" i="1"/>
  <c r="I1155" i="1" s="1"/>
  <c r="J1155" i="1" s="1"/>
  <c r="L875" i="1"/>
  <c r="M1201" i="1"/>
  <c r="B1239" i="1" s="1"/>
  <c r="F1273" i="1"/>
  <c r="B316" i="1"/>
  <c r="F317" i="1" s="1"/>
  <c r="J1356" i="1" s="1"/>
  <c r="M1372" i="1" s="1"/>
  <c r="G894" i="1"/>
  <c r="K894" i="1" s="1"/>
  <c r="G1237" i="1"/>
  <c r="H1237" i="1" s="1"/>
  <c r="F340" i="1"/>
  <c r="D318" i="1" l="1"/>
  <c r="B348" i="1" s="1"/>
  <c r="B411" i="1" s="1"/>
  <c r="D411" i="1" s="1"/>
  <c r="G410" i="1" s="1"/>
  <c r="H410" i="1" s="1"/>
  <c r="J1101" i="1"/>
  <c r="J1102" i="1" s="1"/>
  <c r="J1103" i="1" s="1"/>
  <c r="J1104" i="1" s="1"/>
  <c r="M1101" i="1" s="1"/>
  <c r="M1102" i="1" s="1"/>
  <c r="M1103" i="1" s="1"/>
  <c r="M1104" i="1" s="1"/>
  <c r="D1111" i="1"/>
  <c r="I1127" i="1"/>
  <c r="L1127" i="1" s="1"/>
  <c r="K1280" i="1"/>
  <c r="K1279" i="1"/>
  <c r="B1430" i="1" s="1"/>
  <c r="K422" i="1"/>
  <c r="I422" i="1" s="1"/>
  <c r="G427" i="1"/>
  <c r="E379" i="1" l="1"/>
  <c r="E352" i="1"/>
  <c r="C373" i="1" s="1"/>
  <c r="N375" i="1" s="1"/>
  <c r="F356" i="1"/>
  <c r="C376" i="1" s="1"/>
  <c r="N373" i="1" s="1"/>
  <c r="K1281" i="1"/>
  <c r="I1313" i="1" s="1"/>
  <c r="L1313" i="1" s="1"/>
  <c r="J1283" i="1"/>
  <c r="J1284" i="1" s="1"/>
  <c r="J1285" i="1" s="1"/>
  <c r="J1286" i="1" s="1"/>
  <c r="J1287" i="1" s="1"/>
  <c r="J1288" i="1" s="1"/>
  <c r="J1289" i="1" s="1"/>
  <c r="J1290" i="1" s="1"/>
  <c r="M1283" i="1" s="1"/>
  <c r="M1284" i="1" s="1"/>
  <c r="M1285" i="1" s="1"/>
  <c r="M1286" i="1" s="1"/>
  <c r="M422" i="1"/>
  <c r="H422" i="1"/>
  <c r="B1339" i="1" l="1"/>
  <c r="D1339" i="1" s="1"/>
  <c r="I1345" i="1"/>
  <c r="J1345" i="1" s="1"/>
  <c r="D1297" i="1"/>
  <c r="B969" i="1"/>
  <c r="G966" i="1" s="1"/>
  <c r="L964" i="1" s="1"/>
  <c r="G975" i="1"/>
  <c r="E987" i="1" s="1"/>
  <c r="E988" i="1" l="1"/>
  <c r="T985" i="1" s="1"/>
  <c r="T984" i="1" s="1"/>
  <c r="E984" i="1"/>
  <c r="E983" i="1"/>
  <c r="L965" i="1"/>
  <c r="L966" i="1" s="1"/>
  <c r="L967" i="1" s="1"/>
  <c r="L968" i="1" s="1"/>
  <c r="L969" i="1" s="1"/>
  <c r="E986" i="1"/>
  <c r="E985" i="1"/>
  <c r="L973" i="1"/>
  <c r="T986" i="1" l="1"/>
  <c r="J983" i="1"/>
  <c r="J1024" i="1" s="1"/>
  <c r="J986" i="1"/>
  <c r="L974" i="1"/>
  <c r="L975" i="1" s="1"/>
  <c r="L976" i="1" s="1"/>
  <c r="L977" i="1" s="1"/>
  <c r="L978" i="1" s="1"/>
  <c r="J985" i="1"/>
  <c r="L970" i="1"/>
  <c r="J1023" i="1" l="1"/>
  <c r="C1026" i="1"/>
  <c r="D1026" i="1" s="1"/>
  <c r="J984" i="1"/>
  <c r="L1055" i="1" s="1"/>
  <c r="J1038" i="1" l="1"/>
  <c r="N1038" i="1"/>
  <c r="E1056" i="1" s="1"/>
  <c r="I1028" i="1"/>
  <c r="K1028" i="1" s="1"/>
  <c r="G1040" i="1" l="1"/>
  <c r="E1042" i="1" s="1"/>
  <c r="L1048" i="1" s="1"/>
  <c r="H1048" i="1" s="1"/>
  <c r="L1056" i="1"/>
  <c r="G1058" i="1" s="1"/>
  <c r="K1064" i="1" s="1"/>
</calcChain>
</file>

<file path=xl/sharedStrings.xml><?xml version="1.0" encoding="utf-8"?>
<sst xmlns="http://schemas.openxmlformats.org/spreadsheetml/2006/main" count="2810" uniqueCount="1045">
  <si>
    <t>TRABAJO PRÁCTICO : NAVE INDUSTRIAL</t>
  </si>
  <si>
    <t>Cerchas de Cordones Paralelos</t>
  </si>
  <si>
    <t xml:space="preserve">Ubicación: </t>
  </si>
  <si>
    <t xml:space="preserve">Destino: </t>
  </si>
  <si>
    <t>Dimensión en Planta:</t>
  </si>
  <si>
    <t>m</t>
  </si>
  <si>
    <t>A =</t>
  </si>
  <si>
    <t>B =</t>
  </si>
  <si>
    <t xml:space="preserve"> m</t>
  </si>
  <si>
    <t>Construcción de una Nave Industrial con las siguientes características:</t>
  </si>
  <si>
    <t>1- Determinación de características geométricas</t>
  </si>
  <si>
    <t>º</t>
  </si>
  <si>
    <t>Longitud Montante:</t>
  </si>
  <si>
    <t>Longitud Diagonal:</t>
  </si>
  <si>
    <t>Longitud Cordón Inferior:</t>
  </si>
  <si>
    <t>Longitud Cordón Superior:</t>
  </si>
  <si>
    <t>Numeros de Cuadros:</t>
  </si>
  <si>
    <t>n =</t>
  </si>
  <si>
    <t>Número de cerchas:</t>
  </si>
  <si>
    <t>Cubierta,Correas, Arriostramientos</t>
  </si>
  <si>
    <t>Carga Permanente</t>
  </si>
  <si>
    <t>Ocupación y Uso</t>
  </si>
  <si>
    <t>Para 0,58 &lt; Lr &lt; 0,96</t>
  </si>
  <si>
    <t>At: Area de influencia de carga sobre un nudo intermedio en la cubierta</t>
  </si>
  <si>
    <t>At = a  S =</t>
  </si>
  <si>
    <t>.=</t>
  </si>
  <si>
    <t>Entonces aplicamos siguiente ecuación según norma CIRSOC 101</t>
  </si>
  <si>
    <t>Lr =</t>
  </si>
  <si>
    <t>Datos :</t>
  </si>
  <si>
    <t>Destino :</t>
  </si>
  <si>
    <t>Ubicación:</t>
  </si>
  <si>
    <t>Sistema Estructural de Contraventamiento :</t>
  </si>
  <si>
    <t>Pórticos Metálicos</t>
  </si>
  <si>
    <t>cada</t>
  </si>
  <si>
    <t xml:space="preserve">V = </t>
  </si>
  <si>
    <t>m/seg</t>
  </si>
  <si>
    <t>Velocidad del viento (Cap 5.4 Fig 1)</t>
  </si>
  <si>
    <t>Presión dinámica (Cap 5.10)</t>
  </si>
  <si>
    <t>Kz: coeficiente de exposición ( Cap 5.6 y tabla 5)</t>
  </si>
  <si>
    <t>Se trata como edificio de baja altura  ( Cap 5.12.2.2)</t>
  </si>
  <si>
    <t>La carga de viento se calcula únicamente para la altura media</t>
  </si>
  <si>
    <t xml:space="preserve">Se determina kz para </t>
  </si>
  <si>
    <t>z =</t>
  </si>
  <si>
    <t>&lt; 20 m</t>
  </si>
  <si>
    <t>generalmente menores que 10 m. Esta categoria incluye campo abierto plano</t>
  </si>
  <si>
    <t>y terrenos agrícolas.</t>
  </si>
  <si>
    <t>Kz</t>
  </si>
  <si>
    <t>z</t>
  </si>
  <si>
    <t>Kd : Factor de direccionalidad (Cap 5.4.4 )</t>
  </si>
  <si>
    <t>Kd =</t>
  </si>
  <si>
    <t>I : Factor de Importancia (Cap 5.5 tablas A1 y 1 )</t>
  </si>
  <si>
    <t>I =</t>
  </si>
  <si>
    <t>qh =</t>
  </si>
  <si>
    <t>Para construcción parcial o totalmente cerrada y altura menor de 20 m (Cap 5.12.2)</t>
  </si>
  <si>
    <t>p = (G Cp ) qh - ( G Cpi ) qh</t>
  </si>
  <si>
    <t>G : Fig 4</t>
  </si>
  <si>
    <t>(GCp): Coeficiente de presión externa Cap 5.11.2</t>
  </si>
  <si>
    <t>a =</t>
  </si>
  <si>
    <t>a = 0,1 A =</t>
  </si>
  <si>
    <t>a : 10 % de la dimensión en planta mínima pero no menor que 0,4 h ó 1 m</t>
  </si>
  <si>
    <t>Zona</t>
  </si>
  <si>
    <t>GCp</t>
  </si>
  <si>
    <t>1E</t>
  </si>
  <si>
    <t>2E</t>
  </si>
  <si>
    <t>3E</t>
  </si>
  <si>
    <t>4E</t>
  </si>
  <si>
    <t>0,50 A =</t>
  </si>
  <si>
    <t xml:space="preserve">El resto del faldon corresponden los valores </t>
  </si>
  <si>
    <t>de zona 3</t>
  </si>
  <si>
    <t>Para el caso B:</t>
  </si>
  <si>
    <t>5E</t>
  </si>
  <si>
    <t>6E</t>
  </si>
  <si>
    <t>Carga de viento:</t>
  </si>
  <si>
    <t>Esquina 1:</t>
  </si>
  <si>
    <t>Caso A</t>
  </si>
  <si>
    <t>Zona 1</t>
  </si>
  <si>
    <t>Zona 2</t>
  </si>
  <si>
    <t>Zona 3</t>
  </si>
  <si>
    <t>Zona 4</t>
  </si>
  <si>
    <t>Zona 5</t>
  </si>
  <si>
    <t>Zona 6</t>
  </si>
  <si>
    <t>Zona 1E</t>
  </si>
  <si>
    <t>Zona 2E</t>
  </si>
  <si>
    <t>pi &gt; 0</t>
  </si>
  <si>
    <t>pi &lt; 0</t>
  </si>
  <si>
    <t xml:space="preserve">.+/- </t>
  </si>
  <si>
    <t>Esquina 2:</t>
  </si>
  <si>
    <t>Caso B</t>
  </si>
  <si>
    <t>Zona 3E</t>
  </si>
  <si>
    <t>Zona 4E</t>
  </si>
  <si>
    <t>Zona 5E</t>
  </si>
  <si>
    <t>Zona 6E</t>
  </si>
  <si>
    <t>De Esquina 1 y 2</t>
  </si>
  <si>
    <t>Nº</t>
  </si>
  <si>
    <t>X</t>
  </si>
  <si>
    <t>Y</t>
  </si>
  <si>
    <t>b- Conecciones de barras</t>
  </si>
  <si>
    <t>Montante</t>
  </si>
  <si>
    <t>Cordón Inferior</t>
  </si>
  <si>
    <t>Diagonal</t>
  </si>
  <si>
    <t>Cordón Superior</t>
  </si>
  <si>
    <t xml:space="preserve">* Nota- en zona 2 si GCp &lt; 0 se adopta este valor solo en un rango que va del </t>
  </si>
  <si>
    <t>borde a sotavento hacia la cumbrera, cuyo valor es:</t>
  </si>
  <si>
    <t>A</t>
  </si>
  <si>
    <t>B</t>
  </si>
  <si>
    <t>C</t>
  </si>
  <si>
    <t>D</t>
  </si>
  <si>
    <t>E</t>
  </si>
  <si>
    <t>F</t>
  </si>
  <si>
    <t>Estados</t>
  </si>
  <si>
    <t>Para analizar mejor los datos, los ordenamos de la siguiente manera:</t>
  </si>
  <si>
    <t>Ni</t>
  </si>
  <si>
    <t>Nf</t>
  </si>
  <si>
    <t>Columna Der</t>
  </si>
  <si>
    <t>Columna Izq.</t>
  </si>
  <si>
    <t>Analizamos la cargas por metro lineal aplicados sobre columnas y cordones</t>
  </si>
  <si>
    <t xml:space="preserve"> superiores:</t>
  </si>
  <si>
    <t>distancia entre cerchas:</t>
  </si>
  <si>
    <t>S =</t>
  </si>
  <si>
    <t>1 N =</t>
  </si>
  <si>
    <t>kg</t>
  </si>
  <si>
    <t>Unidades en kg/m</t>
  </si>
  <si>
    <t>Kg</t>
  </si>
  <si>
    <t>Kg/m</t>
  </si>
  <si>
    <t>D =</t>
  </si>
  <si>
    <t>Misiones - Apostoles</t>
  </si>
  <si>
    <t>Fábrica de Muebles Madera</t>
  </si>
  <si>
    <t>II</t>
  </si>
  <si>
    <t>………Edificio Cerrado</t>
  </si>
  <si>
    <t>Dimensionamiento de Correa mas solicitada</t>
  </si>
  <si>
    <t>Analisis de Carga</t>
  </si>
  <si>
    <t>Sobrecarga min. de cubierta (C 101 4.9.1)</t>
  </si>
  <si>
    <t>0,58 &lt; Lr &lt; 0,96</t>
  </si>
  <si>
    <t>(A.4.1) 1,4 (D + F) =</t>
  </si>
  <si>
    <t>(A.4.6) 0,9 D + (1,5 W) + 1,6 H =</t>
  </si>
  <si>
    <t>En las dos fórmulas anteriores no se considera la carga si es favorable.</t>
  </si>
  <si>
    <t>Estados Límites de Solicitaciones</t>
  </si>
  <si>
    <t>Estado Límite Último</t>
  </si>
  <si>
    <t>L= S=</t>
  </si>
  <si>
    <t>Kgm</t>
  </si>
  <si>
    <t>P =</t>
  </si>
  <si>
    <t>Estados Límites de Servicio</t>
  </si>
  <si>
    <t>Predimensionado por tensiones admisibles</t>
  </si>
  <si>
    <t>cm</t>
  </si>
  <si>
    <t>E =</t>
  </si>
  <si>
    <t>configuración y solicitaciones</t>
  </si>
  <si>
    <t>En direccion x-x disponemos de TILLAS para la cual consideramos la siguiente</t>
  </si>
  <si>
    <t>Ya sea una carga en y-y positiva o negativa</t>
  </si>
  <si>
    <t>las solicitac. Seran positiva o negativas</t>
  </si>
  <si>
    <t>el diagrama es a modo explicativo.</t>
  </si>
  <si>
    <t>q =</t>
  </si>
  <si>
    <t xml:space="preserve">Adopto PNI Nº </t>
  </si>
  <si>
    <t>Direccion</t>
  </si>
  <si>
    <t>A.4.1</t>
  </si>
  <si>
    <t>A.4.2</t>
  </si>
  <si>
    <t>A.4.3</t>
  </si>
  <si>
    <t>A.4.4</t>
  </si>
  <si>
    <t>A.4.5</t>
  </si>
  <si>
    <t>A.4.6</t>
  </si>
  <si>
    <t>A-L.1.1</t>
  </si>
  <si>
    <t>A-L.1.2</t>
  </si>
  <si>
    <t>A-L.1.3</t>
  </si>
  <si>
    <t>q</t>
  </si>
  <si>
    <t>Cargas W Normal al Faldon</t>
  </si>
  <si>
    <t>Iy =</t>
  </si>
  <si>
    <t>Clasificación de las secciones del Acero</t>
  </si>
  <si>
    <t>Alas</t>
  </si>
  <si>
    <t>b =</t>
  </si>
  <si>
    <t>MPa</t>
  </si>
  <si>
    <t>Fy =</t>
  </si>
  <si>
    <t>Dimensionado a Flexión Oblicua</t>
  </si>
  <si>
    <t>Sx =</t>
  </si>
  <si>
    <t>Wx =</t>
  </si>
  <si>
    <t>h =</t>
  </si>
  <si>
    <t>s =</t>
  </si>
  <si>
    <t>Zx = 2 Sx =</t>
  </si>
  <si>
    <t>compresión por la mitad de area total en diagrama plastificado.</t>
  </si>
  <si>
    <t>Mpx &lt; 1,5 Mx</t>
  </si>
  <si>
    <t>Wy =</t>
  </si>
  <si>
    <t>KNm</t>
  </si>
  <si>
    <t>Mpy &lt; 1,5 My</t>
  </si>
  <si>
    <t>Mnx =</t>
  </si>
  <si>
    <t>Mny =</t>
  </si>
  <si>
    <t>b/h=</t>
  </si>
  <si>
    <t>0,3&lt;b/h&lt;1</t>
  </si>
  <si>
    <t>0,4+b/h=</t>
  </si>
  <si>
    <t>entonces n =</t>
  </si>
  <si>
    <t>Reemplazando:</t>
  </si>
  <si>
    <t>+</t>
  </si>
  <si>
    <t>=</t>
  </si>
  <si>
    <t>Dimensionado a corte</t>
  </si>
  <si>
    <t>Area del Alma = b t =</t>
  </si>
  <si>
    <t>Relación h / s =</t>
  </si>
  <si>
    <t>Resistencia de Diseño Vd :</t>
  </si>
  <si>
    <t>Vn =</t>
  </si>
  <si>
    <t>KN</t>
  </si>
  <si>
    <t>KN =</t>
  </si>
  <si>
    <t>Verificación Estado Límite de Servicio (Flecha)</t>
  </si>
  <si>
    <t>Cálculo de Cordones de Cercha</t>
  </si>
  <si>
    <t>Solicitaciones Maximas y Mínimas:</t>
  </si>
  <si>
    <t>CS</t>
  </si>
  <si>
    <t>CI</t>
  </si>
  <si>
    <t>M</t>
  </si>
  <si>
    <t>Max</t>
  </si>
  <si>
    <t>Min</t>
  </si>
  <si>
    <t>(en Kg)</t>
  </si>
  <si>
    <t>CORDÓN SUPERIOR</t>
  </si>
  <si>
    <t>Solicitaciones:</t>
  </si>
  <si>
    <t>Compresión</t>
  </si>
  <si>
    <t>Tracción</t>
  </si>
  <si>
    <t>Longitud</t>
  </si>
  <si>
    <t>Kx =</t>
  </si>
  <si>
    <t>Ky =</t>
  </si>
  <si>
    <t>Long Equivalente Lp = k L</t>
  </si>
  <si>
    <t>Lpx =</t>
  </si>
  <si>
    <t>Lpy =</t>
  </si>
  <si>
    <t>&lt; 300 aceptable a tracción</t>
  </si>
  <si>
    <t>&lt; 200 acept a compresión</t>
  </si>
  <si>
    <t>Radio de giro necesario</t>
  </si>
  <si>
    <t>Esbeltez Adimensional</t>
  </si>
  <si>
    <t>Ag =</t>
  </si>
  <si>
    <t>Pd =</t>
  </si>
  <si>
    <t>Adopto 2 perfiles L de alas iguales</t>
  </si>
  <si>
    <t>Q =</t>
  </si>
  <si>
    <t>t =</t>
  </si>
  <si>
    <t>Suponemos</t>
  </si>
  <si>
    <t>Pandeo alrededor eje y-y (para eje inmaterial o libre)</t>
  </si>
  <si>
    <t>Separación de Presillas a = L/n =</t>
  </si>
  <si>
    <t>Número de campos n =</t>
  </si>
  <si>
    <t>Cálculo a la Tracción</t>
  </si>
  <si>
    <t>CORDÓN INFERIOR</t>
  </si>
  <si>
    <t>M =</t>
  </si>
  <si>
    <t>MONTANTE</t>
  </si>
  <si>
    <t>(Son barras muy cortas por eso n = 1)</t>
  </si>
  <si>
    <t>DIAGONAL</t>
  </si>
  <si>
    <t>Calculo de soldadura :      tw =</t>
  </si>
  <si>
    <t>fu =</t>
  </si>
  <si>
    <t>Para Presilla</t>
  </si>
  <si>
    <t xml:space="preserve"> S =</t>
  </si>
  <si>
    <t>Dist entre Largueros :</t>
  </si>
  <si>
    <t>Calculo de cargas</t>
  </si>
  <si>
    <t>Adopto PNU Nº</t>
  </si>
  <si>
    <t>kg/m</t>
  </si>
  <si>
    <t>PP Chapa</t>
  </si>
  <si>
    <t>qx =</t>
  </si>
  <si>
    <t>Cargas Horizontales</t>
  </si>
  <si>
    <t>Viento W :</t>
  </si>
  <si>
    <t>qy =</t>
  </si>
  <si>
    <t>1,4 D =</t>
  </si>
  <si>
    <t>1,5 W =</t>
  </si>
  <si>
    <t>Cálculo de Momentos</t>
  </si>
  <si>
    <t>kgm</t>
  </si>
  <si>
    <t>Predimensionado por deformación</t>
  </si>
  <si>
    <t>f adm = L/</t>
  </si>
  <si>
    <t>L =</t>
  </si>
  <si>
    <t>Alrededor de y-y</t>
  </si>
  <si>
    <t>Zy =</t>
  </si>
  <si>
    <t>E = t (e - s) =</t>
  </si>
  <si>
    <t>H = h s =</t>
  </si>
  <si>
    <t>Pu =</t>
  </si>
  <si>
    <t>Alr. x-x</t>
  </si>
  <si>
    <t>Alr y-y</t>
  </si>
  <si>
    <t>Cálculo de Columnas</t>
  </si>
  <si>
    <t>Adopto 2 PNU Nº</t>
  </si>
  <si>
    <t>Ix =</t>
  </si>
  <si>
    <t>rx =</t>
  </si>
  <si>
    <t>ex =</t>
  </si>
  <si>
    <t>ry =</t>
  </si>
  <si>
    <t>Adopto Diagonales</t>
  </si>
  <si>
    <t>PNL</t>
  </si>
  <si>
    <t>e =</t>
  </si>
  <si>
    <t>Col. Grupo IV</t>
  </si>
  <si>
    <t>Campos :</t>
  </si>
  <si>
    <t>Resistencia de diseño a compresión a pandeo flexional</t>
  </si>
  <si>
    <t>Esbeltez del Ala</t>
  </si>
  <si>
    <t>Mpa</t>
  </si>
  <si>
    <t xml:space="preserve">Q = </t>
  </si>
  <si>
    <t>Verificación del eje inmaterial y-y</t>
  </si>
  <si>
    <t>Esbeltez del Alma</t>
  </si>
  <si>
    <t>kN</t>
  </si>
  <si>
    <t>Resistencia de Diseño Local de la barra</t>
  </si>
  <si>
    <t>Verificacion de las celosias o diagonales</t>
  </si>
  <si>
    <t>Esbeltez Adimensional:</t>
  </si>
  <si>
    <t>Cálculo de unión soldada</t>
  </si>
  <si>
    <t>Mu =</t>
  </si>
  <si>
    <t>e'x =</t>
  </si>
  <si>
    <r>
      <t>Altura de Columna :</t>
    </r>
    <r>
      <rPr>
        <b/>
        <sz val="10"/>
        <color indexed="8"/>
        <rFont val="Arial"/>
        <family val="2"/>
      </rPr>
      <t xml:space="preserve">                            hc =</t>
    </r>
    <r>
      <rPr>
        <sz val="10"/>
        <color indexed="8"/>
        <rFont val="Arial"/>
        <family val="2"/>
      </rPr>
      <t xml:space="preserve"> </t>
    </r>
  </si>
  <si>
    <r>
      <t xml:space="preserve">Distancia vertical de cordones                </t>
    </r>
    <r>
      <rPr>
        <b/>
        <sz val="10"/>
        <color indexed="8"/>
        <rFont val="Arial"/>
        <family val="2"/>
      </rPr>
      <t>h =</t>
    </r>
  </si>
  <si>
    <r>
      <t xml:space="preserve">Flecha        </t>
    </r>
    <r>
      <rPr>
        <b/>
        <sz val="10"/>
        <color indexed="8"/>
        <rFont val="Arial"/>
        <family val="2"/>
      </rPr>
      <t xml:space="preserve">f = </t>
    </r>
  </si>
  <si>
    <r>
      <t xml:space="preserve">Altura Total            </t>
    </r>
    <r>
      <rPr>
        <b/>
        <sz val="10"/>
        <color indexed="8"/>
        <rFont val="Arial"/>
        <family val="2"/>
      </rPr>
      <t>H =</t>
    </r>
  </si>
  <si>
    <r>
      <t xml:space="preserve">Dist. horiz de nudos                               </t>
    </r>
    <r>
      <rPr>
        <b/>
        <sz val="10"/>
        <color indexed="8"/>
        <rFont val="Arial"/>
        <family val="2"/>
      </rPr>
      <t xml:space="preserve">a = </t>
    </r>
  </si>
  <si>
    <r>
      <t xml:space="preserve">Separación de Cerchas                         </t>
    </r>
    <r>
      <rPr>
        <b/>
        <sz val="10"/>
        <color indexed="8"/>
        <rFont val="Arial"/>
        <family val="2"/>
      </rPr>
      <t xml:space="preserve">S = </t>
    </r>
  </si>
  <si>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 arc tg (f/(A/2))</t>
    </r>
  </si>
  <si>
    <r>
      <rPr>
        <b/>
        <sz val="10"/>
        <color indexed="8"/>
        <rFont val="Symbol"/>
        <family val="1"/>
        <charset val="2"/>
      </rPr>
      <t>a</t>
    </r>
    <r>
      <rPr>
        <b/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</si>
  <si>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b</t>
    </r>
    <r>
      <rPr>
        <sz val="10"/>
        <color indexed="8"/>
        <rFont val="Arial"/>
        <family val="2"/>
      </rPr>
      <t xml:space="preserve"> = arc tg (h-a tg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>)/a</t>
    </r>
  </si>
  <si>
    <r>
      <rPr>
        <b/>
        <sz val="10"/>
        <color indexed="8"/>
        <rFont val="Symbol"/>
        <family val="1"/>
        <charset val="2"/>
      </rPr>
      <t>b</t>
    </r>
    <r>
      <rPr>
        <b/>
        <sz val="10"/>
        <color indexed="8"/>
        <rFont val="Arial"/>
        <family val="2"/>
      </rPr>
      <t xml:space="preserve"> =</t>
    </r>
  </si>
  <si>
    <r>
      <t xml:space="preserve">tg </t>
    </r>
    <r>
      <rPr>
        <b/>
        <sz val="10"/>
        <color indexed="8"/>
        <rFont val="Symbol"/>
        <family val="1"/>
        <charset val="2"/>
      </rPr>
      <t xml:space="preserve">a </t>
    </r>
    <r>
      <rPr>
        <b/>
        <sz val="10"/>
        <color indexed="8"/>
        <rFont val="Arial"/>
        <family val="2"/>
      </rPr>
      <t>=</t>
    </r>
  </si>
  <si>
    <r>
      <t xml:space="preserve">tg </t>
    </r>
    <r>
      <rPr>
        <b/>
        <sz val="10"/>
        <color indexed="8"/>
        <rFont val="Symbol"/>
        <family val="1"/>
        <charset val="2"/>
      </rPr>
      <t xml:space="preserve">b </t>
    </r>
    <r>
      <rPr>
        <b/>
        <sz val="10"/>
        <color indexed="8"/>
        <rFont val="Arial"/>
        <family val="2"/>
      </rPr>
      <t>=</t>
    </r>
  </si>
  <si>
    <r>
      <t>L</t>
    </r>
    <r>
      <rPr>
        <b/>
        <vertAlign val="subscript"/>
        <sz val="10"/>
        <color indexed="8"/>
        <rFont val="Arial"/>
        <family val="2"/>
      </rPr>
      <t>CS</t>
    </r>
    <r>
      <rPr>
        <b/>
        <sz val="10"/>
        <color indexed="8"/>
        <rFont val="Arial"/>
        <family val="2"/>
      </rPr>
      <t>=</t>
    </r>
  </si>
  <si>
    <r>
      <t>L</t>
    </r>
    <r>
      <rPr>
        <b/>
        <vertAlign val="subscript"/>
        <sz val="10"/>
        <color indexed="8"/>
        <rFont val="Arial"/>
        <family val="2"/>
      </rPr>
      <t>CI</t>
    </r>
    <r>
      <rPr>
        <b/>
        <sz val="10"/>
        <color indexed="8"/>
        <rFont val="Arial"/>
        <family val="2"/>
      </rPr>
      <t>=</t>
    </r>
  </si>
  <si>
    <r>
      <t>L</t>
    </r>
    <r>
      <rPr>
        <b/>
        <vertAlign val="subscript"/>
        <sz val="10"/>
        <color indexed="8"/>
        <rFont val="Arial"/>
        <family val="2"/>
      </rPr>
      <t>M</t>
    </r>
    <r>
      <rPr>
        <b/>
        <sz val="10"/>
        <color indexed="8"/>
        <rFont val="Arial"/>
        <family val="2"/>
      </rPr>
      <t xml:space="preserve"> =</t>
    </r>
  </si>
  <si>
    <r>
      <t>L</t>
    </r>
    <r>
      <rPr>
        <b/>
        <vertAlign val="subscript"/>
        <sz val="10"/>
        <color indexed="8"/>
        <rFont val="Arial"/>
        <family val="2"/>
      </rPr>
      <t>D</t>
    </r>
    <r>
      <rPr>
        <b/>
        <sz val="10"/>
        <color indexed="8"/>
        <rFont val="Arial"/>
        <family val="2"/>
      </rPr>
      <t xml:space="preserve"> =</t>
    </r>
  </si>
  <si>
    <r>
      <t>(a-h)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+a</t>
    </r>
    <r>
      <rPr>
        <vertAlign val="superscript"/>
        <sz val="10"/>
        <color indexed="8"/>
        <rFont val="Arial"/>
        <family val="2"/>
      </rPr>
      <t>2</t>
    </r>
  </si>
  <si>
    <t>n/2</t>
  </si>
  <si>
    <r>
      <t xml:space="preserve">( f 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+ (A/2)</t>
    </r>
    <r>
      <rPr>
        <vertAlign val="superscript"/>
        <sz val="10"/>
        <color indexed="8"/>
        <rFont val="Arial"/>
        <family val="2"/>
      </rPr>
      <t>2</t>
    </r>
  </si>
  <si>
    <t xml:space="preserve">  N =   B / S  =</t>
  </si>
  <si>
    <r>
      <t>kg / m</t>
    </r>
    <r>
      <rPr>
        <vertAlign val="superscript"/>
        <sz val="10"/>
        <color indexed="8"/>
        <rFont val="Arial"/>
        <family val="2"/>
      </rPr>
      <t>2</t>
    </r>
  </si>
  <si>
    <t>2- Cargas Permanentes ( D ) "CIRSOC 101"</t>
  </si>
  <si>
    <r>
      <t>Peso de Cerchas : q</t>
    </r>
    <r>
      <rPr>
        <vertAlign val="subscript"/>
        <sz val="10"/>
        <color theme="1"/>
        <rFont val="Arial"/>
        <family val="2"/>
      </rPr>
      <t>s pp cercha</t>
    </r>
  </si>
  <si>
    <r>
      <t>Peso de chapa : q</t>
    </r>
    <r>
      <rPr>
        <vertAlign val="subscript"/>
        <sz val="10"/>
        <color theme="1"/>
        <rFont val="Arial"/>
        <family val="2"/>
      </rPr>
      <t>chapa</t>
    </r>
  </si>
  <si>
    <r>
      <t>m</t>
    </r>
    <r>
      <rPr>
        <b/>
        <vertAlign val="superscript"/>
        <sz val="10"/>
        <color indexed="8"/>
        <rFont val="Arial"/>
        <family val="2"/>
      </rPr>
      <t>2</t>
    </r>
  </si>
  <si>
    <r>
      <t xml:space="preserve">Area de influencia de un nudo intermedio de cercha : </t>
    </r>
    <r>
      <rPr>
        <b/>
        <sz val="10"/>
        <color indexed="8"/>
        <rFont val="Arial"/>
        <family val="2"/>
      </rPr>
      <t>At = S  a =</t>
    </r>
  </si>
  <si>
    <r>
      <t>3-Cargas Variables</t>
    </r>
    <r>
      <rPr>
        <b/>
        <sz val="10"/>
        <color indexed="8"/>
        <rFont val="Arial"/>
        <family val="2"/>
      </rPr>
      <t xml:space="preserve"> ( L )</t>
    </r>
  </si>
  <si>
    <r>
      <t>Lr = 0,96 R</t>
    </r>
    <r>
      <rPr>
        <b/>
        <vertAlign val="sub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R</t>
    </r>
    <r>
      <rPr>
        <b/>
        <vertAlign val="subscript"/>
        <sz val="10"/>
        <color indexed="8"/>
        <rFont val="Arial"/>
        <family val="2"/>
      </rPr>
      <t>2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</si>
  <si>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= 1</t>
    </r>
    <r>
      <rPr>
        <sz val="10"/>
        <color indexed="8"/>
        <rFont val="Arial"/>
        <family val="2"/>
      </rPr>
      <t xml:space="preserve">     si   </t>
    </r>
    <r>
      <rPr>
        <b/>
        <sz val="10"/>
        <color indexed="8"/>
        <rFont val="Arial"/>
        <family val="2"/>
      </rPr>
      <t>At &lt; 19 m</t>
    </r>
    <r>
      <rPr>
        <b/>
        <vertAlign val="superscript"/>
        <sz val="10"/>
        <color indexed="8"/>
        <rFont val="Arial"/>
        <family val="2"/>
      </rPr>
      <t>2</t>
    </r>
  </si>
  <si>
    <r>
      <t>&lt; 19 m</t>
    </r>
    <r>
      <rPr>
        <vertAlign val="superscript"/>
        <sz val="10"/>
        <color indexed="8"/>
        <rFont val="Arial"/>
        <family val="2"/>
      </rPr>
      <t>2</t>
    </r>
  </si>
  <si>
    <r>
      <t>R</t>
    </r>
    <r>
      <rPr>
        <b/>
        <vertAlign val="subscript"/>
        <sz val="10"/>
        <color indexed="8"/>
        <rFont val="Arial"/>
        <family val="2"/>
      </rPr>
      <t xml:space="preserve">1 </t>
    </r>
    <r>
      <rPr>
        <b/>
        <sz val="10"/>
        <color indexed="8"/>
        <rFont val="Arial"/>
        <family val="2"/>
      </rPr>
      <t>= 1</t>
    </r>
  </si>
  <si>
    <r>
      <t>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 1   si   F &lt; 4    siendo  F = 0,12 pend. ( % ) = 0,12 .</t>
    </r>
  </si>
  <si>
    <r>
      <t>R</t>
    </r>
    <r>
      <rPr>
        <vertAlign val="sub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= 1,2 - 0,05 F =</t>
    </r>
  </si>
  <si>
    <r>
      <t>KN/m</t>
    </r>
    <r>
      <rPr>
        <b/>
        <vertAlign val="superscript"/>
        <sz val="10"/>
        <color indexed="8"/>
        <rFont val="Arial"/>
        <family val="2"/>
      </rPr>
      <t>2</t>
    </r>
  </si>
  <si>
    <r>
      <t>Lr =   0,96 R</t>
    </r>
    <r>
      <rPr>
        <b/>
        <vertAlign val="sub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R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 xml:space="preserve">    =</t>
    </r>
  </si>
  <si>
    <r>
      <t>Carga permanente en un nudo intermedio de la cercha          D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</si>
  <si>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Carga permanente en un nudo extremo de la cercha             D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</si>
  <si>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Carga variable en un nudo intermedio de la cercha      L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</si>
  <si>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Carga variable en un nudo extremo de la cercha         L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</si>
  <si>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 xml:space="preserve">4- Cargas de Viento </t>
    </r>
    <r>
      <rPr>
        <b/>
        <sz val="10"/>
        <color indexed="8"/>
        <rFont val="Arial"/>
        <family val="2"/>
      </rPr>
      <t>( W )</t>
    </r>
  </si>
  <si>
    <r>
      <t>qz = 0,613 kz kzt kd I V</t>
    </r>
    <r>
      <rPr>
        <vertAlign val="superscript"/>
        <sz val="10"/>
        <color indexed="8"/>
        <rFont val="Arial"/>
        <family val="2"/>
      </rPr>
      <t xml:space="preserve">2    </t>
    </r>
    <r>
      <rPr>
        <sz val="10"/>
        <color indexed="8"/>
        <rFont val="Arial"/>
        <family val="2"/>
      </rPr>
      <t xml:space="preserve"> 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</si>
  <si>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rPr>
        <b/>
        <sz val="10"/>
        <color indexed="8"/>
        <rFont val="Arial"/>
        <family val="2"/>
      </rPr>
      <t>Exposición tipo C</t>
    </r>
    <r>
      <rPr>
        <sz val="10"/>
        <color indexed="8"/>
        <rFont val="Arial"/>
        <family val="2"/>
      </rPr>
      <t xml:space="preserve"> : Terreno abierto con obstrucciones dispersas, con alturas</t>
    </r>
  </si>
  <si>
    <r>
      <t xml:space="preserve">Kzt : Factor Topográfico ( Cap 5.7 )     </t>
    </r>
    <r>
      <rPr>
        <b/>
        <sz val="10"/>
        <color indexed="8"/>
        <rFont val="Arial"/>
        <family val="2"/>
      </rPr>
      <t>Kzt =</t>
    </r>
  </si>
  <si>
    <r>
      <t xml:space="preserve">Apéndice A, tabla A1         </t>
    </r>
    <r>
      <rPr>
        <b/>
        <sz val="10"/>
        <color indexed="8"/>
        <rFont val="Arial"/>
        <family val="2"/>
      </rPr>
      <t>Categoría :</t>
    </r>
  </si>
  <si>
    <r>
      <t>N/m</t>
    </r>
    <r>
      <rPr>
        <b/>
        <vertAlign val="superscript"/>
        <sz val="10"/>
        <color indexed="8"/>
        <rFont val="Arial"/>
        <family val="2"/>
      </rPr>
      <t>2</t>
    </r>
  </si>
  <si>
    <r>
      <t>h</t>
    </r>
    <r>
      <rPr>
        <b/>
        <vertAlign val="subscript"/>
        <sz val="10"/>
        <color indexed="8"/>
        <rFont val="Arial"/>
        <family val="2"/>
      </rPr>
      <t xml:space="preserve">m </t>
    </r>
    <r>
      <rPr>
        <b/>
        <sz val="10"/>
        <color indexed="8"/>
        <rFont val="Arial"/>
        <family val="2"/>
      </rPr>
      <t>= ( H + hc ) / 2  =</t>
    </r>
  </si>
  <si>
    <r>
      <t>Sistema Principal Resistente a la fuerza del Viento</t>
    </r>
    <r>
      <rPr>
        <b/>
        <sz val="10"/>
        <color indexed="8"/>
        <rFont val="Arial"/>
        <family val="2"/>
      </rPr>
      <t xml:space="preserve"> ( SPRV )</t>
    </r>
  </si>
  <si>
    <r>
      <t>a =0,4 h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>=</t>
    </r>
  </si>
  <si>
    <r>
      <t xml:space="preserve">Por lo tanto:    </t>
    </r>
    <r>
      <rPr>
        <b/>
        <sz val="10"/>
        <color indexed="8"/>
        <rFont val="Arial"/>
        <family val="2"/>
      </rPr>
      <t xml:space="preserve"> a =</t>
    </r>
  </si>
  <si>
    <r>
      <rPr>
        <b/>
        <sz val="10"/>
        <color indexed="8"/>
        <rFont val="Arial"/>
        <family val="2"/>
      </rPr>
      <t>Para caso A:</t>
    </r>
    <r>
      <rPr>
        <sz val="10"/>
        <color indexed="8"/>
        <rFont val="Arial"/>
        <family val="2"/>
      </rPr>
      <t xml:space="preserve"> inclinación de la cubierta 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Symbol"/>
        <family val="1"/>
        <charset val="2"/>
      </rPr>
      <t>a</t>
    </r>
    <r>
      <rPr>
        <b/>
        <sz val="10"/>
        <color indexed="8"/>
        <rFont val="Arial"/>
        <family val="2"/>
      </rPr>
      <t xml:space="preserve"> =</t>
    </r>
  </si>
  <si>
    <t>Se adopta el menor :      a =</t>
  </si>
  <si>
    <t>ó   2,5 hm =</t>
  </si>
  <si>
    <r>
      <t xml:space="preserve">(G Cpi ) Coeficiente Presión Interior </t>
    </r>
    <r>
      <rPr>
        <b/>
        <sz val="10"/>
        <color indexed="8"/>
        <rFont val="Arial"/>
        <family val="2"/>
      </rPr>
      <t>GCpi =</t>
    </r>
  </si>
  <si>
    <r>
      <t>p 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</si>
  <si>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PRESIÓN 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</si>
  <si>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B</t>
    </r>
    <r>
      <rPr>
        <vertAlign val="subscript"/>
        <sz val="10"/>
        <color theme="1"/>
        <rFont val="Arial"/>
        <family val="2"/>
      </rPr>
      <t>1</t>
    </r>
  </si>
  <si>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2</t>
    </r>
  </si>
  <si>
    <r>
      <t>C</t>
    </r>
    <r>
      <rPr>
        <vertAlign val="subscript"/>
        <sz val="10"/>
        <color theme="1"/>
        <rFont val="Arial"/>
        <family val="2"/>
      </rPr>
      <t>1</t>
    </r>
  </si>
  <si>
    <r>
      <t>C</t>
    </r>
    <r>
      <rPr>
        <vertAlign val="subscript"/>
        <sz val="10"/>
        <color theme="1"/>
        <rFont val="Arial"/>
        <family val="2"/>
      </rPr>
      <t>2</t>
    </r>
  </si>
  <si>
    <r>
      <t>B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B L</t>
    </r>
    <r>
      <rPr>
        <vertAlign val="subscript"/>
        <sz val="10"/>
        <color theme="1"/>
        <rFont val="Arial"/>
        <family val="2"/>
      </rPr>
      <t>CS</t>
    </r>
  </si>
  <si>
    <r>
      <t>B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 xml:space="preserve"> = B L</t>
    </r>
    <r>
      <rPr>
        <vertAlign val="sub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/ 2</t>
    </r>
  </si>
  <si>
    <t>Cargas de Nudo Normal a la Pendiente</t>
  </si>
  <si>
    <r>
      <t>C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 C L</t>
    </r>
    <r>
      <rPr>
        <vertAlign val="subscript"/>
        <sz val="10"/>
        <color theme="1"/>
        <rFont val="Arial"/>
        <family val="2"/>
      </rPr>
      <t>CS</t>
    </r>
  </si>
  <si>
    <r>
      <t>C</t>
    </r>
    <r>
      <rPr>
        <vertAlign val="sub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 xml:space="preserve"> = C L</t>
    </r>
    <r>
      <rPr>
        <vertAlign val="sub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/ 2</t>
    </r>
  </si>
  <si>
    <r>
      <t>B</t>
    </r>
    <r>
      <rPr>
        <vertAlign val="subscript"/>
        <sz val="10"/>
        <color theme="1"/>
        <rFont val="Arial"/>
        <family val="2"/>
      </rPr>
      <t>1X</t>
    </r>
  </si>
  <si>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2X</t>
    </r>
  </si>
  <si>
    <r>
      <t>B</t>
    </r>
    <r>
      <rPr>
        <vertAlign val="subscript"/>
        <sz val="10"/>
        <color theme="1"/>
        <rFont val="Arial"/>
        <family val="2"/>
      </rPr>
      <t>1Y</t>
    </r>
  </si>
  <si>
    <r>
      <rPr>
        <sz val="10"/>
        <color theme="1"/>
        <rFont val="Arial"/>
        <family val="2"/>
      </rPr>
      <t>B</t>
    </r>
    <r>
      <rPr>
        <vertAlign val="subscript"/>
        <sz val="10"/>
        <color theme="1"/>
        <rFont val="Arial"/>
        <family val="2"/>
      </rPr>
      <t>2Y</t>
    </r>
  </si>
  <si>
    <r>
      <t>C</t>
    </r>
    <r>
      <rPr>
        <vertAlign val="subscript"/>
        <sz val="10"/>
        <color theme="1"/>
        <rFont val="Arial"/>
        <family val="2"/>
      </rPr>
      <t>1X</t>
    </r>
  </si>
  <si>
    <r>
      <t>C</t>
    </r>
    <r>
      <rPr>
        <vertAlign val="subscript"/>
        <sz val="10"/>
        <color theme="1"/>
        <rFont val="Arial"/>
        <family val="2"/>
      </rPr>
      <t>2X</t>
    </r>
  </si>
  <si>
    <r>
      <t>C</t>
    </r>
    <r>
      <rPr>
        <vertAlign val="subscript"/>
        <sz val="10"/>
        <color theme="1"/>
        <rFont val="Arial"/>
        <family val="2"/>
      </rPr>
      <t>1Y</t>
    </r>
  </si>
  <si>
    <r>
      <t>C</t>
    </r>
    <r>
      <rPr>
        <vertAlign val="subscript"/>
        <sz val="10"/>
        <color theme="1"/>
        <rFont val="Arial"/>
        <family val="2"/>
      </rPr>
      <t>2Y</t>
    </r>
  </si>
  <si>
    <t>Componentes respecto ejes x e y:</t>
  </si>
  <si>
    <r>
      <t>B</t>
    </r>
    <r>
      <rPr>
        <vertAlign val="subscript"/>
        <sz val="10"/>
        <color theme="1"/>
        <rFont val="Arial"/>
        <family val="2"/>
      </rPr>
      <t xml:space="preserve">1X </t>
    </r>
    <r>
      <rPr>
        <sz val="10"/>
        <color theme="1"/>
        <rFont val="Arial"/>
        <family val="2"/>
      </rPr>
      <t>= B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sen</t>
    </r>
    <r>
      <rPr>
        <sz val="10"/>
        <color theme="1"/>
        <rFont val="Symbol"/>
        <family val="1"/>
        <charset val="2"/>
      </rPr>
      <t xml:space="preserve"> a</t>
    </r>
  </si>
  <si>
    <r>
      <t>B</t>
    </r>
    <r>
      <rPr>
        <vertAlign val="subscript"/>
        <sz val="10"/>
        <color theme="1"/>
        <rFont val="Arial"/>
        <family val="2"/>
      </rPr>
      <t xml:space="preserve">1Y </t>
    </r>
    <r>
      <rPr>
        <sz val="10"/>
        <color theme="1"/>
        <rFont val="Arial"/>
        <family val="2"/>
      </rPr>
      <t>= B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cos</t>
    </r>
    <r>
      <rPr>
        <sz val="10"/>
        <color theme="1"/>
        <rFont val="Symbol"/>
        <family val="1"/>
        <charset val="2"/>
      </rPr>
      <t xml:space="preserve"> a</t>
    </r>
  </si>
  <si>
    <r>
      <t>a- Ubicación geométrica de los</t>
    </r>
    <r>
      <rPr>
        <b/>
        <sz val="10"/>
        <color indexed="8"/>
        <rFont val="Arial"/>
        <family val="2"/>
      </rPr>
      <t xml:space="preserve"> Nudos</t>
    </r>
  </si>
  <si>
    <t>Para calcular solicitaciones utilizamos el prograna PPLAN, cargamos los siguientes datos:</t>
  </si>
  <si>
    <r>
      <t xml:space="preserve">  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</si>
  <si>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 xml:space="preserve">    sen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</si>
  <si>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 xml:space="preserve">     tag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</si>
  <si>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>Kg/m</t>
    </r>
    <r>
      <rPr>
        <vertAlign val="superscript"/>
        <sz val="10"/>
        <color indexed="8"/>
        <rFont val="Arial"/>
        <family val="2"/>
      </rPr>
      <t>2</t>
    </r>
  </si>
  <si>
    <r>
      <t xml:space="preserve">F = 0,12 pendiente = 0,12 tg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</si>
  <si>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>Lr = 0,96 R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</t>
    </r>
  </si>
  <si>
    <r>
      <t>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&lt; 19 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   R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</si>
  <si>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Kg/m</t>
    </r>
    <r>
      <rPr>
        <b/>
        <vertAlign val="superscript"/>
        <sz val="10"/>
        <color indexed="8"/>
        <rFont val="Arial"/>
        <family val="2"/>
      </rPr>
      <t>2</t>
    </r>
  </si>
  <si>
    <r>
      <t xml:space="preserve">Sobrecarga de Diseño - Carga concentrada </t>
    </r>
    <r>
      <rPr>
        <b/>
        <sz val="10"/>
        <color indexed="8"/>
        <rFont val="Arial"/>
        <family val="2"/>
      </rPr>
      <t xml:space="preserve">1 KN </t>
    </r>
    <r>
      <rPr>
        <sz val="10"/>
        <color indexed="8"/>
        <rFont val="Arial"/>
        <family val="2"/>
      </rPr>
      <t>en posición mas desfavorable.</t>
    </r>
  </si>
  <si>
    <r>
      <t>(A,4,2) 1,2 (D+F+T) + 1,6 (L+H) + f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</t>
    </r>
  </si>
  <si>
    <r>
      <t>f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</si>
  <si>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(A.4.3) 1,2 D +1,6 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+ 0,8 W =</t>
    </r>
  </si>
  <si>
    <r>
      <t>(A.4.4) 1,2 D + 1,5 W + 0,5 L</t>
    </r>
    <r>
      <rPr>
        <vertAlign val="subscript"/>
        <sz val="10"/>
        <color indexed="8"/>
        <rFont val="Arial"/>
        <family val="2"/>
      </rPr>
      <t xml:space="preserve">r </t>
    </r>
    <r>
      <rPr>
        <sz val="10"/>
        <color indexed="8"/>
        <rFont val="Arial"/>
        <family val="2"/>
      </rPr>
      <t>=</t>
    </r>
  </si>
  <si>
    <r>
      <t>(A.4.5) 1,2 D +1,0 E + f1 (L + 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>) + f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 =</t>
    </r>
  </si>
  <si>
    <t>Area tributaria de la correa:        At = a . S =</t>
  </si>
  <si>
    <r>
      <t>Si    4 &lt; F &lt; 12     Entonces    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 1,2 - 0,005 F = </t>
    </r>
  </si>
  <si>
    <r>
      <t xml:space="preserve">cos </t>
    </r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</si>
  <si>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rPr>
        <b/>
        <u/>
        <sz val="10"/>
        <color theme="1"/>
        <rFont val="Arial"/>
        <family val="2"/>
      </rPr>
      <t>Carga Permanente:</t>
    </r>
    <r>
      <rPr>
        <sz val="10"/>
        <color theme="1"/>
        <rFont val="Arial"/>
        <family val="2"/>
      </rPr>
      <t xml:space="preserve"> Peso de la cubierta (chapa, cielorraso, etc.)</t>
    </r>
  </si>
  <si>
    <r>
      <t>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</si>
  <si>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t>Accion del viento:     W  =</t>
  </si>
  <si>
    <t>por lo que debere calcular la componente de D y Lr en dicha dirección.</t>
  </si>
  <si>
    <t>Cuando interviene en la formula la accion del viento considero en funcion de su dirección.</t>
  </si>
  <si>
    <r>
      <t>(A-L.1.1) (D+S)+0,7 (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 xml:space="preserve"> Li o W) =</t>
    </r>
  </si>
  <si>
    <r>
      <t>(A-L.1.2) (D+F) + 0,7 [(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>Li+W) o (W+T) o (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>Li+T)] =</t>
    </r>
  </si>
  <si>
    <r>
      <t xml:space="preserve">(A-L.1.3) (D+F) + 0,6 </t>
    </r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>Li + 0,6 W + 0,6 T =</t>
    </r>
  </si>
  <si>
    <t>.+ 100 kg</t>
  </si>
  <si>
    <r>
      <t xml:space="preserve">q </t>
    </r>
    <r>
      <rPr>
        <vertAlign val="subscript"/>
        <sz val="10"/>
        <color indexed="8"/>
        <rFont val="Arial"/>
        <family val="2"/>
      </rPr>
      <t>y-y</t>
    </r>
  </si>
  <si>
    <r>
      <t>q</t>
    </r>
    <r>
      <rPr>
        <vertAlign val="subscript"/>
        <sz val="10"/>
        <color indexed="8"/>
        <rFont val="Arial"/>
        <family val="2"/>
      </rPr>
      <t>x-x</t>
    </r>
  </si>
  <si>
    <t>Valor a izquierda: obtenido de carga vertical</t>
  </si>
  <si>
    <t>De las combinaciones las cargas D y Lr son Verticales</t>
  </si>
  <si>
    <t>Calculo de componentes</t>
  </si>
  <si>
    <r>
      <t>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 cos </t>
    </r>
    <r>
      <rPr>
        <sz val="10"/>
        <color indexed="8"/>
        <rFont val="Symbol"/>
        <family val="1"/>
        <charset val="2"/>
      </rPr>
      <t>a</t>
    </r>
  </si>
  <si>
    <r>
      <t>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 sen </t>
    </r>
    <r>
      <rPr>
        <sz val="10"/>
        <color indexed="8"/>
        <rFont val="Symbol"/>
        <family val="1"/>
        <charset val="2"/>
      </rPr>
      <t>a</t>
    </r>
  </si>
  <si>
    <r>
      <t xml:space="preserve">cos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</si>
  <si>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 xml:space="preserve">sen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</si>
  <si>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t>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 cos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</si>
  <si>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L /2 =</t>
    </r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</si>
  <si>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 8 =</t>
    </r>
  </si>
  <si>
    <r>
      <t>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 sen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</si>
  <si>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L /2 =</t>
    </r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</si>
  <si>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 8 =</t>
    </r>
  </si>
  <si>
    <t>Maximos</t>
  </si>
  <si>
    <t>Minimos</t>
  </si>
  <si>
    <r>
      <t>Combinación de acciones -</t>
    </r>
    <r>
      <rPr>
        <b/>
        <u/>
        <sz val="10"/>
        <color theme="1"/>
        <rFont val="Arial"/>
        <family val="2"/>
      </rPr>
      <t xml:space="preserve"> Estados Límites Ultimos</t>
    </r>
  </si>
  <si>
    <r>
      <rPr>
        <b/>
        <u/>
        <sz val="10"/>
        <color theme="1"/>
        <rFont val="Arial"/>
        <family val="2"/>
      </rPr>
      <t xml:space="preserve">Estados Límites de Servicio </t>
    </r>
    <r>
      <rPr>
        <b/>
        <sz val="10"/>
        <color theme="1"/>
        <rFont val="Arial"/>
        <family val="2"/>
      </rPr>
      <t>(C 301 A-L.1)  Cargas Nominales</t>
    </r>
  </si>
  <si>
    <r>
      <t>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</si>
  <si>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t>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</si>
  <si>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t>Para Montaje con carga concentrada:</t>
  </si>
  <si>
    <r>
      <t>P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P cos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</si>
  <si>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L /2 + P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/ 2 =</t>
    </r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</si>
  <si>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/ 8   +   P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L / 4 =</t>
    </r>
  </si>
  <si>
    <r>
      <t>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P sen 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</t>
    </r>
  </si>
  <si>
    <r>
      <rPr>
        <b/>
        <sz val="10"/>
        <color indexed="8"/>
        <rFont val="Arial"/>
        <family val="2"/>
      </rPr>
      <t>R</t>
    </r>
    <r>
      <rPr>
        <b/>
        <vertAlign val="subscript"/>
        <sz val="10"/>
        <color indexed="8"/>
        <rFont val="Arial"/>
        <family val="2"/>
      </rPr>
      <t>A</t>
    </r>
    <r>
      <rPr>
        <b/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</t>
    </r>
    <r>
      <rPr>
        <vertAlign val="subscript"/>
        <sz val="10"/>
        <color indexed="8"/>
        <rFont val="Arial"/>
        <family val="2"/>
      </rPr>
      <t>max</t>
    </r>
    <r>
      <rPr>
        <vertAlign val="super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L /2  + 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/ 2 =</t>
    </r>
  </si>
  <si>
    <r>
      <rPr>
        <b/>
        <sz val="10"/>
        <color indexed="8"/>
        <rFont val="Arial"/>
        <family val="2"/>
      </rPr>
      <t>M</t>
    </r>
    <r>
      <rPr>
        <b/>
        <vertAlign val="subscript"/>
        <sz val="10"/>
        <color indexed="8"/>
        <rFont val="Arial"/>
        <family val="2"/>
      </rPr>
      <t>max</t>
    </r>
    <r>
      <rPr>
        <b/>
        <vertAlign val="super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>= q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/ 8   +  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 / 4  =</t>
    </r>
  </si>
  <si>
    <r>
      <t>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</t>
    </r>
    <r>
      <rPr>
        <vertAlign val="subscript"/>
        <sz val="10"/>
        <color indexed="8"/>
        <rFont val="Arial"/>
        <family val="2"/>
      </rPr>
      <t>nec</t>
    </r>
    <r>
      <rPr>
        <sz val="10"/>
        <color indexed="8"/>
        <rFont val="Arial"/>
        <family val="2"/>
      </rPr>
      <t xml:space="preserve"> =   M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 xml:space="preserve">adm </t>
    </r>
    <r>
      <rPr>
        <sz val="10"/>
        <color indexed="8"/>
        <rFont val="Arial"/>
        <family val="2"/>
      </rPr>
      <t xml:space="preserve"> =</t>
    </r>
  </si>
  <si>
    <r>
      <t>cm</t>
    </r>
    <r>
      <rPr>
        <vertAlign val="superscript"/>
        <sz val="10"/>
        <color indexed="8"/>
        <rFont val="Arial"/>
        <family val="2"/>
      </rPr>
      <t>3</t>
    </r>
  </si>
  <si>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= </t>
    </r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 xml:space="preserve">g </t>
    </r>
    <r>
      <rPr>
        <sz val="10"/>
        <color indexed="8"/>
        <rFont val="Arial"/>
        <family val="2"/>
      </rPr>
      <t>=</t>
    </r>
  </si>
  <si>
    <r>
      <t>Kg/cm</t>
    </r>
    <r>
      <rPr>
        <vertAlign val="superscript"/>
        <sz val="10"/>
        <color indexed="8"/>
        <rFont val="Arial"/>
        <family val="2"/>
      </rPr>
      <t>2</t>
    </r>
  </si>
  <si>
    <r>
      <t>W</t>
    </r>
    <r>
      <rPr>
        <vertAlign val="subscript"/>
        <sz val="10"/>
        <color indexed="8"/>
        <rFont val="Arial"/>
        <family val="2"/>
      </rPr>
      <t xml:space="preserve">y nec </t>
    </r>
    <r>
      <rPr>
        <sz val="10"/>
        <color indexed="8"/>
        <rFont val="Arial"/>
        <family val="2"/>
      </rPr>
      <t>=   M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/ sadm  =</t>
    </r>
  </si>
  <si>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=</t>
    </r>
  </si>
  <si>
    <r>
      <t>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£</t>
    </r>
    <r>
      <rPr>
        <sz val="10"/>
        <color indexed="8"/>
        <rFont val="Arial"/>
        <family val="2"/>
      </rPr>
      <t xml:space="preserve"> L / Coef. =</t>
    </r>
  </si>
  <si>
    <r>
      <rPr>
        <sz val="10"/>
        <color indexed="8"/>
        <rFont val="Symbol"/>
        <family val="1"/>
        <charset val="2"/>
      </rPr>
      <t>g</t>
    </r>
    <r>
      <rPr>
        <sz val="10"/>
        <color indexed="8"/>
        <rFont val="Arial"/>
        <family val="2"/>
      </rPr>
      <t xml:space="preserve"> =</t>
    </r>
  </si>
  <si>
    <r>
      <t xml:space="preserve">I </t>
    </r>
    <r>
      <rPr>
        <vertAlign val="subscript"/>
        <sz val="10"/>
        <color indexed="8"/>
        <rFont val="Arial"/>
        <family val="2"/>
      </rPr>
      <t>x nec</t>
    </r>
    <r>
      <rPr>
        <sz val="10"/>
        <color indexed="8"/>
        <rFont val="Arial"/>
        <family val="2"/>
      </rPr>
      <t xml:space="preserve"> = (5/48) M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E 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 =</t>
    </r>
  </si>
  <si>
    <r>
      <t>cm</t>
    </r>
    <r>
      <rPr>
        <vertAlign val="superscript"/>
        <sz val="10"/>
        <color indexed="8"/>
        <rFont val="Arial"/>
        <family val="2"/>
      </rPr>
      <t>4</t>
    </r>
  </si>
  <si>
    <r>
      <t xml:space="preserve">I </t>
    </r>
    <r>
      <rPr>
        <vertAlign val="subscript"/>
        <sz val="10"/>
        <color indexed="8"/>
        <rFont val="Arial"/>
        <family val="2"/>
      </rPr>
      <t>y nec</t>
    </r>
    <r>
      <rPr>
        <sz val="10"/>
        <color indexed="8"/>
        <rFont val="Arial"/>
        <family val="2"/>
      </rPr>
      <t xml:space="preserve"> = (5/48) M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E 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 =</t>
    </r>
  </si>
  <si>
    <r>
      <t>M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=2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225 =</t>
    </r>
  </si>
  <si>
    <r>
      <t>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90 =</t>
    </r>
  </si>
  <si>
    <r>
      <t>M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360 =</t>
    </r>
  </si>
  <si>
    <r>
      <t>R</t>
    </r>
    <r>
      <rPr>
        <vertAlign val="subscript"/>
        <sz val="10"/>
        <color indexed="8"/>
        <rFont val="Arial"/>
        <family val="2"/>
      </rPr>
      <t>A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(q L /6) - (3M</t>
    </r>
    <r>
      <rPr>
        <vertAlign val="subscript"/>
        <sz val="10"/>
        <color indexed="8"/>
        <rFont val="Arial"/>
        <family val="2"/>
      </rPr>
      <t xml:space="preserve">2 </t>
    </r>
    <r>
      <rPr>
        <sz val="10"/>
        <color indexed="8"/>
        <rFont val="Arial"/>
        <family val="2"/>
      </rPr>
      <t>/ L) =</t>
    </r>
  </si>
  <si>
    <r>
      <t>R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 (q L/3) + (3 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L) =</t>
    </r>
  </si>
  <si>
    <r>
      <t>cm</t>
    </r>
    <r>
      <rPr>
        <vertAlign val="superscript"/>
        <sz val="10"/>
        <color indexed="8"/>
        <rFont val="Arial"/>
        <family val="2"/>
      </rPr>
      <t>2</t>
    </r>
  </si>
  <si>
    <r>
      <t>W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</t>
    </r>
    <r>
      <rPr>
        <vertAlign val="subscript"/>
        <sz val="10"/>
        <color indexed="8"/>
        <rFont val="Arial"/>
        <family val="2"/>
      </rPr>
      <t>nec</t>
    </r>
    <r>
      <rPr>
        <sz val="10"/>
        <color indexed="8"/>
        <rFont val="Arial"/>
        <family val="2"/>
      </rPr>
      <t xml:space="preserve"> =   M</t>
    </r>
    <r>
      <rPr>
        <vertAlign val="subscript"/>
        <sz val="10"/>
        <color indexed="8"/>
        <rFont val="Arial"/>
        <family val="2"/>
      </rPr>
      <t xml:space="preserve">y </t>
    </r>
    <r>
      <rPr>
        <sz val="10"/>
        <color indexed="8"/>
        <rFont val="Arial"/>
        <family val="2"/>
      </rPr>
      <t xml:space="preserve">/ </t>
    </r>
    <r>
      <rPr>
        <sz val="10"/>
        <color indexed="8"/>
        <rFont val="Symbol"/>
        <family val="1"/>
        <charset val="2"/>
      </rPr>
      <t>s</t>
    </r>
    <r>
      <rPr>
        <vertAlign val="subscript"/>
        <sz val="10"/>
        <color indexed="8"/>
        <rFont val="Arial"/>
        <family val="2"/>
      </rPr>
      <t xml:space="preserve">adm </t>
    </r>
    <r>
      <rPr>
        <sz val="10"/>
        <color indexed="8"/>
        <rFont val="Arial"/>
        <family val="2"/>
      </rPr>
      <t xml:space="preserve"> =</t>
    </r>
  </si>
  <si>
    <r>
      <t>I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</si>
  <si>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</si>
  <si>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W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</si>
  <si>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s</t>
    </r>
    <r>
      <rPr>
        <sz val="10"/>
        <color indexed="8"/>
        <rFont val="Arial"/>
        <family val="2"/>
      </rPr>
      <t xml:space="preserve"> = M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+M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/W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</si>
  <si>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t>t</t>
    </r>
    <r>
      <rPr>
        <vertAlign val="subscript"/>
        <sz val="10"/>
        <color indexed="8"/>
        <rFont val="Arial"/>
        <family val="2"/>
      </rPr>
      <t xml:space="preserve"> alas</t>
    </r>
    <r>
      <rPr>
        <sz val="10"/>
        <color indexed="8"/>
        <rFont val="Arial"/>
        <family val="2"/>
      </rPr>
      <t>=</t>
    </r>
  </si>
  <si>
    <r>
      <t>M</t>
    </r>
    <r>
      <rPr>
        <vertAlign val="subscript"/>
        <sz val="10"/>
        <color theme="1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</si>
  <si>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</si>
  <si>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t>Para flecha: Coef. Tabla A-L.4.1 :</t>
  </si>
  <si>
    <r>
      <t xml:space="preserve">q </t>
    </r>
    <r>
      <rPr>
        <vertAlign val="subscript"/>
        <sz val="10"/>
        <color theme="1"/>
        <rFont val="Arial"/>
        <family val="2"/>
      </rPr>
      <t xml:space="preserve">x </t>
    </r>
    <r>
      <rPr>
        <sz val="10"/>
        <color theme="1"/>
        <rFont val="Arial"/>
        <family val="2"/>
      </rPr>
      <t>=</t>
    </r>
  </si>
  <si>
    <r>
      <t>W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</t>
    </r>
    <r>
      <rPr>
        <vertAlign val="subscript"/>
        <sz val="10"/>
        <color indexed="8"/>
        <rFont val="Arial"/>
        <family val="2"/>
      </rPr>
      <t>nec</t>
    </r>
    <r>
      <rPr>
        <sz val="10"/>
        <color indexed="8"/>
        <rFont val="Arial"/>
        <family val="2"/>
      </rPr>
      <t xml:space="preserve"> =</t>
    </r>
  </si>
  <si>
    <r>
      <t xml:space="preserve">I </t>
    </r>
    <r>
      <rPr>
        <vertAlign val="subscript"/>
        <sz val="10"/>
        <color indexed="8"/>
        <rFont val="Arial"/>
        <family val="2"/>
      </rPr>
      <t>x nec</t>
    </r>
    <r>
      <rPr>
        <sz val="10"/>
        <color indexed="8"/>
        <rFont val="Arial"/>
        <family val="2"/>
      </rPr>
      <t xml:space="preserve"> =</t>
    </r>
  </si>
  <si>
    <t>b /2t=</t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</si>
  <si>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 xml:space="preserve"> =  0,38 (E/Fy) </t>
    </r>
    <r>
      <rPr>
        <vertAlign val="superscript"/>
        <sz val="10"/>
        <color indexed="8"/>
        <rFont val="Arial"/>
        <family val="2"/>
      </rPr>
      <t xml:space="preserve">1/2 </t>
    </r>
    <r>
      <rPr>
        <sz val="10"/>
        <color indexed="8"/>
        <rFont val="Arial"/>
        <family val="2"/>
      </rPr>
      <t>=</t>
    </r>
  </si>
  <si>
    <r>
      <t>Carga Axil Pu = 0  entonces M'p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Mp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(Momento Resistente Plástico)</t>
    </r>
  </si>
  <si>
    <r>
      <rPr>
        <b/>
        <sz val="10"/>
        <color indexed="8"/>
        <rFont val="Arial"/>
        <family val="2"/>
      </rPr>
      <t>Módulo Plastico</t>
    </r>
    <r>
      <rPr>
        <sz val="10"/>
        <color indexed="8"/>
        <rFont val="Arial"/>
        <family val="2"/>
      </rPr>
      <t xml:space="preserve">: Zx es igual a la distancia de centroides de areas de tracción y </t>
    </r>
  </si>
  <si>
    <r>
      <t>Zy= tb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/3+hs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/6=</t>
    </r>
  </si>
  <si>
    <r>
      <t>M</t>
    </r>
    <r>
      <rPr>
        <vertAlign val="subscript"/>
        <sz val="10"/>
        <color theme="1"/>
        <rFont val="Arial"/>
        <family val="2"/>
      </rPr>
      <t>px</t>
    </r>
    <r>
      <rPr>
        <sz val="10"/>
        <color theme="1"/>
        <rFont val="Arial"/>
        <family val="2"/>
      </rPr>
      <t xml:space="preserve"> = F.Zx.(10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</si>
  <si>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 F.Sx.(10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</si>
  <si>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Mpy=F.Zy.(10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</si>
  <si>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r>
      <t xml:space="preserve">Entonces </t>
    </r>
    <r>
      <rPr>
        <sz val="10"/>
        <color indexed="8"/>
        <rFont val="Calibri"/>
        <family val="2"/>
      </rPr>
      <t xml:space="preserve">ξ </t>
    </r>
    <r>
      <rPr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</si>
  <si>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</t>
    </r>
  </si>
  <si>
    <r>
      <t>2,45 (E/Fy)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</si>
  <si>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Vn = 0,6 Fy Aw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</t>
    </r>
  </si>
  <si>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>v =</t>
    </r>
  </si>
  <si>
    <r>
      <t>f</t>
    </r>
    <r>
      <rPr>
        <vertAlign val="subscript"/>
        <sz val="10"/>
        <color indexed="8"/>
        <rFont val="Arial"/>
        <family val="2"/>
      </rPr>
      <t>total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£</t>
    </r>
    <r>
      <rPr>
        <sz val="10"/>
        <color indexed="8"/>
        <rFont val="Arial"/>
        <family val="2"/>
      </rPr>
      <t xml:space="preserve">     L /</t>
    </r>
  </si>
  <si>
    <r>
      <t>f = (5/48) ML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E I =</t>
    </r>
  </si>
  <si>
    <r>
      <t>M</t>
    </r>
    <r>
      <rPr>
        <vertAlign val="subscript"/>
        <sz val="10"/>
        <color theme="1"/>
        <rFont val="Arial"/>
        <family val="2"/>
      </rPr>
      <t>py</t>
    </r>
    <r>
      <rPr>
        <sz val="10"/>
        <color theme="1"/>
        <rFont val="Arial"/>
        <family val="2"/>
      </rPr>
      <t xml:space="preserve"> = F.Zy.(10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</si>
  <si>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F.Sy.(10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</si>
  <si>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0,3  &lt;   b/h =</t>
  </si>
  <si>
    <r>
      <t>n = 0,4+b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/h =</t>
    </r>
  </si>
  <si>
    <r>
      <t>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/ h=</t>
    </r>
  </si>
  <si>
    <t>Apendice A-H.3.1</t>
  </si>
  <si>
    <r>
      <t xml:space="preserve">( Mux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M'nx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+( Muy /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M'ny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£</t>
    </r>
    <r>
      <rPr>
        <sz val="10"/>
        <color indexed="8"/>
        <rFont val="Arial"/>
        <family val="2"/>
      </rPr>
      <t xml:space="preserve"> 1</t>
    </r>
  </si>
  <si>
    <t>kgm =</t>
  </si>
  <si>
    <r>
      <t>( M</t>
    </r>
    <r>
      <rPr>
        <vertAlign val="subscript"/>
        <sz val="10"/>
        <color theme="1"/>
        <rFont val="Arial"/>
        <family val="2"/>
      </rPr>
      <t>ux</t>
    </r>
    <r>
      <rPr>
        <sz val="10"/>
        <color theme="1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 M'</t>
    </r>
    <r>
      <rPr>
        <vertAlign val="subscript"/>
        <sz val="10"/>
        <color indexed="8"/>
        <rFont val="Arial"/>
        <family val="2"/>
      </rPr>
      <t>nx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 xml:space="preserve">x  </t>
    </r>
    <r>
      <rPr>
        <sz val="10"/>
        <color indexed="8"/>
        <rFont val="Arial"/>
        <family val="2"/>
      </rPr>
      <t xml:space="preserve"> +  ( M</t>
    </r>
    <r>
      <rPr>
        <vertAlign val="subscript"/>
        <sz val="10"/>
        <color indexed="8"/>
        <rFont val="Arial"/>
        <family val="2"/>
      </rPr>
      <t>uy</t>
    </r>
    <r>
      <rPr>
        <sz val="10"/>
        <color indexed="8"/>
        <rFont val="Arial"/>
        <family val="2"/>
      </rPr>
      <t xml:space="preserve"> / 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b </t>
    </r>
    <r>
      <rPr>
        <sz val="10"/>
        <color indexed="8"/>
        <rFont val="Arial"/>
        <family val="2"/>
      </rPr>
      <t xml:space="preserve"> M'</t>
    </r>
    <r>
      <rPr>
        <vertAlign val="subscript"/>
        <sz val="10"/>
        <color indexed="8"/>
        <rFont val="Arial"/>
        <family val="2"/>
      </rPr>
      <t>ny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  =</t>
    </r>
  </si>
  <si>
    <r>
      <t>M</t>
    </r>
    <r>
      <rPr>
        <vertAlign val="subscript"/>
        <sz val="10"/>
        <color theme="1"/>
        <rFont val="Arial"/>
        <family val="2"/>
      </rPr>
      <t>ux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</si>
  <si>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uy</t>
    </r>
    <r>
      <rPr>
        <sz val="10"/>
        <color theme="1"/>
        <rFont val="Arial"/>
        <family val="2"/>
      </rPr>
      <t xml:space="preserve"> =</t>
    </r>
  </si>
  <si>
    <r>
      <t xml:space="preserve">Entonces   </t>
    </r>
    <r>
      <rPr>
        <sz val="10"/>
        <color indexed="8"/>
        <rFont val="Calibri"/>
        <family val="2"/>
      </rPr>
      <t xml:space="preserve">ξ  </t>
    </r>
    <r>
      <rPr>
        <sz val="10"/>
        <color indexed="8"/>
        <rFont val="Arial"/>
        <family val="2"/>
      </rPr>
      <t>=</t>
    </r>
  </si>
  <si>
    <r>
      <t>V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 </t>
    </r>
    <r>
      <rPr>
        <sz val="10"/>
        <color indexed="8"/>
        <rFont val="Symbol"/>
        <family val="1"/>
        <charset val="2"/>
      </rPr>
      <t xml:space="preserve"> f</t>
    </r>
    <r>
      <rPr>
        <sz val="10"/>
        <color indexed="8"/>
        <rFont val="Arial"/>
        <family val="2"/>
      </rPr>
      <t>v  Vn =</t>
    </r>
  </si>
  <si>
    <t>Mto estatico</t>
  </si>
  <si>
    <r>
      <t>L</t>
    </r>
    <r>
      <rPr>
        <vertAlign val="subscript"/>
        <sz val="10"/>
        <color indexed="8"/>
        <rFont val="Arial"/>
        <family val="2"/>
      </rPr>
      <t>CS</t>
    </r>
    <r>
      <rPr>
        <sz val="10"/>
        <color indexed="8"/>
        <rFont val="Arial"/>
        <family val="2"/>
      </rPr>
      <t xml:space="preserve"> =</t>
    </r>
  </si>
  <si>
    <r>
      <t>Pandeo alrededor del eje x-x:  Suponemos</t>
    </r>
    <r>
      <rPr>
        <sz val="10"/>
        <color indexed="8"/>
        <rFont val="Symbol"/>
        <family val="1"/>
        <charset val="2"/>
      </rPr>
      <t xml:space="preserve"> l</t>
    </r>
    <r>
      <rPr>
        <sz val="10"/>
        <color indexed="8"/>
        <rFont val="Arial"/>
        <family val="2"/>
      </rPr>
      <t>x</t>
    </r>
    <r>
      <rPr>
        <sz val="10"/>
        <color indexed="8"/>
        <rFont val="Symbol"/>
        <family val="1"/>
        <charset val="2"/>
      </rPr>
      <t xml:space="preserve"> </t>
    </r>
    <r>
      <rPr>
        <sz val="10"/>
        <color indexed="8"/>
        <rFont val="Arial"/>
        <family val="2"/>
      </rPr>
      <t>=</t>
    </r>
  </si>
  <si>
    <r>
      <t>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Kx L/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x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</si>
  <si>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= (1/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 (kL/r) 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</si>
  <si>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 xml:space="preserve">Elementos no esbeltos 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&lt; 1,5</t>
    </r>
  </si>
  <si>
    <r>
      <t>Fcr = (0,658^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Fy 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</si>
  <si>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</t>
    </r>
  </si>
  <si>
    <r>
      <t xml:space="preserve">Pd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Pn</t>
    </r>
  </si>
  <si>
    <r>
      <t>Pn =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</t>
    </r>
  </si>
  <si>
    <r>
      <t xml:space="preserve">Pd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) </t>
    </r>
  </si>
  <si>
    <r>
      <t xml:space="preserve">Ag = 10 Pd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Fcr =</t>
    </r>
  </si>
  <si>
    <r>
      <t>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=</t>
    </r>
  </si>
  <si>
    <r>
      <t>I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 I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</t>
    </r>
  </si>
  <si>
    <r>
      <t>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=r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</t>
    </r>
  </si>
  <si>
    <r>
      <t>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=e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=</t>
    </r>
  </si>
  <si>
    <t>Kg   =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</si>
  <si>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 200 /(Fy)</t>
    </r>
    <r>
      <rPr>
        <vertAlign val="superscript"/>
        <sz val="10"/>
        <color indexed="8"/>
        <rFont val="Arial"/>
        <family val="2"/>
      </rPr>
      <t xml:space="preserve">-2 </t>
    </r>
    <r>
      <rPr>
        <sz val="10"/>
        <color indexed="8"/>
        <rFont val="Arial"/>
        <family val="2"/>
      </rPr>
      <t>=</t>
    </r>
  </si>
  <si>
    <r>
      <t>si</t>
    </r>
    <r>
      <rPr>
        <sz val="10"/>
        <color indexed="8"/>
        <rFont val="Symbol"/>
        <family val="1"/>
        <charset val="2"/>
      </rPr>
      <t xml:space="preserve"> l</t>
    </r>
    <r>
      <rPr>
        <sz val="10"/>
        <color indexed="8"/>
        <rFont val="Arial"/>
        <family val="2"/>
      </rPr>
      <t xml:space="preserve">f &lt; 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r el ala no es esbelta, entonces Q = 1</t>
    </r>
  </si>
  <si>
    <r>
      <rPr>
        <sz val="10"/>
        <color indexed="8"/>
        <rFont val="Symbol"/>
        <family val="1"/>
        <charset val="2"/>
      </rPr>
      <t xml:space="preserve">  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Kx L / rx =</t>
    </r>
  </si>
  <si>
    <r>
      <t>Adopto e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 xml:space="preserve"> =</t>
    </r>
  </si>
  <si>
    <r>
      <t xml:space="preserve">I 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2 ( I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 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+e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>/2)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</si>
  <si>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r</t>
    </r>
    <r>
      <rPr>
        <vertAlign val="subscript"/>
        <sz val="10"/>
        <color indexed="8"/>
        <rFont val="Arial"/>
        <family val="2"/>
      </rPr>
      <t>yT</t>
    </r>
    <r>
      <rPr>
        <sz val="10"/>
        <color indexed="8"/>
        <rFont val="Arial"/>
        <family val="2"/>
      </rPr>
      <t xml:space="preserve"> = ( Iy / Ag)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</si>
  <si>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h = 2 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+ e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 xml:space="preserve"> =</t>
    </r>
  </si>
  <si>
    <r>
      <t>ri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 ry</t>
    </r>
  </si>
  <si>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 xml:space="preserve"> = Relación de separación = h / 2 ri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</t>
    </r>
  </si>
  <si>
    <r>
      <t>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</t>
    </r>
  </si>
  <si>
    <r>
      <t>(Ky L/r</t>
    </r>
    <r>
      <rPr>
        <vertAlign val="subscript"/>
        <sz val="10"/>
        <color indexed="8"/>
        <rFont val="Arial"/>
        <family val="2"/>
      </rPr>
      <t>yT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</si>
  <si>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(n</t>
    </r>
    <r>
      <rPr>
        <vertAlign val="subscript"/>
        <sz val="10"/>
        <color indexed="8"/>
        <rFont val="Arial"/>
        <family val="2"/>
      </rPr>
      <t>min</t>
    </r>
    <r>
      <rPr>
        <sz val="10"/>
        <color indexed="8"/>
        <rFont val="Arial"/>
        <family val="2"/>
      </rPr>
      <t xml:space="preserve"> = 3)</t>
    </r>
  </si>
  <si>
    <r>
      <t xml:space="preserve">Esbeltez modificada: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= ((Ky L/r</t>
    </r>
    <r>
      <rPr>
        <vertAlign val="subscript"/>
        <sz val="10"/>
        <color indexed="8"/>
        <rFont val="Arial"/>
        <family val="2"/>
      </rPr>
      <t>yT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+0,82(</t>
    </r>
    <r>
      <rPr>
        <sz val="10"/>
        <color indexed="8"/>
        <rFont val="Symbol"/>
        <family val="1"/>
        <charset val="2"/>
      </rPr>
      <t>a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/(1+</t>
    </r>
    <r>
      <rPr>
        <sz val="10"/>
        <color indexed="8"/>
        <rFont val="Symbol"/>
        <family val="1"/>
        <charset val="2"/>
      </rPr>
      <t>a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)(a/ri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</si>
  <si>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m=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</si>
  <si>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 xml:space="preserve">c = </t>
    </r>
    <r>
      <rPr>
        <sz val="10"/>
        <color indexed="8"/>
        <rFont val="Symbol"/>
        <family val="1"/>
        <charset val="2"/>
      </rPr>
      <t>p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(Fy / 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</si>
  <si>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x=</t>
    </r>
  </si>
  <si>
    <r>
      <t>Fcr = 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Fy =</t>
    </r>
  </si>
  <si>
    <r>
      <t xml:space="preserve">Resistencia de Diseño: Rd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</si>
  <si>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Symbol"/>
        <family val="1"/>
        <charset val="2"/>
      </rPr>
      <t xml:space="preserve"> </t>
    </r>
    <r>
      <rPr>
        <sz val="10"/>
        <color indexed="8"/>
        <rFont val="Arial"/>
        <family val="2"/>
      </rPr>
      <t>=</t>
    </r>
  </si>
  <si>
    <r>
      <t>N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</si>
  <si>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Symbol"/>
        <family val="1"/>
        <charset val="2"/>
      </rPr>
      <t xml:space="preserve"> </t>
    </r>
    <r>
      <rPr>
        <sz val="10"/>
        <color indexed="8"/>
        <rFont val="Arial"/>
        <family val="2"/>
      </rPr>
      <t>=</t>
    </r>
  </si>
  <si>
    <r>
      <t xml:space="preserve">Ae </t>
    </r>
    <r>
      <rPr>
        <vertAlign val="subscript"/>
        <sz val="10"/>
        <color indexed="8"/>
        <rFont val="Arial"/>
        <family val="2"/>
      </rPr>
      <t xml:space="preserve">nec </t>
    </r>
    <r>
      <rPr>
        <sz val="10"/>
        <color indexed="8"/>
        <rFont val="Arial"/>
        <family val="2"/>
      </rPr>
      <t>= 10 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Fy =</t>
    </r>
  </si>
  <si>
    <r>
      <t xml:space="preserve">  V = 0,02 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</t>
    </r>
  </si>
  <si>
    <r>
      <t>L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 xml:space="preserve">= 10VSa / 0,75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Iy</t>
    </r>
    <r>
      <rPr>
        <vertAlign val="subscript"/>
        <sz val="10"/>
        <color indexed="8"/>
        <rFont val="Arial"/>
        <family val="2"/>
      </rPr>
      <t>G</t>
    </r>
    <r>
      <rPr>
        <sz val="10"/>
        <color indexed="8"/>
        <rFont val="Arial"/>
        <family val="2"/>
      </rPr>
      <t xml:space="preserve"> t fu =</t>
    </r>
  </si>
  <si>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>=</t>
    </r>
  </si>
  <si>
    <r>
      <t>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 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 (e'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/b) 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+ (e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/b) L</t>
    </r>
    <r>
      <rPr>
        <vertAlign val="subscript"/>
        <sz val="10"/>
        <color indexed="8"/>
        <rFont val="Arial"/>
        <family val="2"/>
      </rPr>
      <t>T</t>
    </r>
  </si>
  <si>
    <r>
      <t>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</si>
  <si>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</si>
  <si>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En Nudo se considera la carga de diseño P</t>
    </r>
    <r>
      <rPr>
        <vertAlign val="subscript"/>
        <sz val="10"/>
        <color indexed="8"/>
        <rFont val="Arial"/>
        <family val="2"/>
      </rPr>
      <t xml:space="preserve">D </t>
    </r>
    <r>
      <rPr>
        <sz val="10"/>
        <color indexed="8"/>
        <rFont val="Arial"/>
        <family val="2"/>
      </rPr>
      <t>=</t>
    </r>
  </si>
  <si>
    <r>
      <t>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 5 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>/0,75</t>
    </r>
    <r>
      <rPr>
        <sz val="10"/>
        <color indexed="8"/>
        <rFont val="Symbol"/>
        <family val="1"/>
        <charset val="2"/>
      </rPr>
      <t xml:space="preserve"> f</t>
    </r>
    <r>
      <rPr>
        <sz val="10"/>
        <color indexed="8"/>
        <rFont val="Arial"/>
        <family val="2"/>
      </rPr>
      <t xml:space="preserve"> t fu =</t>
    </r>
  </si>
  <si>
    <r>
      <t xml:space="preserve">Esbeltez del Ala: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 b / t =</t>
    </r>
  </si>
  <si>
    <r>
      <rPr>
        <sz val="10"/>
        <color indexed="8"/>
        <rFont val="Symbol"/>
        <family val="1"/>
        <charset val="2"/>
      </rPr>
      <t xml:space="preserve">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=Kx L/ rx=</t>
    </r>
  </si>
  <si>
    <r>
      <t xml:space="preserve">   e'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/ e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</t>
    </r>
  </si>
  <si>
    <r>
      <t xml:space="preserve">Fcr = (0,658 ^ 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Fy =</t>
    </r>
  </si>
  <si>
    <r>
      <t xml:space="preserve">Resistencia de Diseño:Rd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</si>
  <si>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t>Calculo de soldadura :</t>
  </si>
  <si>
    <t>tw =</t>
  </si>
  <si>
    <r>
      <t>L</t>
    </r>
    <r>
      <rPr>
        <vertAlign val="subscript"/>
        <sz val="10"/>
        <color indexed="8"/>
        <rFont val="Arial"/>
        <family val="2"/>
      </rPr>
      <t xml:space="preserve">sold  </t>
    </r>
    <r>
      <rPr>
        <sz val="10"/>
        <color indexed="8"/>
        <rFont val="Arial"/>
        <family val="2"/>
      </rPr>
      <t xml:space="preserve">= 10 V Sa / 0,75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Iy</t>
    </r>
    <r>
      <rPr>
        <vertAlign val="subscript"/>
        <sz val="10"/>
        <color indexed="8"/>
        <rFont val="Arial"/>
        <family val="2"/>
      </rPr>
      <t>G</t>
    </r>
    <r>
      <rPr>
        <sz val="10"/>
        <color indexed="8"/>
        <rFont val="Arial"/>
        <family val="2"/>
      </rPr>
      <t xml:space="preserve"> t fu =</t>
    </r>
  </si>
  <si>
    <r>
      <t>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 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 ( 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 ) L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+ ( 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/b ) L</t>
    </r>
    <r>
      <rPr>
        <vertAlign val="subscript"/>
        <sz val="10"/>
        <color indexed="8"/>
        <rFont val="Arial"/>
        <family val="2"/>
      </rPr>
      <t>T</t>
    </r>
  </si>
  <si>
    <t>En Nudo se considera la carga max.</t>
  </si>
  <si>
    <r>
      <t>P</t>
    </r>
    <r>
      <rPr>
        <sz val="10"/>
        <color theme="1"/>
        <rFont val="Arial"/>
        <family val="2"/>
      </rPr>
      <t xml:space="preserve"> =</t>
    </r>
  </si>
  <si>
    <r>
      <t xml:space="preserve">Ag= 10 Pd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Fcr=</t>
    </r>
  </si>
  <si>
    <r>
      <t>L</t>
    </r>
    <r>
      <rPr>
        <vertAlign val="subscript"/>
        <sz val="10"/>
        <color indexed="8"/>
        <rFont val="Arial"/>
        <family val="2"/>
      </rPr>
      <t>CI</t>
    </r>
    <r>
      <rPr>
        <sz val="10"/>
        <color indexed="8"/>
        <rFont val="Arial"/>
        <family val="2"/>
      </rPr>
      <t xml:space="preserve"> =</t>
    </r>
  </si>
  <si>
    <t>Kg    =</t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</si>
  <si>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=  (1/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  (kL/r)  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</si>
  <si>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Ag= 10 Pd /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Fcr =</t>
    </r>
  </si>
  <si>
    <t>Nº de campos n =</t>
  </si>
  <si>
    <r>
      <t>L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=</t>
    </r>
  </si>
  <si>
    <t>Kg     =</t>
  </si>
  <si>
    <r>
      <rPr>
        <sz val="10"/>
        <color indexed="8"/>
        <rFont val="Symbol"/>
        <family val="1"/>
        <charset val="2"/>
      </rPr>
      <t xml:space="preserve">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 /r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</si>
  <si>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 xml:space="preserve">Resistencia de Diseño: Rd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=</t>
    </r>
  </si>
  <si>
    <t>Kg =</t>
  </si>
  <si>
    <r>
      <t>L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</si>
  <si>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Kx L /rx =</t>
    </r>
  </si>
  <si>
    <t>Kg  =</t>
  </si>
  <si>
    <r>
      <t>kg/m</t>
    </r>
    <r>
      <rPr>
        <vertAlign val="superscript"/>
        <sz val="10"/>
        <color indexed="8"/>
        <rFont val="Arial"/>
        <family val="2"/>
      </rPr>
      <t>2</t>
    </r>
  </si>
  <si>
    <r>
      <t>kg/cm</t>
    </r>
    <r>
      <rPr>
        <vertAlign val="superscript"/>
        <sz val="10"/>
        <color indexed="8"/>
        <rFont val="Arial"/>
        <family val="2"/>
      </rPr>
      <t>2</t>
    </r>
  </si>
  <si>
    <r>
      <t>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</t>
    </r>
  </si>
  <si>
    <r>
      <t>e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</si>
  <si>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t>d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 (b-e)/2 =</t>
    </r>
  </si>
  <si>
    <r>
      <t>d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=(E(e-s)+H(e-(s/2)))/(2E+H)=</t>
    </r>
  </si>
  <si>
    <r>
      <t>d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</si>
  <si>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d</t>
    </r>
    <r>
      <rPr>
        <vertAlign val="subscript"/>
        <sz val="10"/>
        <color indexed="8"/>
        <rFont val="Arial"/>
        <family val="2"/>
      </rPr>
      <t>T</t>
    </r>
    <r>
      <rPr>
        <sz val="10"/>
        <color indexed="8"/>
        <rFont val="Arial"/>
        <family val="2"/>
      </rPr>
      <t xml:space="preserve"> =</t>
    </r>
  </si>
  <si>
    <r>
      <t>M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/8 =</t>
    </r>
  </si>
  <si>
    <r>
      <t>R</t>
    </r>
    <r>
      <rPr>
        <vertAlign val="sub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>= q L / 2 =</t>
    </r>
  </si>
  <si>
    <r>
      <t>q</t>
    </r>
    <r>
      <rPr>
        <vertAlign val="subscript"/>
        <sz val="10"/>
        <color indexed="8"/>
        <rFont val="Arial"/>
        <family val="2"/>
      </rPr>
      <t xml:space="preserve">x </t>
    </r>
    <r>
      <rPr>
        <sz val="10"/>
        <color indexed="8"/>
        <rFont val="Arial"/>
        <family val="2"/>
      </rPr>
      <t>=</t>
    </r>
  </si>
  <si>
    <r>
      <t>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=q (L/2)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/8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</si>
  <si>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 xml:space="preserve"> = 0,38 (E/Fy)</t>
    </r>
    <r>
      <rPr>
        <vertAlign val="superscript"/>
        <sz val="10"/>
        <color indexed="8"/>
        <rFont val="Arial"/>
        <family val="2"/>
      </rPr>
      <t>-2</t>
    </r>
    <r>
      <rPr>
        <sz val="10"/>
        <color indexed="8"/>
        <rFont val="Arial"/>
        <family val="2"/>
      </rPr>
      <t>=</t>
    </r>
  </si>
  <si>
    <r>
      <t>R</t>
    </r>
    <r>
      <rPr>
        <vertAlign val="subscript"/>
        <sz val="10"/>
        <color indexed="8"/>
        <rFont val="Arial"/>
        <family val="2"/>
      </rPr>
      <t xml:space="preserve">A 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 xml:space="preserve">C </t>
    </r>
    <r>
      <rPr>
        <sz val="10"/>
        <color indexed="8"/>
        <rFont val="Arial"/>
        <family val="2"/>
      </rPr>
      <t>=(q L /4) - (2M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/L)=</t>
    </r>
  </si>
  <si>
    <r>
      <t>R</t>
    </r>
    <r>
      <rPr>
        <vertAlign val="subscript"/>
        <sz val="10"/>
        <color indexed="8"/>
        <rFont val="Arial"/>
        <family val="2"/>
      </rPr>
      <t>B</t>
    </r>
    <r>
      <rPr>
        <vertAlign val="superscript"/>
        <sz val="10"/>
        <color indexed="8"/>
        <rFont val="Arial"/>
        <family val="2"/>
      </rPr>
      <t>I</t>
    </r>
    <r>
      <rPr>
        <sz val="10"/>
        <color indexed="8"/>
        <rFont val="Arial"/>
        <family val="2"/>
      </rPr>
      <t xml:space="preserve"> = 2 [(qL / 4) + (2M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/L)]=</t>
    </r>
  </si>
  <si>
    <t>kg   (Absorvida por tensor)</t>
  </si>
  <si>
    <r>
      <t>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</si>
  <si>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r</t>
    </r>
    <r>
      <rPr>
        <vertAlign val="subscript"/>
        <sz val="10"/>
        <color indexed="8"/>
        <rFont val="Arial"/>
        <family val="2"/>
      </rPr>
      <t>min</t>
    </r>
    <r>
      <rPr>
        <sz val="10"/>
        <color indexed="8"/>
        <rFont val="Arial"/>
        <family val="2"/>
      </rPr>
      <t xml:space="preserve"> =</t>
    </r>
  </si>
  <si>
    <r>
      <t>t</t>
    </r>
    <r>
      <rPr>
        <vertAlign val="subscript"/>
        <sz val="10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=</t>
    </r>
  </si>
  <si>
    <r>
      <t>S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</si>
  <si>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tg</t>
    </r>
    <r>
      <rPr>
        <sz val="10"/>
        <color indexed="8"/>
        <rFont val="Symbol"/>
        <family val="1"/>
        <charset val="2"/>
      </rPr>
      <t>a</t>
    </r>
    <r>
      <rPr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</si>
  <si>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 xml:space="preserve">a </t>
    </r>
    <r>
      <rPr>
        <sz val="10"/>
        <color indexed="8"/>
        <rFont val="Arial"/>
        <family val="2"/>
      </rPr>
      <t>=</t>
    </r>
  </si>
  <si>
    <r>
      <t>k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</si>
  <si>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 k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L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/ r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 xml:space="preserve"> =</t>
    </r>
  </si>
  <si>
    <r>
      <t>P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Pn</t>
    </r>
  </si>
  <si>
    <r>
      <t xml:space="preserve">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</si>
  <si>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 b/t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</si>
  <si>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 250 / (fy)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</si>
  <si>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w</t>
    </r>
    <r>
      <rPr>
        <sz val="10"/>
        <color indexed="8"/>
        <rFont val="Arial"/>
        <family val="2"/>
      </rPr>
      <t xml:space="preserve"> = hw/tw = h-4t/tw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</si>
  <si>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r</t>
    </r>
    <r>
      <rPr>
        <sz val="10"/>
        <color indexed="8"/>
        <rFont val="Arial"/>
        <family val="2"/>
      </rPr>
      <t xml:space="preserve"> = 665/ (fy)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</si>
  <si>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 = (KL/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r) 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</si>
  <si>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Iy= 2(I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(B/2-e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=</t>
    </r>
  </si>
  <si>
    <r>
      <t>r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 (Iy/Ag)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</si>
  <si>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= (2 </t>
    </r>
    <r>
      <rPr>
        <sz val="10"/>
        <color indexed="8"/>
        <rFont val="Symbol"/>
        <family val="1"/>
        <charset val="2"/>
      </rPr>
      <t xml:space="preserve">p </t>
    </r>
    <r>
      <rPr>
        <sz val="10"/>
        <color indexed="8"/>
        <rFont val="Arial"/>
        <family val="2"/>
      </rPr>
      <t>Ag d</t>
    </r>
    <r>
      <rPr>
        <vertAlign val="superscript"/>
        <sz val="10"/>
        <color indexed="8"/>
        <rFont val="Arial"/>
        <family val="2"/>
      </rPr>
      <t xml:space="preserve">3 </t>
    </r>
    <r>
      <rPr>
        <sz val="10"/>
        <color indexed="8"/>
        <rFont val="Arial"/>
        <family val="2"/>
      </rPr>
      <t>/ n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Ad a h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</si>
  <si>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t>k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</si>
  <si>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n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 xml:space="preserve"> =</t>
    </r>
  </si>
  <si>
    <r>
      <t>k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=</t>
    </r>
  </si>
  <si>
    <r>
      <t>n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</si>
  <si>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e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=</t>
    </r>
  </si>
  <si>
    <r>
      <t>Ms = (Pu 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 xml:space="preserve"> + Mu) / (1- (Pu / Pcm)) =</t>
    </r>
  </si>
  <si>
    <r>
      <t>P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/P</t>
    </r>
    <r>
      <rPr>
        <vertAlign val="subscript"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>=</t>
    </r>
  </si>
  <si>
    <r>
      <t>Pu</t>
    </r>
    <r>
      <rPr>
        <vertAlign val="subscript"/>
        <sz val="10"/>
        <color indexed="8"/>
        <rFont val="Arial"/>
        <family val="2"/>
      </rPr>
      <t xml:space="preserve">1 </t>
    </r>
    <r>
      <rPr>
        <sz val="10"/>
        <color indexed="8"/>
        <rFont val="Arial"/>
        <family val="2"/>
      </rPr>
      <t>= Pu/n +Ms/n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h =</t>
    </r>
  </si>
  <si>
    <r>
      <t>(Fy/E)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</si>
  <si>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c1</t>
    </r>
    <r>
      <rPr>
        <sz val="10"/>
        <color indexed="8"/>
        <rFont val="Arial"/>
        <family val="2"/>
      </rPr>
      <t xml:space="preserve"> = (L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/ r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)(Fy/E)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</si>
  <si>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rFont val="Symbol"/>
        <family val="1"/>
        <charset val="2"/>
      </rPr>
      <t>l</t>
    </r>
    <r>
      <rPr>
        <vertAlign val="subscript"/>
        <sz val="10"/>
        <rFont val="Arial"/>
        <family val="2"/>
      </rPr>
      <t>c1</t>
    </r>
    <r>
      <rPr>
        <sz val="10"/>
        <rFont val="Arial"/>
        <family val="2"/>
      </rPr>
      <t xml:space="preserve"> =</t>
    </r>
  </si>
  <si>
    <r>
      <t>Fcr = (0,877/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 Fy =</t>
    </r>
  </si>
  <si>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 xml:space="preserve"> =</t>
    </r>
  </si>
  <si>
    <r>
      <t>Ve</t>
    </r>
    <r>
      <rPr>
        <vertAlign val="subscript"/>
        <sz val="10"/>
        <color indexed="8"/>
        <rFont val="Arial"/>
        <family val="2"/>
      </rPr>
      <t>u</t>
    </r>
    <r>
      <rPr>
        <sz val="10"/>
        <color indexed="8"/>
        <rFont val="Arial"/>
        <family val="2"/>
      </rPr>
      <t xml:space="preserve"> =</t>
    </r>
    <r>
      <rPr>
        <sz val="10"/>
        <color indexed="8"/>
        <rFont val="Symbol"/>
        <family val="1"/>
        <charset val="2"/>
      </rPr>
      <t xml:space="preserve"> b</t>
    </r>
    <r>
      <rPr>
        <sz val="10"/>
        <color indexed="8"/>
        <rFont val="Arial"/>
        <family val="2"/>
      </rPr>
      <t xml:space="preserve"> Pu +Vu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</si>
  <si>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k L / r</t>
    </r>
    <r>
      <rPr>
        <vertAlign val="subscript"/>
        <sz val="10"/>
        <color indexed="8"/>
        <rFont val="Arial"/>
        <family val="2"/>
      </rPr>
      <t>min</t>
    </r>
    <r>
      <rPr>
        <sz val="10"/>
        <color indexed="8"/>
        <rFont val="Arial"/>
        <family val="2"/>
      </rPr>
      <t xml:space="preserve"> =</t>
    </r>
  </si>
  <si>
    <r>
      <t xml:space="preserve">Pd =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 =</t>
    </r>
  </si>
  <si>
    <r>
      <t>Pd</t>
    </r>
    <r>
      <rPr>
        <sz val="10"/>
        <color indexed="8"/>
        <rFont val="Arial"/>
        <family val="2"/>
      </rPr>
      <t xml:space="preserve"> =</t>
    </r>
  </si>
  <si>
    <r>
      <t>L</t>
    </r>
    <r>
      <rPr>
        <vertAlign val="subscript"/>
        <sz val="10"/>
        <color theme="1"/>
        <rFont val="Arial"/>
        <family val="2"/>
      </rPr>
      <t>sold</t>
    </r>
    <r>
      <rPr>
        <sz val="10"/>
        <color theme="1"/>
        <rFont val="Arial"/>
        <family val="2"/>
      </rPr>
      <t xml:space="preserve"> = Pd / 0,75 </t>
    </r>
    <r>
      <rPr>
        <sz val="10"/>
        <color theme="1"/>
        <rFont val="Symbol"/>
        <family val="1"/>
        <charset val="2"/>
      </rPr>
      <t xml:space="preserve">f </t>
    </r>
    <r>
      <rPr>
        <sz val="10"/>
        <color theme="1"/>
        <rFont val="Arial"/>
        <family val="2"/>
      </rPr>
      <t>( t</t>
    </r>
    <r>
      <rPr>
        <vertAlign val="subscript"/>
        <sz val="10"/>
        <color theme="1"/>
        <rFont val="Arial"/>
        <family val="2"/>
      </rPr>
      <t>sold</t>
    </r>
    <r>
      <rPr>
        <sz val="10"/>
        <color theme="1"/>
        <rFont val="Arial"/>
        <family val="2"/>
      </rPr>
      <t>*Fy ) =</t>
    </r>
  </si>
  <si>
    <r>
      <t>t</t>
    </r>
    <r>
      <rPr>
        <vertAlign val="subscript"/>
        <sz val="10"/>
        <color theme="1"/>
        <rFont val="Arial"/>
        <family val="2"/>
      </rPr>
      <t>sold</t>
    </r>
    <r>
      <rPr>
        <sz val="10"/>
        <color theme="1"/>
        <rFont val="Arial"/>
        <family val="2"/>
      </rPr>
      <t>=</t>
    </r>
  </si>
  <si>
    <r>
      <t>L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 xml:space="preserve"> = L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>+L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 (e'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/a) L</t>
    </r>
    <r>
      <rPr>
        <vertAlign val="subscript"/>
        <sz val="10"/>
        <color indexed="8"/>
        <rFont val="Arial"/>
        <family val="2"/>
      </rPr>
      <t>sold</t>
    </r>
    <r>
      <rPr>
        <sz val="10"/>
        <color indexed="8"/>
        <rFont val="Arial"/>
        <family val="2"/>
      </rPr>
      <t xml:space="preserve"> + (e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/a) L</t>
    </r>
    <r>
      <rPr>
        <vertAlign val="subscript"/>
        <sz val="10"/>
        <color indexed="8"/>
        <rFont val="Arial"/>
        <family val="2"/>
      </rPr>
      <t xml:space="preserve">sold </t>
    </r>
    <r>
      <rPr>
        <sz val="10"/>
        <color indexed="8"/>
        <rFont val="Arial"/>
        <family val="2"/>
      </rPr>
      <t>=</t>
    </r>
  </si>
  <si>
    <r>
      <t>kg/m</t>
    </r>
    <r>
      <rPr>
        <vertAlign val="superscript"/>
        <sz val="10"/>
        <color indexed="8"/>
        <rFont val="Arial"/>
        <family val="2"/>
      </rPr>
      <t xml:space="preserve">2  </t>
    </r>
    <r>
      <rPr>
        <sz val="10"/>
        <color indexed="8"/>
        <rFont val="Arial"/>
        <family val="2"/>
      </rPr>
      <t xml:space="preserve">   +</t>
    </r>
  </si>
  <si>
    <r>
      <t>en Kg/m</t>
    </r>
    <r>
      <rPr>
        <b/>
        <vertAlign val="superscript"/>
        <sz val="10"/>
        <color indexed="8"/>
        <rFont val="Arial"/>
        <family val="2"/>
      </rPr>
      <t>2</t>
    </r>
  </si>
  <si>
    <t>1 m</t>
  </si>
  <si>
    <t>Cuando Calculamos Correas obtuvimos los siguientes datos:</t>
  </si>
  <si>
    <r>
      <t xml:space="preserve">   Vn = 0,6 Fy Aw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 =</t>
    </r>
  </si>
  <si>
    <t>Corresponde según eje mayor de correa.</t>
  </si>
  <si>
    <t>el cual debemos calcular sus componente</t>
  </si>
  <si>
    <t>vertical</t>
  </si>
  <si>
    <t>q vert</t>
  </si>
  <si>
    <r>
      <t xml:space="preserve">q </t>
    </r>
    <r>
      <rPr>
        <vertAlign val="subscript"/>
        <sz val="10"/>
        <color theme="1"/>
        <rFont val="Arial"/>
        <family val="2"/>
      </rPr>
      <t>x</t>
    </r>
    <r>
      <rPr>
        <vertAlign val="subscript"/>
        <sz val="10"/>
        <color indexed="8"/>
        <rFont val="Arial"/>
        <family val="2"/>
      </rPr>
      <t>-x</t>
    </r>
  </si>
  <si>
    <t>Para Correa Extrema Obtenemos:</t>
  </si>
  <si>
    <t>Presion Maxima</t>
  </si>
  <si>
    <t>Presion Minima</t>
  </si>
  <si>
    <r>
      <t>N/m</t>
    </r>
    <r>
      <rPr>
        <vertAlign val="superscript"/>
        <sz val="10"/>
        <color theme="1"/>
        <rFont val="Arial"/>
        <family val="2"/>
      </rPr>
      <t>2</t>
    </r>
  </si>
  <si>
    <t>Calculamos anteriormente las acciones del viento sobre los paramentos:</t>
  </si>
  <si>
    <r>
      <t>kg/m</t>
    </r>
    <r>
      <rPr>
        <b/>
        <vertAlign val="superscript"/>
        <sz val="10"/>
        <color theme="1"/>
        <rFont val="Arial"/>
        <family val="2"/>
      </rPr>
      <t>2</t>
    </r>
  </si>
  <si>
    <t>reaccion de larguero intermedio</t>
  </si>
  <si>
    <r>
      <t>M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 9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512 =</t>
    </r>
  </si>
  <si>
    <r>
      <t>M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 q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32 =</t>
    </r>
  </si>
  <si>
    <r>
      <t>R</t>
    </r>
    <r>
      <rPr>
        <vertAlign val="subscript"/>
        <sz val="10"/>
        <color indexed="8"/>
        <rFont val="Arial"/>
        <family val="2"/>
      </rPr>
      <t>A</t>
    </r>
    <r>
      <rPr>
        <sz val="10"/>
        <color indexed="8"/>
        <rFont val="Arial"/>
        <family val="2"/>
      </rPr>
      <t xml:space="preserve"> = R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= 3 q L / 16 =</t>
    </r>
  </si>
  <si>
    <r>
      <t>R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= 10 q L/ 16 =</t>
    </r>
  </si>
  <si>
    <r>
      <t xml:space="preserve">I </t>
    </r>
    <r>
      <rPr>
        <vertAlign val="subscript"/>
        <sz val="10"/>
        <color indexed="8"/>
        <rFont val="Arial"/>
        <family val="2"/>
      </rPr>
      <t>y nec</t>
    </r>
    <r>
      <rPr>
        <sz val="10"/>
        <color indexed="8"/>
        <rFont val="Arial"/>
        <family val="2"/>
      </rPr>
      <t>= 5 q (L/2)</t>
    </r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/ 384 E f</t>
    </r>
    <r>
      <rPr>
        <vertAlign val="subscript"/>
        <sz val="10"/>
        <color indexed="8"/>
        <rFont val="Arial"/>
        <family val="2"/>
      </rPr>
      <t>adm</t>
    </r>
    <r>
      <rPr>
        <sz val="10"/>
        <color indexed="8"/>
        <rFont val="Arial"/>
        <family val="2"/>
      </rPr>
      <t xml:space="preserve"> =</t>
    </r>
  </si>
  <si>
    <t>102 x 6,4</t>
  </si>
  <si>
    <t>Calculo inicial es para aproximar</t>
  </si>
  <si>
    <t>la seccion a adoptar, luego</t>
  </si>
  <si>
    <t>hacemos las verificaciones.</t>
  </si>
  <si>
    <r>
      <t>0,45 (E/F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 xml:space="preserve"> =</t>
    </r>
  </si>
  <si>
    <r>
      <t>0,91 (E/F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>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 xml:space="preserve"> =</t>
    </r>
  </si>
  <si>
    <r>
      <t>Fcr=(0,658^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)Fy =</t>
    </r>
  </si>
  <si>
    <t>Qs =</t>
  </si>
  <si>
    <t>&lt; 1</t>
  </si>
  <si>
    <t>64 x 4,8</t>
  </si>
  <si>
    <r>
      <t>Fcr=(0,658^</t>
    </r>
    <r>
      <rPr>
        <sz val="10"/>
        <color indexed="8"/>
        <rFont val="Symbol"/>
        <family val="1"/>
        <charset val="2"/>
      </rPr>
      <t>l</t>
    </r>
    <r>
      <rPr>
        <sz val="10"/>
        <color indexed="8"/>
        <rFont val="Arial"/>
        <family val="2"/>
      </rPr>
      <t>c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)Fy=</t>
    </r>
  </si>
  <si>
    <t>Cálculo de Largueros Lateral</t>
  </si>
  <si>
    <t>Peso:</t>
  </si>
  <si>
    <r>
      <t>M</t>
    </r>
    <r>
      <rPr>
        <vertAlign val="subscript"/>
        <sz val="10"/>
        <color theme="1"/>
        <rFont val="Arial"/>
        <family val="2"/>
      </rPr>
      <t xml:space="preserve">px </t>
    </r>
    <r>
      <rPr>
        <sz val="10"/>
        <color theme="1"/>
        <rFont val="Arial"/>
        <family val="2"/>
      </rPr>
      <t>/ My</t>
    </r>
    <r>
      <rPr>
        <vertAlign val="subscript"/>
        <sz val="10"/>
        <color theme="1"/>
        <rFont val="Arial"/>
        <family val="2"/>
      </rPr>
      <t xml:space="preserve"> x 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</si>
  <si>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py</t>
    </r>
    <r>
      <rPr>
        <sz val="10"/>
        <color theme="1"/>
        <rFont val="Arial"/>
        <family val="2"/>
      </rPr>
      <t xml:space="preserve">/My 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</si>
  <si>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I x= (5/48) Mx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/(E fadm) =</t>
    </r>
  </si>
  <si>
    <t>b / t =</t>
  </si>
  <si>
    <r>
      <t>Z</t>
    </r>
    <r>
      <rPr>
        <vertAlign val="subscript"/>
        <sz val="10"/>
        <color indexed="8"/>
        <rFont val="Arial"/>
        <family val="2"/>
      </rPr>
      <t>x</t>
    </r>
    <r>
      <rPr>
        <sz val="10"/>
        <color indexed="8"/>
        <rFont val="Arial"/>
        <family val="2"/>
      </rPr>
      <t>=</t>
    </r>
  </si>
  <si>
    <t>Zx =</t>
  </si>
  <si>
    <t>Sy =</t>
  </si>
  <si>
    <r>
      <t>Mpx/My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</t>
    </r>
  </si>
  <si>
    <r>
      <t>Mpy/My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</si>
  <si>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Mpx = Fy.Zx.(10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</si>
  <si>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t>A-H.3</t>
  </si>
  <si>
    <r>
      <t>My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 Fy.Sx.(10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</si>
  <si>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r>
      <t>My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F.Sy.(10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)=</t>
    </r>
  </si>
  <si>
    <t>F.1.1</t>
  </si>
  <si>
    <t>A-H.3.1</t>
  </si>
  <si>
    <r>
      <t>t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</si>
  <si>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r>
      <t>t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=</t>
    </r>
  </si>
  <si>
    <r>
      <t>Area del Alma = (h-2t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) t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</si>
  <si>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r>
      <t>Relación (h-2t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>) / t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</si>
  <si>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r>
      <t>2,45 (E/Fy)</t>
    </r>
    <r>
      <rPr>
        <vertAlign val="superscript"/>
        <sz val="10"/>
        <color theme="1"/>
        <rFont val="Arial"/>
        <family val="2"/>
      </rPr>
      <t>1/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</si>
  <si>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3,07 (E/Fy)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</si>
  <si>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t xml:space="preserve">a vortices de viento que generan mayor carga tomando los mismos valores de </t>
  </si>
  <si>
    <t>No reduzco valores de carga larguero extremos ya que por ser extremo esta expuesto</t>
  </si>
  <si>
    <r>
      <t>Considero Los estados 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y 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como mas solicitados según valores ya calculados</t>
    </r>
  </si>
  <si>
    <t>Carga por correa</t>
  </si>
  <si>
    <r>
      <t>Kg/m</t>
    </r>
    <r>
      <rPr>
        <vertAlign val="superscript"/>
        <sz val="10"/>
        <color theme="1"/>
        <rFont val="Arial"/>
        <family val="2"/>
      </rPr>
      <t>2</t>
    </r>
  </si>
  <si>
    <r>
      <t>Carga Cordon Superior (N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</si>
  <si>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 xml:space="preserve">Sen 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Arial"/>
        <family val="2"/>
      </rPr>
      <t xml:space="preserve"> =</t>
    </r>
  </si>
  <si>
    <r>
      <t xml:space="preserve">Cos </t>
    </r>
    <r>
      <rPr>
        <sz val="10"/>
        <color theme="1"/>
        <rFont val="Symbol"/>
        <family val="1"/>
        <charset val="2"/>
      </rPr>
      <t>a</t>
    </r>
    <r>
      <rPr>
        <sz val="10"/>
        <color theme="1"/>
        <rFont val="Arial"/>
        <family val="2"/>
      </rPr>
      <t xml:space="preserve"> =</t>
    </r>
  </si>
  <si>
    <r>
      <t xml:space="preserve">Sen </t>
    </r>
    <r>
      <rPr>
        <b/>
        <sz val="10"/>
        <color theme="1"/>
        <rFont val="Symbol"/>
        <family val="1"/>
        <charset val="2"/>
      </rPr>
      <t>b</t>
    </r>
    <r>
      <rPr>
        <b/>
        <sz val="10"/>
        <color theme="1"/>
        <rFont val="Arial"/>
        <family val="2"/>
      </rPr>
      <t xml:space="preserve"> =</t>
    </r>
  </si>
  <si>
    <r>
      <t>Cos</t>
    </r>
    <r>
      <rPr>
        <b/>
        <sz val="10"/>
        <color theme="1"/>
        <rFont val="Symbol"/>
        <family val="1"/>
        <charset val="2"/>
      </rPr>
      <t xml:space="preserve"> b</t>
    </r>
    <r>
      <rPr>
        <b/>
        <sz val="10"/>
        <color theme="1"/>
        <rFont val="Arial"/>
        <family val="2"/>
      </rPr>
      <t xml:space="preserve"> =</t>
    </r>
  </si>
  <si>
    <r>
      <t>Carga Diagonal (N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</si>
  <si>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r>
      <t>Carga Cordon Inferior (N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)</t>
    </r>
  </si>
  <si>
    <t>Carga Largueros Laterales</t>
  </si>
  <si>
    <t>Solicitacion Vertical</t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</si>
  <si>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</si>
  <si>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CS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</si>
  <si>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</si>
  <si>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</si>
  <si>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LL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</si>
  <si>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LL</t>
    </r>
    <r>
      <rPr>
        <sz val="10"/>
        <color theme="1"/>
        <rFont val="Arial"/>
        <family val="2"/>
      </rPr>
      <t xml:space="preserve"> =</t>
    </r>
  </si>
  <si>
    <r>
      <t>P</t>
    </r>
    <r>
      <rPr>
        <b/>
        <vertAlign val="subscript"/>
        <sz val="10"/>
        <color theme="1"/>
        <rFont val="Arial"/>
        <family val="2"/>
      </rPr>
      <t>Z</t>
    </r>
    <r>
      <rPr>
        <b/>
        <vertAlign val="superscript"/>
        <sz val="10"/>
        <color theme="1"/>
        <rFont val="Arial"/>
        <family val="2"/>
      </rPr>
      <t>COR</t>
    </r>
    <r>
      <rPr>
        <b/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</si>
  <si>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CI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</si>
  <si>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CI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</si>
  <si>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</si>
  <si>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</si>
  <si>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</si>
  <si>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</si>
  <si>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</si>
  <si>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</si>
  <si>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</si>
  <si>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t>(-) compresion</t>
  </si>
  <si>
    <t>Solicitacion Horizontal</t>
  </si>
  <si>
    <r>
      <t>P</t>
    </r>
    <r>
      <rPr>
        <b/>
        <vertAlign val="subscript"/>
        <sz val="10"/>
        <color theme="1"/>
        <rFont val="Arial"/>
        <family val="2"/>
      </rPr>
      <t>X</t>
    </r>
    <r>
      <rPr>
        <b/>
        <vertAlign val="superscript"/>
        <sz val="10"/>
        <color theme="1"/>
        <rFont val="Arial"/>
        <family val="2"/>
      </rPr>
      <t>COR</t>
    </r>
    <r>
      <rPr>
        <b/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</si>
  <si>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 xml:space="preserve">CS </t>
    </r>
    <r>
      <rPr>
        <sz val="10"/>
        <color theme="1"/>
        <rFont val="Arial"/>
        <family val="2"/>
      </rPr>
      <t>=</t>
    </r>
  </si>
  <si>
    <t>(-) Hacia Afuera</t>
  </si>
  <si>
    <t>Calculo de Momentos</t>
  </si>
  <si>
    <t>Distancias Parciales</t>
  </si>
  <si>
    <r>
      <t>d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</si>
  <si>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</si>
  <si>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</si>
  <si>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</si>
  <si>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</si>
  <si>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</si>
  <si>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</si>
  <si>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t>Total</t>
  </si>
  <si>
    <r>
      <t>M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</si>
  <si>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</si>
  <si>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</si>
  <si>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</si>
  <si>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</si>
  <si>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</si>
  <si>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</si>
  <si>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</si>
  <si>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</si>
  <si>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</si>
  <si>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</si>
  <si>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</si>
  <si>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</si>
  <si>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</si>
  <si>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 1,2 D +1,6 Lr</t>
    </r>
  </si>
  <si>
    <r>
      <t>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: 0,9 D + 1,5 W</t>
    </r>
    <r>
      <rPr>
        <vertAlign val="subscript"/>
        <sz val="10"/>
        <color theme="1"/>
        <rFont val="Arial"/>
        <family val="2"/>
      </rPr>
      <t>4</t>
    </r>
  </si>
  <si>
    <t>W =</t>
  </si>
  <si>
    <t>(Hacia arriba)</t>
  </si>
  <si>
    <r>
      <t>P</t>
    </r>
    <r>
      <rPr>
        <vertAlign val="subscript"/>
        <sz val="10"/>
        <color theme="1"/>
        <rFont val="Arial"/>
        <family val="2"/>
      </rPr>
      <t>Z</t>
    </r>
    <r>
      <rPr>
        <vertAlign val="superscript"/>
        <sz val="10"/>
        <color theme="1"/>
        <rFont val="Arial"/>
        <family val="2"/>
      </rPr>
      <t>COR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</si>
  <si>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X</t>
    </r>
    <r>
      <rPr>
        <vertAlign val="superscript"/>
        <sz val="10"/>
        <color theme="1"/>
        <rFont val="Arial"/>
        <family val="2"/>
      </rPr>
      <t>COR</t>
    </r>
    <r>
      <rPr>
        <sz val="10"/>
        <color theme="1"/>
        <rFont val="Arial"/>
        <family val="2"/>
      </rPr>
      <t xml:space="preserve"> =</t>
    </r>
  </si>
  <si>
    <t>(A izq.)</t>
  </si>
  <si>
    <r>
      <t>Carga Diagonal (N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)</t>
    </r>
  </si>
  <si>
    <r>
      <t>Carga Cordon Inferior (N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)</t>
    </r>
  </si>
  <si>
    <r>
      <t>Carga Cordon Superior (N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)</t>
    </r>
  </si>
  <si>
    <t>Max :</t>
  </si>
  <si>
    <t>CS + D</t>
  </si>
  <si>
    <t>Mto</t>
  </si>
  <si>
    <t>De los calculos anteriores Obtuvimos</t>
  </si>
  <si>
    <t>Valor a Modificar</t>
  </si>
  <si>
    <r>
      <t>P</t>
    </r>
    <r>
      <rPr>
        <b/>
        <vertAlign val="subscript"/>
        <sz val="10"/>
        <color rgb="FFC00000"/>
        <rFont val="Arial"/>
        <family val="2"/>
      </rPr>
      <t>X</t>
    </r>
    <r>
      <rPr>
        <b/>
        <vertAlign val="superscript"/>
        <sz val="10"/>
        <color rgb="FFC00000"/>
        <rFont val="Arial"/>
        <family val="2"/>
      </rPr>
      <t>CI</t>
    </r>
    <r>
      <rPr>
        <b/>
        <sz val="10"/>
        <color rgb="FFC00000"/>
        <rFont val="Arial"/>
        <family val="2"/>
      </rPr>
      <t xml:space="preserve"> =</t>
    </r>
  </si>
  <si>
    <t>No compensado</t>
  </si>
  <si>
    <t>Diferencia componente Horiz</t>
  </si>
  <si>
    <t>CS y D =</t>
  </si>
  <si>
    <t>Equilibrio con cargas horizontales</t>
  </si>
  <si>
    <r>
      <t>P</t>
    </r>
    <r>
      <rPr>
        <b/>
        <vertAlign val="subscript"/>
        <sz val="10"/>
        <color rgb="FFC00000"/>
        <rFont val="Arial"/>
        <family val="2"/>
      </rPr>
      <t>X</t>
    </r>
    <r>
      <rPr>
        <b/>
        <vertAlign val="superscript"/>
        <sz val="10"/>
        <color rgb="FFC00000"/>
        <rFont val="Arial"/>
        <family val="2"/>
      </rPr>
      <t>D</t>
    </r>
    <r>
      <rPr>
        <b/>
        <sz val="10"/>
        <color rgb="FFC00000"/>
        <rFont val="Arial"/>
        <family val="2"/>
      </rPr>
      <t xml:space="preserve"> =</t>
    </r>
  </si>
  <si>
    <r>
      <t>P</t>
    </r>
    <r>
      <rPr>
        <b/>
        <vertAlign val="subscript"/>
        <sz val="10"/>
        <color rgb="FFC00000"/>
        <rFont val="Arial"/>
        <family val="2"/>
      </rPr>
      <t>X</t>
    </r>
    <r>
      <rPr>
        <b/>
        <vertAlign val="superscript"/>
        <sz val="10"/>
        <color rgb="FFC00000"/>
        <rFont val="Arial"/>
        <family val="2"/>
      </rPr>
      <t>CS</t>
    </r>
    <r>
      <rPr>
        <b/>
        <sz val="10"/>
        <color rgb="FFC00000"/>
        <rFont val="Arial"/>
        <family val="2"/>
      </rPr>
      <t xml:space="preserve"> =</t>
    </r>
  </si>
  <si>
    <t>Diagonal:</t>
  </si>
  <si>
    <t>Cordon Superior</t>
  </si>
  <si>
    <t>Dif</t>
  </si>
  <si>
    <t>CS Horiz</t>
  </si>
  <si>
    <t>valor de dimensionado de:</t>
  </si>
  <si>
    <t>Solicitaciones de calculo</t>
  </si>
  <si>
    <r>
      <t>M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</si>
  <si>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>=</t>
    </r>
  </si>
  <si>
    <r>
      <t>N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</si>
  <si>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min</t>
    </r>
    <r>
      <rPr>
        <sz val="10"/>
        <color theme="1"/>
        <rFont val="Arial"/>
        <family val="2"/>
      </rPr>
      <t xml:space="preserve"> =</t>
    </r>
  </si>
  <si>
    <t>B.7</t>
  </si>
  <si>
    <t>Tabla B.5.1 Renglon 4</t>
  </si>
  <si>
    <t>Tabla B.5.1 Renglon 2</t>
  </si>
  <si>
    <t>Verificación de Solicitacion Combinada</t>
  </si>
  <si>
    <t>Verificación según eje x-x</t>
  </si>
  <si>
    <r>
      <t xml:space="preserve">Pu/ </t>
    </r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 xml:space="preserve"> Pn =</t>
    </r>
  </si>
  <si>
    <r>
      <t>P</t>
    </r>
    <r>
      <rPr>
        <vertAlign val="subscript"/>
        <sz val="10"/>
        <color theme="1"/>
        <rFont val="Arial"/>
        <family val="2"/>
      </rPr>
      <t>D</t>
    </r>
    <r>
      <rPr>
        <sz val="10"/>
        <color theme="1"/>
        <rFont val="Arial"/>
        <family val="2"/>
      </rPr>
      <t xml:space="preserve"> =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</rPr>
      <t xml:space="preserve"> Fcr Ag (10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>) =</t>
    </r>
  </si>
  <si>
    <r>
      <t>cm</t>
    </r>
    <r>
      <rPr>
        <vertAlign val="superscript"/>
        <sz val="10"/>
        <color theme="1"/>
        <rFont val="Arial"/>
        <family val="2"/>
      </rPr>
      <t>3</t>
    </r>
  </si>
  <si>
    <r>
      <t>Pu / 2</t>
    </r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 xml:space="preserve">Pn  + (Mux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Mnx  + Muy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Mny ) &lt; 1</t>
    </r>
  </si>
  <si>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>b =</t>
    </r>
  </si>
  <si>
    <r>
      <t>Md =</t>
    </r>
    <r>
      <rPr>
        <sz val="10"/>
        <color theme="1"/>
        <rFont val="Symbol"/>
        <family val="1"/>
        <charset val="2"/>
      </rPr>
      <t xml:space="preserve"> 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Zx Fy =</t>
    </r>
  </si>
  <si>
    <r>
      <t>Pcm = E</t>
    </r>
    <r>
      <rPr>
        <sz val="10"/>
        <color indexed="8"/>
        <rFont val="Symbol"/>
        <family val="1"/>
        <charset val="2"/>
      </rPr>
      <t xml:space="preserve"> p</t>
    </r>
    <r>
      <rPr>
        <sz val="10"/>
        <color indexed="8"/>
        <rFont val="Arial"/>
        <family val="2"/>
      </rPr>
      <t xml:space="preserve"> Ag 10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/</t>
    </r>
    <r>
      <rPr>
        <sz val="10"/>
        <color indexed="8"/>
        <rFont val="Symbol"/>
        <family val="1"/>
        <charset val="2"/>
      </rPr>
      <t xml:space="preserve"> l</t>
    </r>
    <r>
      <rPr>
        <sz val="10"/>
        <color indexed="8"/>
        <rFont val="Arial"/>
        <family val="2"/>
      </rPr>
      <t>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=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</si>
  <si>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 xml:space="preserve"> =    k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 / </t>
    </r>
  </si>
  <si>
    <r>
      <t xml:space="preserve">Esbeltez Modificada        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m</t>
    </r>
    <r>
      <rPr>
        <sz val="10"/>
        <color indexed="8"/>
        <rFont val="Arial"/>
        <family val="2"/>
      </rPr>
      <t xml:space="preserve"> = ((k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 xml:space="preserve"> L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/r</t>
    </r>
    <r>
      <rPr>
        <vertAlign val="subscript"/>
        <sz val="10"/>
        <color indexed="8"/>
        <rFont val="Arial"/>
        <family val="2"/>
      </rPr>
      <t>y</t>
    </r>
    <r>
      <rPr>
        <sz val="10"/>
        <color indexed="8"/>
        <rFont val="Arial"/>
        <family val="2"/>
      </rPr>
      <t>)</t>
    </r>
    <r>
      <rPr>
        <vertAlign val="subscript"/>
        <sz val="10"/>
        <color indexed="8"/>
        <rFont val="Arial"/>
        <family val="2"/>
      </rPr>
      <t>0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+</t>
    </r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1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>=</t>
    </r>
  </si>
  <si>
    <r>
      <t>Pd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=</t>
    </r>
    <r>
      <rPr>
        <sz val="10"/>
        <color indexed="8"/>
        <rFont val="Symbol"/>
        <family val="1"/>
        <charset val="2"/>
      </rPr>
      <t xml:space="preserve"> f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Fcr Ag</t>
    </r>
    <r>
      <rPr>
        <vertAlign val="sub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(10)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</si>
  <si>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t>Vu =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</si>
  <si>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D</t>
    </r>
    <r>
      <rPr>
        <sz val="10"/>
        <color indexed="8"/>
        <rFont val="Arial"/>
        <family val="2"/>
      </rPr>
      <t xml:space="preserve"> = (k L</t>
    </r>
    <r>
      <rPr>
        <vertAlign val="subscript"/>
        <sz val="10"/>
        <color indexed="8"/>
        <rFont val="Arial"/>
        <family val="2"/>
      </rPr>
      <t xml:space="preserve">1 </t>
    </r>
    <r>
      <rPr>
        <sz val="10"/>
        <color indexed="8"/>
        <rFont val="Arial"/>
        <family val="2"/>
      </rPr>
      <t>/ r</t>
    </r>
    <r>
      <rPr>
        <vertAlign val="subscript"/>
        <sz val="10"/>
        <color indexed="8"/>
        <rFont val="Arial"/>
        <family val="2"/>
      </rPr>
      <t xml:space="preserve">1 </t>
    </r>
    <r>
      <rPr>
        <sz val="10"/>
        <color indexed="8"/>
        <rFont val="Symbol"/>
        <family val="1"/>
        <charset val="2"/>
      </rPr>
      <t>p</t>
    </r>
    <r>
      <rPr>
        <sz val="10"/>
        <color indexed="8"/>
        <rFont val="Arial"/>
        <family val="2"/>
      </rPr>
      <t>) (F y/ E)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</si>
  <si>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D</t>
    </r>
  </si>
  <si>
    <r>
      <t>P</t>
    </r>
    <r>
      <rPr>
        <vertAlign val="subscript"/>
        <sz val="10"/>
        <color theme="1"/>
        <rFont val="Arial"/>
        <family val="2"/>
      </rPr>
      <t>U1</t>
    </r>
    <r>
      <rPr>
        <sz val="10"/>
        <color theme="1"/>
        <rFont val="Arial"/>
        <family val="2"/>
      </rPr>
      <t xml:space="preserve"> =</t>
    </r>
  </si>
  <si>
    <t>Adopto Diagonal PN L</t>
  </si>
  <si>
    <r>
      <t>cm</t>
    </r>
    <r>
      <rPr>
        <vertAlign val="superscript"/>
        <sz val="10"/>
        <color theme="1"/>
        <rFont val="Arial"/>
        <family val="2"/>
      </rPr>
      <t>2</t>
    </r>
  </si>
  <si>
    <r>
      <t>Esfuerzo en Diagonal: Du = Ve</t>
    </r>
    <r>
      <rPr>
        <vertAlign val="subscript"/>
        <sz val="10"/>
        <color indexed="8"/>
        <rFont val="Arial"/>
        <family val="2"/>
      </rPr>
      <t>u</t>
    </r>
    <r>
      <rPr>
        <sz val="10"/>
        <color indexed="8"/>
        <rFont val="Arial"/>
        <family val="2"/>
      </rPr>
      <t xml:space="preserve"> / 2 cos</t>
    </r>
    <r>
      <rPr>
        <sz val="10"/>
        <color indexed="8"/>
        <rFont val="Symbol"/>
        <family val="1"/>
        <charset val="2"/>
      </rPr>
      <t xml:space="preserve"> a</t>
    </r>
    <r>
      <rPr>
        <sz val="10"/>
        <color indexed="8"/>
        <rFont val="Arial"/>
        <family val="2"/>
      </rPr>
      <t>=</t>
    </r>
  </si>
  <si>
    <r>
      <rPr>
        <sz val="10"/>
        <color indexed="8"/>
        <rFont val="Symbol"/>
        <family val="1"/>
        <charset val="2"/>
      </rPr>
      <t>b</t>
    </r>
    <r>
      <rPr>
        <sz val="10"/>
        <color indexed="8"/>
        <rFont val="Arial"/>
        <family val="2"/>
      </rPr>
      <t xml:space="preserve"> = (</t>
    </r>
    <r>
      <rPr>
        <sz val="10"/>
        <color indexed="8"/>
        <rFont val="Symbol"/>
        <family val="1"/>
        <charset val="2"/>
      </rPr>
      <t xml:space="preserve">p </t>
    </r>
    <r>
      <rPr>
        <sz val="10"/>
        <color indexed="8"/>
        <rFont val="Arial"/>
        <family val="2"/>
      </rPr>
      <t>/400 ) ( 1- Pu/Pm )</t>
    </r>
    <r>
      <rPr>
        <vertAlign val="superscript"/>
        <sz val="10"/>
        <color indexed="8"/>
        <rFont val="Arial"/>
        <family val="2"/>
      </rPr>
      <t>-1</t>
    </r>
    <r>
      <rPr>
        <sz val="10"/>
        <color indexed="8"/>
        <rFont val="Arial"/>
        <family val="2"/>
      </rPr>
      <t xml:space="preserve"> =</t>
    </r>
  </si>
  <si>
    <t>k =</t>
  </si>
  <si>
    <r>
      <t>Para estado N</t>
    </r>
    <r>
      <rPr>
        <b/>
        <vertAlign val="subscript"/>
        <sz val="10"/>
        <rFont val="Arial"/>
        <family val="2"/>
      </rPr>
      <t>5</t>
    </r>
  </si>
  <si>
    <r>
      <t>Para estado N</t>
    </r>
    <r>
      <rPr>
        <b/>
        <vertAlign val="subscript"/>
        <sz val="10"/>
        <color theme="1"/>
        <rFont val="Arial"/>
        <family val="2"/>
      </rPr>
      <t>3</t>
    </r>
  </si>
  <si>
    <t>Muro Hastial</t>
  </si>
  <si>
    <t>Carga Correa Extrema</t>
  </si>
  <si>
    <t>Carga por Larguero Frontal</t>
  </si>
  <si>
    <t>Distancia entre largueros :</t>
  </si>
  <si>
    <t>1,2 D =</t>
  </si>
  <si>
    <t>Calculo de Solicitaciones</t>
  </si>
  <si>
    <r>
      <t>N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 xml:space="preserve"> =</t>
    </r>
  </si>
  <si>
    <t>Sep pilares:</t>
  </si>
  <si>
    <r>
      <t>d</t>
    </r>
    <r>
      <rPr>
        <vertAlign val="subscript"/>
        <sz val="10"/>
        <color theme="1"/>
        <rFont val="Arial"/>
        <family val="2"/>
      </rPr>
      <t>0-1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</si>
  <si>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0-7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</si>
  <si>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1-2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</si>
  <si>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3-4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</si>
  <si>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4-5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</si>
  <si>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5-6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</si>
  <si>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6-7</t>
    </r>
    <r>
      <rPr>
        <sz val="10"/>
        <color theme="1"/>
        <rFont val="Arial"/>
        <family val="2"/>
      </rPr>
      <t xml:space="preserve"> =</t>
    </r>
  </si>
  <si>
    <r>
      <t>d</t>
    </r>
    <r>
      <rPr>
        <b/>
        <vertAlign val="subscript"/>
        <sz val="10"/>
        <color theme="1"/>
        <rFont val="Arial"/>
        <family val="2"/>
      </rPr>
      <t>2-3</t>
    </r>
    <r>
      <rPr>
        <b/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</si>
  <si>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6</t>
    </r>
    <r>
      <rPr>
        <vertAlign val="super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</si>
  <si>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0</t>
    </r>
    <r>
      <rPr>
        <vertAlign val="super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 xml:space="preserve"> =</t>
    </r>
  </si>
  <si>
    <r>
      <t>Q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 xml:space="preserve"> =</t>
    </r>
  </si>
  <si>
    <t>Adopto PNI Nº</t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</si>
  <si>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 b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/ t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</si>
  <si>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>p</t>
    </r>
    <r>
      <rPr>
        <sz val="10"/>
        <color indexed="8"/>
        <rFont val="Arial"/>
        <family val="2"/>
      </rPr>
      <t xml:space="preserve"> = 0,38 (E/fy)</t>
    </r>
    <r>
      <rPr>
        <vertAlign val="superscript"/>
        <sz val="10"/>
        <color indexed="8"/>
        <rFont val="Arial"/>
        <family val="2"/>
      </rPr>
      <t>1/2</t>
    </r>
    <r>
      <rPr>
        <sz val="10"/>
        <color indexed="8"/>
        <rFont val="Arial"/>
        <family val="2"/>
      </rPr>
      <t xml:space="preserve"> =</t>
    </r>
  </si>
  <si>
    <t>Tabla B.5.1 Renglon 1</t>
  </si>
  <si>
    <t>Tabla B.5.1 Renglon 13</t>
  </si>
  <si>
    <t>hw =</t>
  </si>
  <si>
    <r>
      <t>h</t>
    </r>
    <r>
      <rPr>
        <vertAlign val="subscript"/>
        <sz val="10"/>
        <color theme="1"/>
        <rFont val="Arial"/>
        <family val="2"/>
      </rPr>
      <t>w</t>
    </r>
    <r>
      <rPr>
        <sz val="10"/>
        <color theme="1"/>
        <rFont val="Arial"/>
        <family val="2"/>
      </rPr>
      <t xml:space="preserve"> =</t>
    </r>
  </si>
  <si>
    <r>
      <t>Py = Ag Fy 10</t>
    </r>
    <r>
      <rPr>
        <vertAlign val="superscript"/>
        <sz val="10"/>
        <color theme="1"/>
        <rFont val="Arial"/>
        <family val="2"/>
      </rPr>
      <t>-1</t>
    </r>
    <r>
      <rPr>
        <sz val="10"/>
        <color theme="1"/>
        <rFont val="Arial"/>
        <family val="2"/>
      </rPr>
      <t xml:space="preserve"> =</t>
    </r>
  </si>
  <si>
    <r>
      <t>Pu /</t>
    </r>
    <r>
      <rPr>
        <sz val="10"/>
        <color theme="1"/>
        <rFont val="Symbol"/>
        <family val="1"/>
        <charset val="2"/>
      </rPr>
      <t xml:space="preserve"> 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Py =</t>
    </r>
  </si>
  <si>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=</t>
    </r>
  </si>
  <si>
    <r>
      <rPr>
        <sz val="10"/>
        <color theme="1"/>
        <rFont val="Symbol"/>
        <family val="1"/>
        <charset val="2"/>
      </rPr>
      <t>l</t>
    </r>
    <r>
      <rPr>
        <vertAlign val="subscript"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=3,76 (E/Fy)</t>
    </r>
    <r>
      <rPr>
        <vertAlign val="superscript"/>
        <sz val="10"/>
        <color theme="1"/>
        <rFont val="Arial"/>
        <family val="2"/>
      </rPr>
      <t>1/2</t>
    </r>
    <r>
      <rPr>
        <sz val="10"/>
        <color theme="1"/>
        <rFont val="Arial"/>
        <family val="2"/>
      </rPr>
      <t xml:space="preserve"> [1-(2,75Pu/</t>
    </r>
    <r>
      <rPr>
        <sz val="10"/>
        <color theme="1"/>
        <rFont val="Symbol"/>
        <family val="1"/>
        <charset val="2"/>
      </rPr>
      <t>f</t>
    </r>
    <r>
      <rPr>
        <sz val="10"/>
        <color theme="1"/>
        <rFont val="Arial"/>
        <family val="2"/>
      </rPr>
      <t>bPy)] =</t>
    </r>
  </si>
  <si>
    <r>
      <rPr>
        <sz val="10"/>
        <color indexed="8"/>
        <rFont val="Symbol"/>
        <family val="1"/>
        <charset val="2"/>
      </rPr>
      <t>l</t>
    </r>
    <r>
      <rPr>
        <vertAlign val="subscript"/>
        <sz val="10"/>
        <color indexed="8"/>
        <rFont val="Arial"/>
        <family val="2"/>
      </rPr>
      <t xml:space="preserve">p </t>
    </r>
    <r>
      <rPr>
        <sz val="10"/>
        <color indexed="8"/>
        <rFont val="Arial"/>
        <family val="2"/>
      </rPr>
      <t>=</t>
    </r>
  </si>
  <si>
    <t>Pn =</t>
  </si>
  <si>
    <t>Calculo de Puntal Medio sobre Viga Dintel</t>
  </si>
  <si>
    <t>Calculo de Viga Dintel</t>
  </si>
  <si>
    <t>Dimension de la Puerta</t>
  </si>
  <si>
    <t>Alto :</t>
  </si>
  <si>
    <t>Ancho:</t>
  </si>
  <si>
    <t>Sup =</t>
  </si>
  <si>
    <r>
      <t>m</t>
    </r>
    <r>
      <rPr>
        <vertAlign val="superscript"/>
        <sz val="10"/>
        <color theme="1"/>
        <rFont val="Arial"/>
        <family val="2"/>
      </rPr>
      <t>2</t>
    </r>
  </si>
  <si>
    <t>Peso de la Puerta</t>
  </si>
  <si>
    <t>Chapa</t>
  </si>
  <si>
    <t>Implica :</t>
  </si>
  <si>
    <t>Carga por Viga:</t>
  </si>
  <si>
    <t xml:space="preserve">Peso de Viga 2PNI </t>
  </si>
  <si>
    <r>
      <t>P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</t>
    </r>
  </si>
  <si>
    <r>
      <t>P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</si>
  <si>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t>KN/m</t>
  </si>
  <si>
    <t>kN/m</t>
  </si>
  <si>
    <r>
      <t>M</t>
    </r>
    <r>
      <rPr>
        <vertAlign val="subscript"/>
        <sz val="10"/>
        <color theme="1"/>
        <rFont val="Arial"/>
        <family val="2"/>
      </rPr>
      <t xml:space="preserve">z </t>
    </r>
    <r>
      <rPr>
        <sz val="10"/>
        <color theme="1"/>
        <rFont val="Arial"/>
        <family val="2"/>
      </rPr>
      <t>=</t>
    </r>
  </si>
  <si>
    <r>
      <t>M</t>
    </r>
    <r>
      <rPr>
        <vertAlign val="subscript"/>
        <sz val="10"/>
        <color theme="1"/>
        <rFont val="Arial"/>
        <family val="2"/>
      </rPr>
      <t xml:space="preserve">y </t>
    </r>
    <r>
      <rPr>
        <sz val="10"/>
        <color theme="1"/>
        <rFont val="Arial"/>
        <family val="2"/>
      </rPr>
      <t>=</t>
    </r>
  </si>
  <si>
    <r>
      <t>R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</t>
    </r>
  </si>
  <si>
    <t>Adopto PNI</t>
  </si>
  <si>
    <t>tf =</t>
  </si>
  <si>
    <r>
      <t>M</t>
    </r>
    <r>
      <rPr>
        <vertAlign val="subscript"/>
        <sz val="10"/>
        <color theme="1"/>
        <rFont val="Arial"/>
        <family val="2"/>
      </rPr>
      <t>yx</t>
    </r>
    <r>
      <rPr>
        <sz val="10"/>
        <color theme="1"/>
        <rFont val="Arial"/>
        <family val="2"/>
      </rPr>
      <t xml:space="preserve"> = Fy.Sx.(10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</si>
  <si>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/ hw=</t>
    </r>
  </si>
  <si>
    <r>
      <t>R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</t>
    </r>
  </si>
  <si>
    <r>
      <t>M</t>
    </r>
    <r>
      <rPr>
        <vertAlign val="subscript"/>
        <sz val="10"/>
        <color theme="1"/>
        <rFont val="Arial"/>
        <family val="2"/>
      </rPr>
      <t>pz</t>
    </r>
    <r>
      <rPr>
        <sz val="10"/>
        <color theme="1"/>
        <rFont val="Arial"/>
        <family val="2"/>
      </rPr>
      <t xml:space="preserve"> = Fy.Zz.(10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</si>
  <si>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My</t>
    </r>
    <r>
      <rPr>
        <vertAlign val="subscript"/>
        <sz val="10"/>
        <color theme="1"/>
        <rFont val="Arial"/>
        <family val="2"/>
      </rPr>
      <t>z</t>
    </r>
    <r>
      <rPr>
        <sz val="10"/>
        <color theme="1"/>
        <rFont val="Arial"/>
        <family val="2"/>
      </rPr>
      <t xml:space="preserve"> = Fy.Sz.(10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</si>
  <si>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r>
      <t>M</t>
    </r>
    <r>
      <rPr>
        <vertAlign val="subscript"/>
        <sz val="10"/>
        <color theme="1"/>
        <rFont val="Arial"/>
        <family val="2"/>
      </rPr>
      <t>pz</t>
    </r>
    <r>
      <rPr>
        <sz val="10"/>
        <color theme="1"/>
        <rFont val="Arial"/>
        <family val="2"/>
      </rPr>
      <t>/Myz =</t>
    </r>
  </si>
  <si>
    <t>Mnz =</t>
  </si>
  <si>
    <r>
      <t>( M</t>
    </r>
    <r>
      <rPr>
        <vertAlign val="subscript"/>
        <sz val="10"/>
        <color theme="1"/>
        <rFont val="Arial"/>
        <family val="2"/>
      </rPr>
      <t>ux</t>
    </r>
    <r>
      <rPr>
        <sz val="10"/>
        <color theme="1"/>
        <rFont val="Arial"/>
        <family val="2"/>
      </rPr>
      <t xml:space="preserve"> /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>b</t>
    </r>
    <r>
      <rPr>
        <sz val="10"/>
        <color indexed="8"/>
        <rFont val="Arial"/>
        <family val="2"/>
      </rPr>
      <t xml:space="preserve">  M'</t>
    </r>
    <r>
      <rPr>
        <vertAlign val="subscript"/>
        <sz val="10"/>
        <color indexed="8"/>
        <rFont val="Arial"/>
        <family val="2"/>
      </rPr>
      <t>nx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 xml:space="preserve">x  </t>
    </r>
    <r>
      <rPr>
        <sz val="10"/>
        <color indexed="8"/>
        <rFont val="Arial"/>
        <family val="2"/>
      </rPr>
      <t xml:space="preserve"> +  ( M</t>
    </r>
    <r>
      <rPr>
        <vertAlign val="subscript"/>
        <sz val="10"/>
        <color indexed="8"/>
        <rFont val="Arial"/>
        <family val="2"/>
      </rPr>
      <t>uz</t>
    </r>
    <r>
      <rPr>
        <sz val="10"/>
        <color indexed="8"/>
        <rFont val="Arial"/>
        <family val="2"/>
      </rPr>
      <t xml:space="preserve"> /  </t>
    </r>
    <r>
      <rPr>
        <sz val="10"/>
        <color indexed="8"/>
        <rFont val="Symbol"/>
        <family val="1"/>
        <charset val="2"/>
      </rPr>
      <t>f</t>
    </r>
    <r>
      <rPr>
        <vertAlign val="subscript"/>
        <sz val="10"/>
        <color indexed="8"/>
        <rFont val="Arial"/>
        <family val="2"/>
      </rPr>
      <t xml:space="preserve">b </t>
    </r>
    <r>
      <rPr>
        <sz val="10"/>
        <color indexed="8"/>
        <rFont val="Arial"/>
        <family val="2"/>
      </rPr>
      <t xml:space="preserve"> M'</t>
    </r>
    <r>
      <rPr>
        <vertAlign val="subscript"/>
        <sz val="10"/>
        <color indexed="8"/>
        <rFont val="Arial"/>
        <family val="2"/>
      </rPr>
      <t>nz</t>
    </r>
    <r>
      <rPr>
        <sz val="10"/>
        <color indexed="8"/>
        <rFont val="Arial"/>
        <family val="2"/>
      </rPr>
      <t xml:space="preserve"> )</t>
    </r>
    <r>
      <rPr>
        <vertAlign val="superscript"/>
        <sz val="10"/>
        <color indexed="8"/>
        <rFont val="Symbol"/>
        <family val="1"/>
        <charset val="2"/>
      </rPr>
      <t>x</t>
    </r>
    <r>
      <rPr>
        <sz val="10"/>
        <color indexed="8"/>
        <rFont val="Arial"/>
        <family val="2"/>
      </rPr>
      <t xml:space="preserve">   =</t>
    </r>
  </si>
  <si>
    <r>
      <t>M</t>
    </r>
    <r>
      <rPr>
        <vertAlign val="subscript"/>
        <sz val="10"/>
        <color theme="1"/>
        <rFont val="Arial"/>
        <family val="2"/>
      </rPr>
      <t>uz</t>
    </r>
    <r>
      <rPr>
        <sz val="10"/>
        <color theme="1"/>
        <rFont val="Arial"/>
        <family val="2"/>
      </rPr>
      <t xml:space="preserve"> =</t>
    </r>
  </si>
  <si>
    <t>Area del Alma = hw tw =</t>
  </si>
  <si>
    <t xml:space="preserve">KN </t>
  </si>
  <si>
    <t>Ix=</t>
  </si>
  <si>
    <r>
      <t>cm</t>
    </r>
    <r>
      <rPr>
        <vertAlign val="superscript"/>
        <sz val="10"/>
        <color theme="1"/>
        <rFont val="Arial"/>
        <family val="2"/>
      </rPr>
      <t>4</t>
    </r>
  </si>
  <si>
    <t>Carga Transmitida por puntal:</t>
  </si>
  <si>
    <r>
      <t>M</t>
    </r>
    <r>
      <rPr>
        <vertAlign val="subscript"/>
        <sz val="10"/>
        <color theme="1"/>
        <rFont val="Arial"/>
        <family val="2"/>
      </rPr>
      <t>px</t>
    </r>
    <r>
      <rPr>
        <sz val="10"/>
        <color theme="1"/>
        <rFont val="Arial"/>
        <family val="2"/>
      </rPr>
      <t xml:space="preserve"> = 2 Fy.Zx.(10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</si>
  <si>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Calculo de Momento plastico:</t>
  </si>
  <si>
    <r>
      <t>Zz = b Ag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</si>
  <si>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Ag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=</t>
    </r>
  </si>
  <si>
    <r>
      <t>Iy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=</t>
    </r>
  </si>
  <si>
    <r>
      <t>I z = 2 ( I</t>
    </r>
    <r>
      <rPr>
        <vertAlign val="subscript"/>
        <sz val="10"/>
        <color theme="1"/>
        <rFont val="Arial"/>
        <family val="2"/>
      </rPr>
      <t xml:space="preserve">1 </t>
    </r>
    <r>
      <rPr>
        <sz val="10"/>
        <color theme="1"/>
        <rFont val="Arial"/>
        <family val="2"/>
      </rPr>
      <t>+ Ag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(d/2)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) =</t>
    </r>
  </si>
  <si>
    <t>Sz = Iz / b =</t>
  </si>
  <si>
    <t>Mitad del peso de la puerta</t>
  </si>
  <si>
    <r>
      <t xml:space="preserve">Calculo de Puntal </t>
    </r>
    <r>
      <rPr>
        <sz val="10"/>
        <color theme="1"/>
        <rFont val="Arial"/>
        <family val="2"/>
      </rPr>
      <t>(Lateral a la Puerta)</t>
    </r>
  </si>
  <si>
    <r>
      <t>d</t>
    </r>
    <r>
      <rPr>
        <vertAlign val="subscript"/>
        <sz val="10"/>
        <color theme="1"/>
        <rFont val="Arial"/>
        <family val="2"/>
      </rPr>
      <t>7-8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</si>
  <si>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8-9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</si>
  <si>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9-10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</si>
  <si>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10-11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</si>
  <si>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2-3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</si>
  <si>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</si>
  <si>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</si>
  <si>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 xml:space="preserve"> =</t>
    </r>
  </si>
  <si>
    <r>
      <t>N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</si>
  <si>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0-11</t>
    </r>
    <r>
      <rPr>
        <sz val="10"/>
        <color theme="1"/>
        <rFont val="Arial"/>
        <family val="2"/>
      </rPr>
      <t xml:space="preserve"> =</t>
    </r>
  </si>
  <si>
    <r>
      <t>N</t>
    </r>
    <r>
      <rPr>
        <b/>
        <vertAlign val="subscript"/>
        <sz val="10"/>
        <color theme="1"/>
        <rFont val="Arial"/>
        <family val="2"/>
      </rPr>
      <t>6</t>
    </r>
    <r>
      <rPr>
        <b/>
        <sz val="10"/>
        <color theme="1"/>
        <rFont val="Arial"/>
        <family val="2"/>
      </rPr>
      <t xml:space="preserve"> =</t>
    </r>
  </si>
  <si>
    <t>Reacción por viga dintel :</t>
  </si>
  <si>
    <t>Rz =</t>
  </si>
  <si>
    <t>Ry =</t>
  </si>
  <si>
    <r>
      <t>Q</t>
    </r>
    <r>
      <rPr>
        <b/>
        <vertAlign val="subscript"/>
        <sz val="10"/>
        <color theme="1"/>
        <rFont val="Arial"/>
        <family val="2"/>
      </rPr>
      <t>6</t>
    </r>
    <r>
      <rPr>
        <b/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</si>
  <si>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0</t>
    </r>
    <r>
      <rPr>
        <vertAlign val="superscript"/>
        <sz val="10"/>
        <rFont val="Arial"/>
        <family val="2"/>
      </rPr>
      <t>H</t>
    </r>
    <r>
      <rPr>
        <sz val="10"/>
        <rFont val="Arial"/>
        <family val="2"/>
      </rPr>
      <t xml:space="preserve"> =</t>
    </r>
  </si>
  <si>
    <r>
      <t>R</t>
    </r>
    <r>
      <rPr>
        <vertAlign val="subscript"/>
        <sz val="10"/>
        <rFont val="Arial"/>
        <family val="2"/>
      </rPr>
      <t>11</t>
    </r>
    <r>
      <rPr>
        <vertAlign val="superscript"/>
        <sz val="10"/>
        <rFont val="Arial"/>
        <family val="2"/>
      </rPr>
      <t>H</t>
    </r>
    <r>
      <rPr>
        <sz val="10"/>
        <rFont val="Arial"/>
        <family val="2"/>
      </rPr>
      <t xml:space="preserve"> =</t>
    </r>
  </si>
  <si>
    <r>
      <t>M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 xml:space="preserve"> =</t>
    </r>
  </si>
  <si>
    <t>Predimensionado</t>
  </si>
  <si>
    <t>Por Deformacion</t>
  </si>
  <si>
    <r>
      <t>b</t>
    </r>
    <r>
      <rPr>
        <vertAlign val="subscript"/>
        <sz val="10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=</t>
    </r>
  </si>
  <si>
    <t>Mux =</t>
  </si>
  <si>
    <t>Flecha Admisible</t>
  </si>
  <si>
    <t>CIRSOC 301 B.7</t>
  </si>
  <si>
    <t>Flexión</t>
  </si>
  <si>
    <t>Adopt</t>
  </si>
  <si>
    <t>CIRSOC 301    H.1.1</t>
  </si>
  <si>
    <r>
      <t xml:space="preserve">Pu /2 </t>
    </r>
    <r>
      <rPr>
        <sz val="10"/>
        <color theme="1"/>
        <rFont val="Symbol"/>
        <family val="1"/>
        <charset val="2"/>
      </rPr>
      <t xml:space="preserve">f </t>
    </r>
    <r>
      <rPr>
        <sz val="10"/>
        <color theme="1"/>
        <rFont val="Arial"/>
        <family val="2"/>
      </rPr>
      <t xml:space="preserve">Pn  + (Mux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Mnx  + Muy / </t>
    </r>
    <r>
      <rPr>
        <sz val="10"/>
        <color theme="1"/>
        <rFont val="Symbol"/>
        <family val="1"/>
        <charset val="2"/>
      </rPr>
      <t>f</t>
    </r>
    <r>
      <rPr>
        <vertAlign val="subscript"/>
        <sz val="10"/>
        <color theme="1"/>
        <rFont val="Arial"/>
        <family val="2"/>
      </rPr>
      <t>b</t>
    </r>
    <r>
      <rPr>
        <sz val="10"/>
        <color theme="1"/>
        <rFont val="Arial"/>
        <family val="2"/>
      </rPr>
      <t xml:space="preserve"> Mny ) &lt; 1</t>
    </r>
  </si>
  <si>
    <r>
      <t xml:space="preserve">  f </t>
    </r>
    <r>
      <rPr>
        <vertAlign val="subscript"/>
        <sz val="10"/>
        <color theme="1"/>
        <rFont val="Arial"/>
        <family val="2"/>
      </rPr>
      <t>adm</t>
    </r>
    <r>
      <rPr>
        <sz val="10"/>
        <color theme="1"/>
        <rFont val="Arial"/>
        <family val="2"/>
      </rPr>
      <t xml:space="preserve">  =   L /</t>
    </r>
  </si>
  <si>
    <r>
      <t>f = 5 q L</t>
    </r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/ 384 E I=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</si>
  <si>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&lt; Mx / Wx </t>
    </r>
  </si>
  <si>
    <r>
      <t xml:space="preserve">Wnec = Mx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</si>
  <si>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&lt; </t>
    </r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 xml:space="preserve">N / A </t>
    </r>
  </si>
  <si>
    <r>
      <t xml:space="preserve">Anec = N / </t>
    </r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</si>
  <si>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w</t>
    </r>
    <r>
      <rPr>
        <sz val="10"/>
        <rFont val="Arial"/>
        <family val="2"/>
      </rPr>
      <t xml:space="preserve"> =</t>
    </r>
  </si>
  <si>
    <r>
      <rPr>
        <sz val="10"/>
        <rFont val="Symbol"/>
        <family val="1"/>
        <charset val="2"/>
      </rPr>
      <t>s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>=</t>
    </r>
  </si>
  <si>
    <r>
      <t>kg/cm</t>
    </r>
    <r>
      <rPr>
        <vertAlign val="superscript"/>
        <sz val="10"/>
        <rFont val="Arial"/>
        <family val="2"/>
      </rPr>
      <t>2</t>
    </r>
  </si>
  <si>
    <r>
      <t xml:space="preserve">    W </t>
    </r>
    <r>
      <rPr>
        <vertAlign val="subscript"/>
        <sz val="10"/>
        <rFont val="Arial"/>
        <family val="2"/>
      </rPr>
      <t xml:space="preserve">nec </t>
    </r>
    <r>
      <rPr>
        <sz val="10"/>
        <rFont val="Arial"/>
        <family val="2"/>
      </rPr>
      <t>= S</t>
    </r>
    <r>
      <rPr>
        <vertAlign val="subscript"/>
        <sz val="10"/>
        <rFont val="Arial"/>
        <family val="2"/>
      </rPr>
      <t xml:space="preserve"> nec</t>
    </r>
    <r>
      <rPr>
        <sz val="10"/>
        <rFont val="Arial"/>
        <family val="2"/>
      </rPr>
      <t xml:space="preserve"> =</t>
    </r>
  </si>
  <si>
    <r>
      <t>cm</t>
    </r>
    <r>
      <rPr>
        <vertAlign val="superscript"/>
        <sz val="10"/>
        <rFont val="Arial"/>
        <family val="2"/>
      </rPr>
      <t>3</t>
    </r>
  </si>
  <si>
    <r>
      <t>A</t>
    </r>
    <r>
      <rPr>
        <vertAlign val="subscript"/>
        <sz val="10"/>
        <rFont val="Arial"/>
        <family val="2"/>
      </rPr>
      <t>nec</t>
    </r>
    <r>
      <rPr>
        <sz val="10"/>
        <rFont val="Arial"/>
        <family val="2"/>
      </rPr>
      <t xml:space="preserve"> =</t>
    </r>
  </si>
  <si>
    <r>
      <t>cm</t>
    </r>
    <r>
      <rPr>
        <vertAlign val="superscript"/>
        <sz val="10"/>
        <rFont val="Arial"/>
        <family val="2"/>
      </rPr>
      <t>2</t>
    </r>
  </si>
  <si>
    <r>
      <t>f</t>
    </r>
    <r>
      <rPr>
        <vertAlign val="subscript"/>
        <sz val="10"/>
        <rFont val="Arial"/>
        <family val="2"/>
      </rPr>
      <t xml:space="preserve">lim </t>
    </r>
    <r>
      <rPr>
        <sz val="10"/>
        <rFont val="Arial"/>
        <family val="2"/>
      </rPr>
      <t>=L /</t>
    </r>
  </si>
  <si>
    <r>
      <t>q</t>
    </r>
    <r>
      <rPr>
        <vertAlign val="subscript"/>
        <sz val="10"/>
        <rFont val="Arial"/>
        <family val="2"/>
      </rPr>
      <t>m</t>
    </r>
    <r>
      <rPr>
        <sz val="10"/>
        <rFont val="Arial"/>
        <family val="2"/>
      </rPr>
      <t xml:space="preserve"> =</t>
    </r>
  </si>
  <si>
    <r>
      <t>f = 5 q L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384 E I </t>
    </r>
  </si>
  <si>
    <r>
      <t>Inec = 5 q L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384 E f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=</t>
    </r>
  </si>
  <si>
    <r>
      <t>cm</t>
    </r>
    <r>
      <rPr>
        <vertAlign val="superscript"/>
        <sz val="10"/>
        <rFont val="Arial"/>
        <family val="2"/>
      </rPr>
      <t>4</t>
    </r>
  </si>
  <si>
    <t>en Pto 0</t>
  </si>
  <si>
    <t>en ptos de 1 a 10</t>
  </si>
  <si>
    <t>en pto 6</t>
  </si>
  <si>
    <t>En ptos 1 a 10</t>
  </si>
  <si>
    <t>Cálculo de Solicitaciones</t>
  </si>
  <si>
    <r>
      <t xml:space="preserve">Verificacion Según Norma anterior: </t>
    </r>
    <r>
      <rPr>
        <sz val="10"/>
        <color theme="1"/>
        <rFont val="Symbol"/>
        <family val="1"/>
        <charset val="2"/>
      </rPr>
      <t>s</t>
    </r>
    <r>
      <rPr>
        <sz val="10"/>
        <color theme="1"/>
        <rFont val="Arial"/>
        <family val="2"/>
      </rPr>
      <t xml:space="preserve"> = </t>
    </r>
    <r>
      <rPr>
        <sz val="10"/>
        <color theme="1"/>
        <rFont val="Symbol"/>
        <family val="1"/>
        <charset val="2"/>
      </rPr>
      <t>w</t>
    </r>
    <r>
      <rPr>
        <sz val="10"/>
        <color theme="1"/>
        <rFont val="Arial"/>
        <family val="2"/>
      </rPr>
      <t xml:space="preserve"> N / A + M / W  =</t>
    </r>
  </si>
  <si>
    <r>
      <t>kg/cm</t>
    </r>
    <r>
      <rPr>
        <vertAlign val="superscript"/>
        <sz val="10"/>
        <color theme="1"/>
        <rFont val="Arial"/>
        <family val="2"/>
      </rPr>
      <t>2</t>
    </r>
  </si>
  <si>
    <t>Mpx &gt; 1,5 Myx</t>
  </si>
  <si>
    <t>Mpz &gt; 1,5 Myz</t>
  </si>
  <si>
    <t>Viga de Coronamiento</t>
  </si>
  <si>
    <t xml:space="preserve">Determinamos las Solicitaciones como viga continua </t>
  </si>
  <si>
    <t>para ello utilizamos el pplan con los siguientes datos:</t>
  </si>
  <si>
    <t>Nodo</t>
  </si>
  <si>
    <t>Barra</t>
  </si>
  <si>
    <t>ini</t>
  </si>
  <si>
    <t>fin</t>
  </si>
  <si>
    <t>Carga pto medio</t>
  </si>
  <si>
    <t>Luz enter apoyos</t>
  </si>
  <si>
    <r>
      <t>M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>=</t>
    </r>
  </si>
  <si>
    <r>
      <t>R</t>
    </r>
    <r>
      <rPr>
        <vertAlign val="subscript"/>
        <sz val="10"/>
        <color theme="1"/>
        <rFont val="Arial"/>
        <family val="2"/>
      </rPr>
      <t>max</t>
    </r>
    <r>
      <rPr>
        <sz val="10"/>
        <color theme="1"/>
        <rFont val="Arial"/>
        <family val="2"/>
      </rPr>
      <t>=</t>
    </r>
  </si>
  <si>
    <t>Adopto PNU</t>
  </si>
  <si>
    <t>Dimensionado a Flexión</t>
  </si>
  <si>
    <r>
      <t>M</t>
    </r>
    <r>
      <rPr>
        <vertAlign val="subscript"/>
        <sz val="10"/>
        <color theme="1"/>
        <rFont val="Arial"/>
        <family val="2"/>
      </rPr>
      <t>px</t>
    </r>
    <r>
      <rPr>
        <sz val="10"/>
        <color theme="1"/>
        <rFont val="Arial"/>
        <family val="2"/>
      </rPr>
      <t xml:space="preserve"> = Fy.Zx.(10</t>
    </r>
    <r>
      <rPr>
        <vertAlign val="superscript"/>
        <sz val="10"/>
        <color indexed="8"/>
        <rFont val="Arial"/>
        <family val="2"/>
      </rPr>
      <t>-3</t>
    </r>
    <r>
      <rPr>
        <sz val="10"/>
        <color indexed="8"/>
        <rFont val="Arial"/>
        <family val="2"/>
      </rPr>
      <t>) =</t>
    </r>
  </si>
  <si>
    <t>Mpx&lt; 1,5 Myx</t>
  </si>
  <si>
    <r>
      <rPr>
        <sz val="10"/>
        <color theme="1"/>
        <rFont val="Symbol"/>
        <family val="1"/>
        <charset val="2"/>
      </rPr>
      <t xml:space="preserve">f </t>
    </r>
    <r>
      <rPr>
        <sz val="10"/>
        <color theme="1"/>
        <rFont val="Arial"/>
        <family val="2"/>
      </rPr>
      <t>=</t>
    </r>
  </si>
  <si>
    <r>
      <t>Md =</t>
    </r>
    <r>
      <rPr>
        <sz val="10"/>
        <color theme="1"/>
        <rFont val="Symbol"/>
        <family val="1"/>
        <charset val="2"/>
      </rPr>
      <t xml:space="preserve"> f</t>
    </r>
    <r>
      <rPr>
        <sz val="10"/>
        <color theme="1"/>
        <rFont val="Arial"/>
        <family val="2"/>
      </rPr>
      <t xml:space="preserve">  Mn=</t>
    </r>
  </si>
  <si>
    <t>Viga de Arriostramiento</t>
  </si>
  <si>
    <t>Nodos</t>
  </si>
  <si>
    <t>Analizando las solicitaciones máximas obtenemos:</t>
  </si>
  <si>
    <t>Cordon Inferior CI =</t>
  </si>
  <si>
    <t>Diagonales D =</t>
  </si>
  <si>
    <t>Cordón Sup CS =</t>
  </si>
  <si>
    <t>Cargas a considerar</t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</si>
  <si>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</si>
  <si>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</si>
  <si>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</si>
  <si>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</si>
  <si>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</si>
  <si>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 xml:space="preserve"> =</t>
    </r>
  </si>
  <si>
    <r>
      <t>H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 xml:space="preserve"> =</t>
    </r>
  </si>
  <si>
    <t>Viento:</t>
  </si>
  <si>
    <t>Altura incidencia nudo 2</t>
  </si>
  <si>
    <r>
      <t>h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</si>
  <si>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0-9</t>
    </r>
    <r>
      <rPr>
        <sz val="10"/>
        <color theme="1"/>
        <rFont val="Arial"/>
        <family val="2"/>
      </rPr>
      <t xml:space="preserve"> =</t>
    </r>
  </si>
  <si>
    <r>
      <t>d</t>
    </r>
    <r>
      <rPr>
        <vertAlign val="subscript"/>
        <sz val="10"/>
        <color theme="1"/>
        <rFont val="Arial"/>
        <family val="2"/>
      </rPr>
      <t>0-10</t>
    </r>
    <r>
      <rPr>
        <sz val="10"/>
        <color theme="1"/>
        <rFont val="Arial"/>
        <family val="2"/>
      </rPr>
      <t xml:space="preserve"> =</t>
    </r>
  </si>
  <si>
    <r>
      <t>R</t>
    </r>
    <r>
      <rPr>
        <vertAlign val="subscript"/>
        <sz val="10"/>
        <color theme="1"/>
        <rFont val="Arial"/>
        <family val="2"/>
      </rPr>
      <t>0</t>
    </r>
    <r>
      <rPr>
        <vertAlign val="superscript"/>
        <sz val="10"/>
        <color theme="1"/>
        <rFont val="Arial"/>
        <family val="2"/>
      </rPr>
      <t>H</t>
    </r>
    <r>
      <rPr>
        <sz val="10"/>
        <color theme="1"/>
        <rFont val="Arial"/>
        <family val="2"/>
      </rPr>
      <t>=</t>
    </r>
  </si>
  <si>
    <r>
      <t>d</t>
    </r>
    <r>
      <rPr>
        <vertAlign val="subscript"/>
        <sz val="10"/>
        <color theme="1"/>
        <rFont val="Arial"/>
        <family val="2"/>
      </rPr>
      <t>0-8</t>
    </r>
    <r>
      <rPr>
        <sz val="10"/>
        <color theme="1"/>
        <rFont val="Arial"/>
        <family val="2"/>
      </rPr>
      <t>=</t>
    </r>
  </si>
  <si>
    <t>N =</t>
  </si>
  <si>
    <t>Determinamos las solicitaciones utilizando el PPLAN  cargando los siguientes datos:</t>
  </si>
  <si>
    <r>
      <t>I</t>
    </r>
    <r>
      <rPr>
        <vertAlign val="subscript"/>
        <sz val="10"/>
        <rFont val="Arial"/>
        <family val="2"/>
      </rPr>
      <t>nec</t>
    </r>
    <r>
      <rPr>
        <sz val="10"/>
        <rFont val="Arial"/>
        <family val="2"/>
      </rPr>
      <t xml:space="preserve"> = PL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/48 Ef</t>
    </r>
    <r>
      <rPr>
        <vertAlign val="subscript"/>
        <sz val="10"/>
        <rFont val="Arial"/>
        <family val="2"/>
      </rPr>
      <t>adm</t>
    </r>
    <r>
      <rPr>
        <sz val="10"/>
        <rFont val="Arial"/>
        <family val="2"/>
      </rPr>
      <t xml:space="preserve"> =</t>
    </r>
  </si>
  <si>
    <t xml:space="preserve">  1,5 Myx =</t>
  </si>
  <si>
    <t>Ancho :</t>
  </si>
  <si>
    <t>Según Calculo de Solicitaciones combinadas</t>
  </si>
  <si>
    <t>al dimensionar Cordones de Cechas tenemos:</t>
  </si>
  <si>
    <t>Verificamos con perfiles ya calculados Con los siguientes valores</t>
  </si>
  <si>
    <t>Tracc</t>
  </si>
  <si>
    <t>Comp</t>
  </si>
  <si>
    <t>102 x 9,5</t>
  </si>
  <si>
    <t>F y = 235 Mpa</t>
  </si>
  <si>
    <t>Usamos acero F 24 con las siguientes caracteristicas</t>
  </si>
  <si>
    <t>F u = 370 M pa</t>
  </si>
  <si>
    <t>Q = 77200 Mpa</t>
  </si>
  <si>
    <t>E = 200000 Mpa</t>
  </si>
  <si>
    <t>µ = 0,3</t>
  </si>
  <si>
    <t>1.1 Acción de Cargas Permanentes</t>
  </si>
  <si>
    <t>Peso propio de el larguero</t>
  </si>
  <si>
    <t>Peso propio del cerramiento de chapa</t>
  </si>
  <si>
    <t>CARGAS D</t>
  </si>
  <si>
    <t>X 1 m</t>
  </si>
  <si>
    <t>q x=</t>
  </si>
  <si>
    <t>0,29 Kn m</t>
  </si>
  <si>
    <t>Cargas Horizontales  : Acción del viento</t>
  </si>
  <si>
    <t xml:space="preserve">Se puede considerar también un incremeto de las cargas gravitaorias para contemplar las aislaciones , </t>
  </si>
  <si>
    <t>arriestramientos e instalaciones.</t>
  </si>
  <si>
    <t xml:space="preserve">Como la mayor solicitación generalmente la genera la acción del viento que es horizontal , se dispone del perfil </t>
  </si>
  <si>
    <t>de los largueros laterales de tal forma que su mayor resistencia la tenga respecto del eje vertical ,</t>
  </si>
  <si>
    <t>En este caso para la consideración de las cargas , no tenemos en cuenta la sobrecarga ni tampoco sobrecarga por montaje</t>
  </si>
  <si>
    <t>Como vimos anteriormente , las acciones del viento a considerar son las que calculamos</t>
  </si>
  <si>
    <t>según CIRSOC 102 ,  actuando sobre los paramentos en su condicion mas desfavorable</t>
  </si>
  <si>
    <t>( presion )</t>
  </si>
  <si>
    <t xml:space="preserve"> = 1,32 Knm</t>
  </si>
  <si>
    <t>Se obtienen valores de momento verticales y horizontales . Es decir las cargas en sentido x-x ( verticales )</t>
  </si>
  <si>
    <t>producen los valores de momento M y, y las cargas en sentido y-y ( horizontales ) producen los</t>
  </si>
  <si>
    <t>valores de momento M x.</t>
  </si>
  <si>
    <t xml:space="preserve"> = 2,63 Knm</t>
  </si>
  <si>
    <t xml:space="preserve"> = 0,58 Knm</t>
  </si>
  <si>
    <r>
      <t>Mux = qy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8 =</t>
    </r>
  </si>
  <si>
    <r>
      <t>Muy = qx L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/ 8 =</t>
    </r>
  </si>
  <si>
    <t>Vuy = qy L / 2 =</t>
  </si>
  <si>
    <t>Vux = qx L / 2 =</t>
  </si>
  <si>
    <t xml:space="preserve"> = 2,63 Kn</t>
  </si>
  <si>
    <t xml:space="preserve"> = 0,58 Kn</t>
  </si>
  <si>
    <t xml:space="preserve">Predimensionado   </t>
  </si>
  <si>
    <t>Podemos predimensionar el perfil por distintas vias. Ya adoptamos a efectos de determinar cargas un tamaño de</t>
  </si>
  <si>
    <t>perfil , ahora veremos como determinamos perfiles que luego los verificaremos :</t>
  </si>
  <si>
    <t>Solicitación alrededor de x-x   ( cargas horizontales )</t>
  </si>
  <si>
    <t xml:space="preserve"> = 1,32 Kn/m</t>
  </si>
  <si>
    <t>Predimensionado por condición de Plastificación a flexión simple según x-x</t>
  </si>
  <si>
    <t>Siendo :</t>
  </si>
  <si>
    <t xml:space="preserve"> = 26300  Kgcm</t>
  </si>
  <si>
    <t>CIRSOC 301 F.1.1</t>
  </si>
  <si>
    <t>Mn = Mp</t>
  </si>
  <si>
    <t>x Fy</t>
  </si>
  <si>
    <t>Mux = Mp</t>
  </si>
  <si>
    <t>Igualo el momento ultimo requerido al momento plastico y obtengo</t>
  </si>
  <si>
    <t>el modulo plastico necesario de la seccion en cm ³</t>
  </si>
  <si>
    <t xml:space="preserve">Zx = </t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</si>
  <si>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b = 0,9 factor de resistencia para flexion</t>
    </r>
  </si>
  <si>
    <t>Fy  = 235 Mpa( tension de fluencia )</t>
  </si>
  <si>
    <t>Mux = Zx x Øx 0,001</t>
  </si>
  <si>
    <t>12,43 cm ³</t>
  </si>
  <si>
    <r>
      <t xml:space="preserve">Mp </t>
    </r>
    <r>
      <rPr>
        <sz val="10"/>
        <color theme="1"/>
        <rFont val="Calibri"/>
        <family val="2"/>
      </rPr>
      <t>≤</t>
    </r>
  </si>
  <si>
    <t>1,5 Muy</t>
  </si>
  <si>
    <t xml:space="preserve">Sx = </t>
  </si>
  <si>
    <t>Mux</t>
  </si>
  <si>
    <t>b</t>
  </si>
  <si>
    <t xml:space="preserve"> =</t>
  </si>
  <si>
    <r>
      <t xml:space="preserve">Zx = </t>
    </r>
    <r>
      <rPr>
        <sz val="9"/>
        <color theme="1"/>
        <rFont val="Arial"/>
        <family val="2"/>
      </rPr>
      <t xml:space="preserve">Mux / </t>
    </r>
    <r>
      <rPr>
        <sz val="9"/>
        <color theme="1"/>
        <rFont val="Calibri"/>
        <family val="2"/>
      </rPr>
      <t>Ø</t>
    </r>
    <r>
      <rPr>
        <sz val="9"/>
        <color theme="1"/>
        <rFont val="Arial"/>
        <family val="2"/>
      </rPr>
      <t xml:space="preserve"> x 0,001 xFy</t>
    </r>
  </si>
  <si>
    <r>
      <t xml:space="preserve">1,5 x </t>
    </r>
    <r>
      <rPr>
        <sz val="9"/>
        <color theme="1"/>
        <rFont val="Calibri"/>
        <family val="2"/>
      </rPr>
      <t>Øb x Fy x 0,001</t>
    </r>
  </si>
  <si>
    <t>cm ³</t>
  </si>
  <si>
    <t>CIRSOC 301 TABLA A -L 4.1</t>
  </si>
  <si>
    <t>Vemos que por flexion obtenemos como perfil a verificar el mismo que por deformacion</t>
  </si>
  <si>
    <t>Como se puede ver para las cargas verticales , adoptamos un apoyo intermedio</t>
  </si>
  <si>
    <t>a los efectos de disminuir los valores de momento y no tener que redimensionar el perfil</t>
  </si>
  <si>
    <t>dado que respecto al eje horizontal la resistencia es muy pequeña para estos tipos de perfiles</t>
  </si>
  <si>
    <t>Verificaciones</t>
  </si>
  <si>
    <t xml:space="preserve">Resistencia de Diseño a flexión Simple </t>
  </si>
  <si>
    <t>CIRSOC  301 F 1</t>
  </si>
  <si>
    <t>Alrrededor del eje x-x</t>
  </si>
  <si>
    <t>Como vimos la Resistencia Nominal a Flexión :</t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</si>
  <si>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 factor de resistencia a flexion  = 0,9</t>
    </r>
  </si>
  <si>
    <r>
      <t xml:space="preserve">Mp = Fy x Z x 0,001  </t>
    </r>
    <r>
      <rPr>
        <sz val="10"/>
        <color theme="1"/>
        <rFont val="Calibri"/>
        <family val="2"/>
      </rPr>
      <t>≤</t>
    </r>
    <r>
      <rPr>
        <sz val="11.2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1,5 My</t>
    </r>
  </si>
  <si>
    <t>siendo My = Fy x S x 0,001</t>
  </si>
  <si>
    <t>Debiendose cumplir que la Resistencia de Diseño Md sea mayor que la requerida última Mu</t>
  </si>
  <si>
    <r>
      <t xml:space="preserve">Mu = Md = </t>
    </r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x Mn</t>
    </r>
  </si>
  <si>
    <t xml:space="preserve">Mp x = </t>
  </si>
  <si>
    <t>7,47  Knm</t>
  </si>
  <si>
    <t xml:space="preserve"> 1,5 Myx = 9,34 Knm</t>
  </si>
  <si>
    <t>Md = 0,9 x 7,47 = 6,723 Knm</t>
  </si>
  <si>
    <r>
      <rPr>
        <sz val="10"/>
        <color theme="1"/>
        <rFont val="Calibri"/>
        <family val="2"/>
      </rPr>
      <t>≥</t>
    </r>
    <r>
      <rPr>
        <sz val="11.2"/>
        <color theme="1"/>
        <rFont val="Arial"/>
        <family val="2"/>
      </rPr>
      <t xml:space="preserve"> Mu = 2,63 Knm</t>
    </r>
  </si>
  <si>
    <t>B C</t>
  </si>
  <si>
    <r>
      <t xml:space="preserve">Condición de plastificación   </t>
    </r>
    <r>
      <rPr>
        <b/>
        <sz val="10"/>
        <color rgb="FFFF0000"/>
        <rFont val="Arial"/>
        <family val="2"/>
      </rPr>
      <t xml:space="preserve"> F1.1</t>
    </r>
  </si>
  <si>
    <r>
      <t xml:space="preserve">Condición de Pandeo Lateral Torsional    </t>
    </r>
    <r>
      <rPr>
        <b/>
        <sz val="10"/>
        <color rgb="FFFF0000"/>
        <rFont val="Arial"/>
        <family val="2"/>
      </rPr>
      <t>F1.2</t>
    </r>
  </si>
  <si>
    <t xml:space="preserve"> La resistencia de diseño a flexión para el estado límite de pandeo lateral - torsional será</t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</si>
  <si>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 xml:space="preserve"> b x Mn</t>
    </r>
  </si>
  <si>
    <r>
      <rPr>
        <sz val="10"/>
        <color theme="1"/>
        <rFont val="Calibri"/>
        <family val="2"/>
      </rPr>
      <t>Ø</t>
    </r>
    <r>
      <rPr>
        <sz val="11.2"/>
        <color theme="1"/>
        <rFont val="Arial"/>
        <family val="2"/>
      </rPr>
      <t>b = 0,9</t>
    </r>
  </si>
  <si>
    <t>Mn  : es la resistencia nominal para el estado límite de pandeo torsional</t>
  </si>
  <si>
    <t>CIRSOC 301 F.2</t>
  </si>
  <si>
    <r>
      <t>V</t>
    </r>
    <r>
      <rPr>
        <b/>
        <vertAlign val="subscript"/>
        <sz val="10"/>
        <color indexed="8"/>
        <rFont val="Arial"/>
        <family val="2"/>
      </rPr>
      <t>D</t>
    </r>
    <r>
      <rPr>
        <b/>
        <sz val="10"/>
        <color indexed="8"/>
        <rFont val="Arial"/>
        <family val="2"/>
      </rPr>
      <t xml:space="preserve"> =</t>
    </r>
    <r>
      <rPr>
        <b/>
        <sz val="10"/>
        <color indexed="8"/>
        <rFont val="Symbol"/>
        <family val="1"/>
        <charset val="2"/>
      </rPr>
      <t xml:space="preserve"> f</t>
    </r>
    <r>
      <rPr>
        <b/>
        <sz val="10"/>
        <color indexed="8"/>
        <rFont val="Arial"/>
        <family val="2"/>
      </rPr>
      <t>v Vn =</t>
    </r>
  </si>
  <si>
    <t>TABLA A L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</si>
</sst>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6" x14ac:knownFonts="1">
    <font>
      <sz val="11"/>
      <color theme="1"/>
      <name val="Calibri"/>
      <family val="2"/>
      <scheme val="minor"/>
    </font>
    <font>
      <b/>
      <i/>
      <u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Symbol"/>
      <family val="1"/>
      <charset val="2"/>
    </font>
    <font>
      <b/>
      <sz val="10"/>
      <color indexed="8"/>
      <name val="Symbol"/>
      <family val="1"/>
      <charset val="2"/>
    </font>
    <font>
      <b/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b/>
      <vertAlign val="superscript"/>
      <sz val="10"/>
      <color indexed="8"/>
      <name val="Arial"/>
      <family val="2"/>
    </font>
    <font>
      <vertAlign val="subscript"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theme="1"/>
      <name val="Symbol"/>
      <family val="1"/>
      <charset val="2"/>
    </font>
    <font>
      <b/>
      <u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vertAlign val="superscript"/>
      <sz val="10"/>
      <color indexed="8"/>
      <name val="Symbol"/>
      <family val="1"/>
      <charset val="2"/>
    </font>
    <font>
      <vertAlign val="superscript"/>
      <sz val="10"/>
      <color theme="1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theme="1"/>
      <name val="Symbol"/>
      <family val="1"/>
      <charset val="2"/>
    </font>
    <font>
      <b/>
      <sz val="12"/>
      <color rgb="FFFF0000"/>
      <name val="Arial"/>
      <family val="2"/>
    </font>
    <font>
      <sz val="12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vertAlign val="subscript"/>
      <sz val="10"/>
      <color rgb="FFC00000"/>
      <name val="Arial"/>
      <family val="2"/>
    </font>
    <font>
      <b/>
      <vertAlign val="superscript"/>
      <sz val="10"/>
      <color rgb="FFC00000"/>
      <name val="Arial"/>
      <family val="2"/>
    </font>
    <font>
      <b/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</font>
    <font>
      <sz val="11.2"/>
      <color theme="1"/>
      <name val="Arial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CC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 readingOrder="1"/>
    </xf>
    <xf numFmtId="0" fontId="2" fillId="0" borderId="0" xfId="0" applyFont="1" applyBorder="1" applyAlignment="1">
      <alignment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readingOrder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readingOrder="1"/>
    </xf>
    <xf numFmtId="0" fontId="2" fillId="0" borderId="0" xfId="0" applyFont="1" applyFill="1" applyAlignment="1">
      <alignment horizontal="right" vertical="center" readingOrder="1"/>
    </xf>
    <xf numFmtId="0" fontId="5" fillId="0" borderId="0" xfId="0" applyFont="1" applyAlignment="1">
      <alignment vertical="center" readingOrder="1"/>
    </xf>
    <xf numFmtId="1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 readingOrder="1"/>
    </xf>
    <xf numFmtId="0" fontId="5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2" fontId="5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vertical="center"/>
    </xf>
    <xf numFmtId="0" fontId="4" fillId="0" borderId="0" xfId="0" applyFont="1" applyAlignment="1">
      <alignment vertical="center" readingOrder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1"/>
    </xf>
    <xf numFmtId="2" fontId="5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 readingOrder="1"/>
    </xf>
    <xf numFmtId="0" fontId="5" fillId="0" borderId="17" xfId="0" applyFont="1" applyBorder="1" applyAlignment="1">
      <alignment vertical="center" readingOrder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readingOrder="1"/>
    </xf>
    <xf numFmtId="0" fontId="5" fillId="0" borderId="0" xfId="0" applyFont="1" applyBorder="1" applyAlignment="1">
      <alignment vertical="center" readingOrder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readingOrder="1"/>
    </xf>
    <xf numFmtId="0" fontId="5" fillId="0" borderId="0" xfId="0" applyFont="1" applyBorder="1" applyAlignment="1">
      <alignment horizontal="center" vertical="center" readingOrder="1"/>
    </xf>
    <xf numFmtId="2" fontId="5" fillId="0" borderId="0" xfId="0" applyNumberFormat="1" applyFont="1" applyAlignment="1">
      <alignment vertical="center" readingOrder="1"/>
    </xf>
    <xf numFmtId="164" fontId="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readingOrder="1"/>
    </xf>
    <xf numFmtId="0" fontId="15" fillId="0" borderId="0" xfId="0" applyFont="1" applyAlignment="1">
      <alignment horizontal="left" vertical="center"/>
    </xf>
    <xf numFmtId="2" fontId="5" fillId="0" borderId="0" xfId="0" applyNumberFormat="1" applyFont="1" applyBorder="1" applyAlignment="1">
      <alignment vertical="center" readingOrder="1"/>
    </xf>
    <xf numFmtId="165" fontId="4" fillId="0" borderId="0" xfId="0" applyNumberFormat="1" applyFont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 readingOrder="1"/>
    </xf>
    <xf numFmtId="0" fontId="4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left" indent="2"/>
    </xf>
    <xf numFmtId="0" fontId="4" fillId="0" borderId="2" xfId="0" applyFont="1" applyBorder="1" applyAlignment="1">
      <alignment horizontal="center" vertical="center"/>
    </xf>
    <xf numFmtId="2" fontId="5" fillId="2" borderId="0" xfId="0" applyNumberFormat="1" applyFont="1" applyFill="1" applyAlignment="1">
      <alignment vertical="center" readingOrder="1"/>
    </xf>
    <xf numFmtId="0" fontId="4" fillId="2" borderId="2" xfId="0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 readingOrder="1"/>
    </xf>
    <xf numFmtId="2" fontId="5" fillId="2" borderId="0" xfId="0" applyNumberFormat="1" applyFont="1" applyFill="1" applyAlignment="1">
      <alignment horizontal="center" vertical="center" readingOrder="1"/>
    </xf>
    <xf numFmtId="2" fontId="5" fillId="0" borderId="0" xfId="0" applyNumberFormat="1" applyFont="1" applyAlignment="1">
      <alignment horizontal="center" vertical="center" readingOrder="1"/>
    </xf>
    <xf numFmtId="2" fontId="4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readingOrder="1"/>
    </xf>
    <xf numFmtId="0" fontId="4" fillId="0" borderId="5" xfId="0" applyFont="1" applyBorder="1" applyAlignment="1">
      <alignment horizontal="center" vertical="center" readingOrder="1"/>
    </xf>
    <xf numFmtId="0" fontId="4" fillId="0" borderId="7" xfId="0" applyFont="1" applyBorder="1" applyAlignment="1">
      <alignment horizontal="left" vertical="center"/>
    </xf>
    <xf numFmtId="2" fontId="4" fillId="2" borderId="10" xfId="0" applyNumberFormat="1" applyFont="1" applyFill="1" applyBorder="1" applyAlignment="1">
      <alignment vertical="center"/>
    </xf>
    <xf numFmtId="2" fontId="4" fillId="2" borderId="8" xfId="0" applyNumberFormat="1" applyFont="1" applyFill="1" applyBorder="1" applyAlignment="1">
      <alignment vertical="center"/>
    </xf>
    <xf numFmtId="2" fontId="4" fillId="2" borderId="9" xfId="0" applyNumberFormat="1" applyFont="1" applyFill="1" applyBorder="1" applyAlignment="1">
      <alignment vertical="center"/>
    </xf>
    <xf numFmtId="2" fontId="4" fillId="2" borderId="8" xfId="0" applyNumberFormat="1" applyFont="1" applyFill="1" applyBorder="1" applyAlignment="1">
      <alignment vertical="center" readingOrder="1"/>
    </xf>
    <xf numFmtId="2" fontId="4" fillId="2" borderId="9" xfId="0" applyNumberFormat="1" applyFont="1" applyFill="1" applyBorder="1" applyAlignment="1">
      <alignment vertical="center" readingOrder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2" fontId="4" fillId="2" borderId="8" xfId="0" applyNumberFormat="1" applyFont="1" applyFill="1" applyBorder="1" applyAlignment="1">
      <alignment horizontal="center" vertical="center" readingOrder="1"/>
    </xf>
    <xf numFmtId="2" fontId="4" fillId="2" borderId="9" xfId="0" applyNumberFormat="1" applyFont="1" applyFill="1" applyBorder="1" applyAlignment="1">
      <alignment horizontal="center" vertical="center" readingOrder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readingOrder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 readingOrder="1"/>
    </xf>
    <xf numFmtId="164" fontId="5" fillId="0" borderId="0" xfId="0" applyNumberFormat="1" applyFont="1" applyAlignment="1">
      <alignment horizontal="right" readingOrder="1"/>
    </xf>
    <xf numFmtId="164" fontId="4" fillId="0" borderId="0" xfId="0" applyNumberFormat="1" applyFont="1" applyAlignment="1">
      <alignment horizontal="center" vertical="center"/>
    </xf>
    <xf numFmtId="0" fontId="4" fillId="0" borderId="11" xfId="0" applyFont="1" applyBorder="1" applyAlignment="1">
      <alignment horizontal="center" vertical="center" readingOrder="1"/>
    </xf>
    <xf numFmtId="2" fontId="4" fillId="2" borderId="25" xfId="0" applyNumberFormat="1" applyFont="1" applyFill="1" applyBorder="1" applyAlignment="1">
      <alignment horizontal="center" vertical="center" readingOrder="1"/>
    </xf>
    <xf numFmtId="0" fontId="7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right" vertical="center" readingOrder="1"/>
    </xf>
    <xf numFmtId="0" fontId="5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4" xfId="0" applyFont="1" applyBorder="1" applyAlignment="1">
      <alignment vertical="center" readingOrder="1"/>
    </xf>
    <xf numFmtId="0" fontId="4" fillId="0" borderId="18" xfId="0" applyFont="1" applyBorder="1" applyAlignment="1">
      <alignment vertical="center" readingOrder="1"/>
    </xf>
    <xf numFmtId="0" fontId="5" fillId="0" borderId="12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5" fillId="0" borderId="12" xfId="0" applyFont="1" applyBorder="1" applyAlignment="1">
      <alignment horizontal="left" vertical="center" readingOrder="1"/>
    </xf>
    <xf numFmtId="0" fontId="4" fillId="0" borderId="19" xfId="0" applyFont="1" applyBorder="1" applyAlignment="1">
      <alignment vertical="center" readingOrder="1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readingOrder="1"/>
    </xf>
    <xf numFmtId="0" fontId="4" fillId="0" borderId="20" xfId="0" applyFont="1" applyBorder="1" applyAlignment="1">
      <alignment horizontal="left" vertical="center"/>
    </xf>
    <xf numFmtId="0" fontId="4" fillId="0" borderId="24" xfId="0" applyFont="1" applyBorder="1" applyAlignment="1">
      <alignment vertical="center"/>
    </xf>
    <xf numFmtId="0" fontId="4" fillId="0" borderId="20" xfId="0" applyFont="1" applyBorder="1" applyAlignment="1">
      <alignment horizontal="left" vertical="center" readingOrder="1"/>
    </xf>
    <xf numFmtId="0" fontId="4" fillId="0" borderId="13" xfId="0" applyFont="1" applyBorder="1" applyAlignment="1">
      <alignment vertical="center" readingOrder="1"/>
    </xf>
    <xf numFmtId="0" fontId="4" fillId="0" borderId="24" xfId="0" applyFont="1" applyBorder="1" applyAlignment="1">
      <alignment vertical="center" readingOrder="1"/>
    </xf>
    <xf numFmtId="0" fontId="5" fillId="0" borderId="14" xfId="0" applyFont="1" applyBorder="1" applyAlignment="1">
      <alignment vertical="center"/>
    </xf>
    <xf numFmtId="0" fontId="5" fillId="0" borderId="0" xfId="0" applyFont="1" applyBorder="1" applyAlignment="1">
      <alignment horizontal="left" vertical="center" readingOrder="1"/>
    </xf>
    <xf numFmtId="0" fontId="4" fillId="0" borderId="0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1" xfId="0" applyFont="1" applyBorder="1" applyAlignment="1">
      <alignment vertical="center" readingOrder="1"/>
    </xf>
    <xf numFmtId="2" fontId="4" fillId="0" borderId="0" xfId="0" applyNumberFormat="1" applyFont="1" applyBorder="1" applyAlignment="1">
      <alignment vertical="center" readingOrder="1"/>
    </xf>
    <xf numFmtId="0" fontId="4" fillId="0" borderId="34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12" fillId="0" borderId="2" xfId="0" applyFont="1" applyBorder="1" applyAlignment="1">
      <alignment horizontal="center" vertical="center" readingOrder="1"/>
    </xf>
    <xf numFmtId="164" fontId="4" fillId="0" borderId="2" xfId="0" applyNumberFormat="1" applyFont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readingOrder="1"/>
    </xf>
    <xf numFmtId="2" fontId="4" fillId="2" borderId="2" xfId="0" applyNumberFormat="1" applyFont="1" applyFill="1" applyBorder="1" applyAlignment="1">
      <alignment vertical="center"/>
    </xf>
    <xf numFmtId="2" fontId="4" fillId="2" borderId="2" xfId="0" applyNumberFormat="1" applyFont="1" applyFill="1" applyBorder="1" applyAlignment="1">
      <alignment vertical="center" readingOrder="1"/>
    </xf>
    <xf numFmtId="164" fontId="4" fillId="2" borderId="2" xfId="0" applyNumberFormat="1" applyFont="1" applyFill="1" applyBorder="1" applyAlignment="1">
      <alignment vertical="center" readingOrder="1"/>
    </xf>
    <xf numFmtId="164" fontId="4" fillId="2" borderId="2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2" fontId="4" fillId="2" borderId="15" xfId="0" applyNumberFormat="1" applyFont="1" applyFill="1" applyBorder="1" applyAlignment="1">
      <alignment vertical="center"/>
    </xf>
    <xf numFmtId="2" fontId="4" fillId="0" borderId="15" xfId="0" applyNumberFormat="1" applyFont="1" applyFill="1" applyBorder="1" applyAlignment="1">
      <alignment vertical="center"/>
    </xf>
    <xf numFmtId="2" fontId="4" fillId="0" borderId="15" xfId="0" applyNumberFormat="1" applyFont="1" applyFill="1" applyBorder="1" applyAlignment="1">
      <alignment vertical="center" readingOrder="1"/>
    </xf>
    <xf numFmtId="2" fontId="4" fillId="0" borderId="2" xfId="0" applyNumberFormat="1" applyFont="1" applyFill="1" applyBorder="1" applyAlignment="1">
      <alignment vertical="center" readingOrder="1"/>
    </xf>
    <xf numFmtId="2" fontId="4" fillId="0" borderId="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readingOrder="1"/>
    </xf>
    <xf numFmtId="0" fontId="5" fillId="0" borderId="5" xfId="0" applyFont="1" applyBorder="1" applyAlignment="1">
      <alignment horizontal="center" vertical="center" readingOrder="1"/>
    </xf>
    <xf numFmtId="0" fontId="5" fillId="0" borderId="16" xfId="0" applyFont="1" applyBorder="1" applyAlignment="1">
      <alignment horizontal="center" vertical="center"/>
    </xf>
    <xf numFmtId="164" fontId="4" fillId="2" borderId="2" xfId="0" quotePrefix="1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readingOrder="1"/>
    </xf>
    <xf numFmtId="164" fontId="4" fillId="2" borderId="22" xfId="0" applyNumberFormat="1" applyFont="1" applyFill="1" applyBorder="1" applyAlignment="1">
      <alignment horizontal="center" vertical="center" readingOrder="1"/>
    </xf>
    <xf numFmtId="0" fontId="5" fillId="0" borderId="10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 readingOrder="1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left" vertical="center" readingOrder="1"/>
    </xf>
    <xf numFmtId="0" fontId="4" fillId="0" borderId="14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 readingOrder="1"/>
    </xf>
    <xf numFmtId="0" fontId="4" fillId="0" borderId="22" xfId="0" applyFont="1" applyBorder="1" applyAlignment="1">
      <alignment horizontal="center" vertical="center" readingOrder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readingOrder="1"/>
    </xf>
    <xf numFmtId="0" fontId="4" fillId="0" borderId="8" xfId="0" applyFont="1" applyBorder="1" applyAlignment="1">
      <alignment horizontal="center" vertical="center" readingOrder="1"/>
    </xf>
    <xf numFmtId="0" fontId="4" fillId="0" borderId="23" xfId="0" applyFont="1" applyBorder="1" applyAlignment="1">
      <alignment horizontal="center" vertical="center" readingOrder="1"/>
    </xf>
    <xf numFmtId="0" fontId="4" fillId="0" borderId="9" xfId="0" applyFont="1" applyBorder="1" applyAlignment="1">
      <alignment horizontal="center" vertical="center" readingOrder="1"/>
    </xf>
    <xf numFmtId="0" fontId="4" fillId="0" borderId="0" xfId="0" applyFont="1" applyBorder="1" applyAlignment="1">
      <alignment horizontal="left" vertical="center" readingOrder="1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 readingOrder="1"/>
    </xf>
    <xf numFmtId="0" fontId="4" fillId="2" borderId="0" xfId="0" applyFont="1" applyFill="1" applyAlignment="1">
      <alignment horizontal="center" vertical="center" readingOrder="1"/>
    </xf>
    <xf numFmtId="0" fontId="4" fillId="0" borderId="0" xfId="0" applyFont="1" applyFill="1" applyAlignment="1">
      <alignment horizontal="center" vertical="center" readingOrder="1"/>
    </xf>
    <xf numFmtId="0" fontId="4" fillId="0" borderId="0" xfId="0" quotePrefix="1" applyFont="1" applyAlignment="1">
      <alignment horizontal="center" vertical="center" readingOrder="1"/>
    </xf>
    <xf numFmtId="0" fontId="4" fillId="0" borderId="0" xfId="0" quotePrefix="1" applyFont="1" applyBorder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4" fillId="0" borderId="0" xfId="0" applyNumberFormat="1" applyFont="1" applyAlignment="1">
      <alignment horizontal="center" vertical="center" readingOrder="1"/>
    </xf>
    <xf numFmtId="2" fontId="4" fillId="0" borderId="0" xfId="0" applyNumberFormat="1" applyFont="1" applyAlignment="1">
      <alignment horizontal="left" vertical="center" readingOrder="1"/>
    </xf>
    <xf numFmtId="164" fontId="4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5" fillId="0" borderId="0" xfId="0" applyNumberFormat="1" applyFont="1" applyAlignment="1">
      <alignment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vertical="center" readingOrder="1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 readingOrder="1"/>
    </xf>
    <xf numFmtId="0" fontId="4" fillId="0" borderId="33" xfId="0" applyFont="1" applyBorder="1" applyAlignment="1">
      <alignment vertical="center" readingOrder="1"/>
    </xf>
    <xf numFmtId="164" fontId="4" fillId="0" borderId="0" xfId="0" applyNumberFormat="1" applyFont="1" applyAlignment="1">
      <alignment vertical="center" readingOrder="1"/>
    </xf>
    <xf numFmtId="1" fontId="4" fillId="0" borderId="0" xfId="0" applyNumberFormat="1" applyFont="1" applyAlignment="1">
      <alignment vertical="center" readingOrder="1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5" fillId="3" borderId="35" xfId="0" applyFont="1" applyFill="1" applyBorder="1" applyAlignment="1">
      <alignment vertical="center"/>
    </xf>
    <xf numFmtId="1" fontId="5" fillId="3" borderId="2" xfId="0" applyNumberFormat="1" applyFont="1" applyFill="1" applyBorder="1" applyAlignment="1">
      <alignment vertical="center"/>
    </xf>
    <xf numFmtId="1" fontId="5" fillId="3" borderId="35" xfId="0" applyNumberFormat="1" applyFont="1" applyFill="1" applyBorder="1" applyAlignment="1">
      <alignment vertical="center"/>
    </xf>
    <xf numFmtId="0" fontId="18" fillId="0" borderId="35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 readingOrder="1"/>
    </xf>
    <xf numFmtId="1" fontId="4" fillId="0" borderId="2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4" fillId="0" borderId="15" xfId="0" applyFont="1" applyBorder="1" applyAlignment="1">
      <alignment vertical="center"/>
    </xf>
    <xf numFmtId="1" fontId="5" fillId="3" borderId="15" xfId="0" applyNumberFormat="1" applyFont="1" applyFill="1" applyBorder="1" applyAlignment="1">
      <alignment vertical="center"/>
    </xf>
    <xf numFmtId="1" fontId="4" fillId="0" borderId="15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vertical="center"/>
    </xf>
    <xf numFmtId="1" fontId="4" fillId="0" borderId="0" xfId="0" applyNumberFormat="1" applyFont="1" applyFill="1" applyBorder="1" applyAlignment="1">
      <alignment vertical="center"/>
    </xf>
    <xf numFmtId="0" fontId="18" fillId="0" borderId="15" xfId="0" applyFont="1" applyBorder="1" applyAlignment="1">
      <alignment horizontal="left" vertical="center"/>
    </xf>
    <xf numFmtId="0" fontId="4" fillId="0" borderId="14" xfId="0" applyFont="1" applyFill="1" applyBorder="1" applyAlignment="1">
      <alignment vertical="center"/>
    </xf>
    <xf numFmtId="0" fontId="18" fillId="0" borderId="14" xfId="0" applyFont="1" applyFill="1" applyBorder="1" applyAlignment="1">
      <alignment horizontal="left" vertical="center"/>
    </xf>
    <xf numFmtId="1" fontId="4" fillId="0" borderId="14" xfId="0" applyNumberFormat="1" applyFont="1" applyFill="1" applyBorder="1" applyAlignment="1">
      <alignment vertical="center"/>
    </xf>
    <xf numFmtId="1" fontId="4" fillId="0" borderId="18" xfId="0" applyNumberFormat="1" applyFont="1" applyFill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18" fillId="0" borderId="13" xfId="0" applyFont="1" applyFill="1" applyBorder="1" applyAlignment="1">
      <alignment horizontal="left" vertical="center"/>
    </xf>
    <xf numFmtId="1" fontId="4" fillId="0" borderId="13" xfId="0" applyNumberFormat="1" applyFont="1" applyFill="1" applyBorder="1" applyAlignment="1">
      <alignment vertical="center"/>
    </xf>
    <xf numFmtId="1" fontId="4" fillId="0" borderId="24" xfId="0" applyNumberFormat="1" applyFont="1" applyFill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 readingOrder="1"/>
    </xf>
    <xf numFmtId="0" fontId="5" fillId="0" borderId="0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9" fillId="2" borderId="0" xfId="0" applyFont="1" applyFill="1" applyAlignment="1">
      <alignment vertical="center" readingOrder="1"/>
    </xf>
    <xf numFmtId="164" fontId="19" fillId="2" borderId="0" xfId="0" applyNumberFormat="1" applyFont="1" applyFill="1" applyAlignment="1">
      <alignment vertical="center" readingOrder="1"/>
    </xf>
    <xf numFmtId="1" fontId="19" fillId="2" borderId="0" xfId="0" applyNumberFormat="1" applyFont="1" applyFill="1" applyAlignment="1">
      <alignment vertical="center" readingOrder="1"/>
    </xf>
    <xf numFmtId="2" fontId="19" fillId="2" borderId="0" xfId="0" applyNumberFormat="1" applyFont="1" applyFill="1" applyAlignment="1">
      <alignment vertical="center" readingOrder="1"/>
    </xf>
    <xf numFmtId="0" fontId="19" fillId="0" borderId="0" xfId="0" applyFont="1" applyAlignment="1">
      <alignment vertical="center" readingOrder="1"/>
    </xf>
    <xf numFmtId="2" fontId="4" fillId="2" borderId="0" xfId="0" applyNumberFormat="1" applyFont="1" applyFill="1" applyAlignment="1">
      <alignment vertical="center" readingOrder="1"/>
    </xf>
    <xf numFmtId="164" fontId="4" fillId="2" borderId="0" xfId="0" applyNumberFormat="1" applyFont="1" applyFill="1" applyAlignment="1">
      <alignment vertical="center" readingOrder="1"/>
    </xf>
    <xf numFmtId="0" fontId="4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Alignment="1">
      <alignment horizontal="left" vertical="center" readingOrder="1"/>
    </xf>
    <xf numFmtId="0" fontId="16" fillId="0" borderId="0" xfId="0" applyFont="1" applyAlignment="1">
      <alignment vertical="center"/>
    </xf>
    <xf numFmtId="164" fontId="4" fillId="0" borderId="32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center" vertical="center" readingOrder="1"/>
    </xf>
    <xf numFmtId="0" fontId="5" fillId="3" borderId="0" xfId="0" applyFont="1" applyFill="1" applyAlignment="1">
      <alignment vertical="center" readingOrder="1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 readingOrder="1"/>
    </xf>
    <xf numFmtId="2" fontId="4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left" vertical="center" readingOrder="1"/>
    </xf>
    <xf numFmtId="2" fontId="4" fillId="2" borderId="0" xfId="0" applyNumberFormat="1" applyFont="1" applyFill="1" applyAlignment="1">
      <alignment horizontal="center" vertical="center" readingOrder="1"/>
    </xf>
    <xf numFmtId="1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164" fontId="4" fillId="0" borderId="0" xfId="0" applyNumberFormat="1" applyFont="1" applyAlignment="1">
      <alignment horizontal="left" vertical="center" readingOrder="1"/>
    </xf>
    <xf numFmtId="2" fontId="4" fillId="2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vertical="center" readingOrder="1"/>
    </xf>
    <xf numFmtId="2" fontId="4" fillId="0" borderId="0" xfId="0" applyNumberFormat="1" applyFont="1" applyFill="1" applyAlignment="1">
      <alignment horizontal="center" vertical="center" readingOrder="1"/>
    </xf>
    <xf numFmtId="1" fontId="4" fillId="0" borderId="0" xfId="0" applyNumberFormat="1" applyFont="1" applyAlignment="1">
      <alignment horizontal="left" vertical="center" readingOrder="1"/>
    </xf>
    <xf numFmtId="1" fontId="2" fillId="0" borderId="0" xfId="0" applyNumberFormat="1" applyFont="1" applyAlignment="1">
      <alignment vertical="center" readingOrder="1"/>
    </xf>
    <xf numFmtId="2" fontId="4" fillId="2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readingOrder="1"/>
    </xf>
    <xf numFmtId="164" fontId="4" fillId="2" borderId="0" xfId="0" applyNumberFormat="1" applyFont="1" applyFill="1" applyBorder="1" applyAlignment="1">
      <alignment vertical="center" readingOrder="1"/>
    </xf>
    <xf numFmtId="0" fontId="4" fillId="0" borderId="0" xfId="0" applyFont="1" applyFill="1" applyAlignment="1">
      <alignment horizontal="right" vertical="center" readingOrder="1"/>
    </xf>
    <xf numFmtId="0" fontId="4" fillId="0" borderId="0" xfId="0" applyFont="1" applyFill="1" applyAlignment="1">
      <alignment vertical="center" readingOrder="1"/>
    </xf>
    <xf numFmtId="2" fontId="4" fillId="0" borderId="32" xfId="0" applyNumberFormat="1" applyFont="1" applyBorder="1" applyAlignment="1">
      <alignment vertical="center"/>
    </xf>
    <xf numFmtId="0" fontId="15" fillId="0" borderId="0" xfId="0" applyFont="1" applyAlignment="1">
      <alignment vertical="center" readingOrder="1"/>
    </xf>
    <xf numFmtId="0" fontId="19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 readingOrder="1"/>
    </xf>
    <xf numFmtId="0" fontId="5" fillId="0" borderId="35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8" fillId="0" borderId="0" xfId="0" applyFont="1" applyBorder="1" applyAlignment="1">
      <alignment horizontal="left" vertical="center" readingOrder="1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1" fontId="5" fillId="0" borderId="1" xfId="0" applyNumberFormat="1" applyFont="1" applyBorder="1" applyAlignment="1">
      <alignment vertical="center"/>
    </xf>
    <xf numFmtId="1" fontId="5" fillId="0" borderId="30" xfId="0" applyNumberFormat="1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2" xfId="0" applyFont="1" applyFill="1" applyBorder="1" applyAlignment="1">
      <alignment vertical="center"/>
    </xf>
    <xf numFmtId="0" fontId="15" fillId="0" borderId="32" xfId="0" applyFont="1" applyFill="1" applyBorder="1" applyAlignment="1">
      <alignment horizontal="left" vertical="center"/>
    </xf>
    <xf numFmtId="1" fontId="5" fillId="0" borderId="32" xfId="0" applyNumberFormat="1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readingOrder="1"/>
    </xf>
    <xf numFmtId="2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horizontal="left" vertical="center"/>
    </xf>
    <xf numFmtId="1" fontId="5" fillId="3" borderId="0" xfId="0" applyNumberFormat="1" applyFont="1" applyFill="1" applyAlignment="1">
      <alignment horizontal="center" vertical="center" readingOrder="1"/>
    </xf>
    <xf numFmtId="0" fontId="2" fillId="3" borderId="0" xfId="0" applyFont="1" applyFill="1" applyAlignment="1">
      <alignment vertical="center" readingOrder="1"/>
    </xf>
    <xf numFmtId="1" fontId="5" fillId="3" borderId="0" xfId="0" applyNumberFormat="1" applyFont="1" applyFill="1" applyAlignment="1">
      <alignment vertical="center" readingOrder="1"/>
    </xf>
    <xf numFmtId="0" fontId="4" fillId="2" borderId="0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vertical="center" readingOrder="1"/>
    </xf>
    <xf numFmtId="165" fontId="4" fillId="0" borderId="0" xfId="0" applyNumberFormat="1" applyFont="1" applyAlignment="1">
      <alignment vertical="center"/>
    </xf>
    <xf numFmtId="2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1" fontId="5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readingOrder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readingOrder="1"/>
    </xf>
    <xf numFmtId="0" fontId="4" fillId="2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left" vertical="center" readingOrder="1"/>
    </xf>
    <xf numFmtId="164" fontId="4" fillId="0" borderId="0" xfId="0" applyNumberFormat="1" applyFont="1" applyAlignment="1">
      <alignment horizontal="center" vertical="center"/>
    </xf>
    <xf numFmtId="1" fontId="5" fillId="0" borderId="0" xfId="0" applyNumberFormat="1" applyFont="1" applyBorder="1" applyAlignment="1">
      <alignment vertical="center" readingOrder="1"/>
    </xf>
    <xf numFmtId="16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readingOrder="1"/>
    </xf>
    <xf numFmtId="2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readingOrder="1"/>
    </xf>
    <xf numFmtId="1" fontId="4" fillId="0" borderId="0" xfId="0" applyNumberFormat="1" applyFont="1" applyFill="1" applyBorder="1" applyAlignment="1">
      <alignment vertical="center" readingOrder="1"/>
    </xf>
    <xf numFmtId="0" fontId="19" fillId="0" borderId="0" xfId="0" applyFont="1" applyBorder="1" applyAlignment="1">
      <alignment horizontal="right" vertical="center"/>
    </xf>
    <xf numFmtId="1" fontId="4" fillId="0" borderId="1" xfId="0" applyNumberFormat="1" applyFont="1" applyBorder="1" applyAlignment="1">
      <alignment vertical="center" readingOrder="1"/>
    </xf>
    <xf numFmtId="2" fontId="5" fillId="0" borderId="34" xfId="0" applyNumberFormat="1" applyFont="1" applyFill="1" applyBorder="1" applyAlignment="1">
      <alignment horizontal="center" vertical="center"/>
    </xf>
    <xf numFmtId="1" fontId="5" fillId="0" borderId="36" xfId="0" applyNumberFormat="1" applyFont="1" applyFill="1" applyBorder="1" applyAlignment="1">
      <alignment vertical="center" readingOrder="1"/>
    </xf>
    <xf numFmtId="0" fontId="5" fillId="0" borderId="35" xfId="0" applyFont="1" applyFill="1" applyBorder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vertical="center" readingOrder="1"/>
    </xf>
    <xf numFmtId="0" fontId="5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 readingOrder="1"/>
    </xf>
    <xf numFmtId="0" fontId="4" fillId="2" borderId="0" xfId="0" applyFont="1" applyFill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0" fontId="4" fillId="2" borderId="0" xfId="0" applyFont="1" applyFill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Alignment="1">
      <alignment vertical="center"/>
    </xf>
    <xf numFmtId="0" fontId="4" fillId="0" borderId="29" xfId="0" applyFont="1" applyBorder="1" applyAlignment="1">
      <alignment vertical="center" readingOrder="1"/>
    </xf>
    <xf numFmtId="0" fontId="4" fillId="0" borderId="31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1" fontId="4" fillId="0" borderId="36" xfId="0" applyNumberFormat="1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32" fillId="0" borderId="0" xfId="0" applyFont="1" applyFill="1" applyAlignment="1">
      <alignment vertic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5" borderId="29" xfId="0" applyFont="1" applyFill="1" applyBorder="1" applyAlignment="1">
      <alignment vertical="center" readingOrder="1"/>
    </xf>
    <xf numFmtId="0" fontId="4" fillId="5" borderId="31" xfId="0" applyFont="1" applyFill="1" applyBorder="1" applyAlignment="1">
      <alignment vertical="center"/>
    </xf>
    <xf numFmtId="0" fontId="2" fillId="5" borderId="3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readingOrder="1"/>
    </xf>
    <xf numFmtId="0" fontId="2" fillId="5" borderId="33" xfId="0" applyFont="1" applyFill="1" applyBorder="1" applyAlignment="1">
      <alignment vertical="center"/>
    </xf>
    <xf numFmtId="1" fontId="5" fillId="0" borderId="17" xfId="0" applyNumberFormat="1" applyFont="1" applyBorder="1" applyAlignment="1">
      <alignment vertical="center" readingOrder="1"/>
    </xf>
    <xf numFmtId="1" fontId="5" fillId="0" borderId="14" xfId="0" applyNumberFormat="1" applyFont="1" applyBorder="1" applyAlignment="1">
      <alignment vertical="center" readingOrder="1"/>
    </xf>
    <xf numFmtId="1" fontId="5" fillId="3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" fillId="0" borderId="31" xfId="0" applyFont="1" applyBorder="1" applyAlignment="1">
      <alignment vertical="center" readingOrder="1"/>
    </xf>
    <xf numFmtId="166" fontId="4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1" fontId="4" fillId="3" borderId="0" xfId="0" applyNumberFormat="1" applyFont="1" applyFill="1" applyAlignment="1">
      <alignment vertical="center" readingOrder="1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vertical="center" readingOrder="1"/>
    </xf>
    <xf numFmtId="0" fontId="30" fillId="0" borderId="0" xfId="0" applyFont="1" applyFill="1" applyBorder="1" applyAlignment="1">
      <alignment vertical="center"/>
    </xf>
    <xf numFmtId="0" fontId="25" fillId="0" borderId="0" xfId="0" applyFont="1" applyFill="1" applyAlignment="1">
      <alignment vertical="center"/>
    </xf>
    <xf numFmtId="1" fontId="4" fillId="0" borderId="32" xfId="0" applyNumberFormat="1" applyFont="1" applyBorder="1" applyAlignment="1">
      <alignment vertical="center" readingOrder="1"/>
    </xf>
    <xf numFmtId="1" fontId="4" fillId="0" borderId="0" xfId="0" applyNumberFormat="1" applyFont="1" applyBorder="1" applyAlignment="1">
      <alignment vertical="center" readingOrder="1"/>
    </xf>
    <xf numFmtId="2" fontId="4" fillId="3" borderId="0" xfId="0" applyNumberFormat="1" applyFont="1" applyFill="1" applyAlignment="1">
      <alignment vertical="center" readingOrder="1"/>
    </xf>
    <xf numFmtId="1" fontId="4" fillId="3" borderId="0" xfId="0" applyNumberFormat="1" applyFont="1" applyFill="1" applyAlignment="1">
      <alignment horizontal="center" vertical="center" readingOrder="1"/>
    </xf>
    <xf numFmtId="0" fontId="4" fillId="2" borderId="32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vertical="center"/>
    </xf>
    <xf numFmtId="0" fontId="4" fillId="2" borderId="36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vertical="center"/>
    </xf>
    <xf numFmtId="2" fontId="5" fillId="0" borderId="36" xfId="0" applyNumberFormat="1" applyFont="1" applyBorder="1" applyAlignment="1">
      <alignment vertical="center" readingOrder="1"/>
    </xf>
    <xf numFmtId="0" fontId="5" fillId="0" borderId="35" xfId="0" applyFont="1" applyBorder="1" applyAlignment="1">
      <alignment vertical="center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right" vertical="center" readingOrder="1"/>
    </xf>
    <xf numFmtId="1" fontId="4" fillId="0" borderId="0" xfId="0" applyNumberFormat="1" applyFont="1" applyAlignment="1">
      <alignment horizontal="center" vertical="center" readingOrder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5" fontId="4" fillId="3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center"/>
    </xf>
    <xf numFmtId="1" fontId="5" fillId="0" borderId="0" xfId="0" applyNumberFormat="1" applyFont="1" applyAlignment="1">
      <alignment vertical="center" readingOrder="1"/>
    </xf>
    <xf numFmtId="1" fontId="19" fillId="0" borderId="0" xfId="0" applyNumberFormat="1" applyFont="1" applyAlignment="1">
      <alignment vertical="center" readingOrder="1"/>
    </xf>
    <xf numFmtId="1" fontId="19" fillId="0" borderId="0" xfId="0" applyNumberFormat="1" applyFont="1" applyAlignment="1">
      <alignment vertical="center"/>
    </xf>
    <xf numFmtId="2" fontId="4" fillId="0" borderId="0" xfId="0" applyNumberFormat="1" applyFont="1" applyFill="1" applyAlignment="1">
      <alignment vertical="center"/>
    </xf>
    <xf numFmtId="164" fontId="4" fillId="3" borderId="0" xfId="0" applyNumberFormat="1" applyFont="1" applyFill="1" applyAlignment="1">
      <alignment horizontal="center" vertical="center" readingOrder="1"/>
    </xf>
    <xf numFmtId="165" fontId="5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right" vertical="center" readingOrder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 readingOrder="1"/>
    </xf>
    <xf numFmtId="0" fontId="4" fillId="0" borderId="0" xfId="0" applyFont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1" fontId="15" fillId="0" borderId="0" xfId="0" applyNumberFormat="1" applyFont="1" applyAlignment="1">
      <alignment vertical="center" readingOrder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30" fillId="0" borderId="0" xfId="0" applyFont="1" applyAlignment="1">
      <alignment vertical="center" readingOrder="1"/>
    </xf>
    <xf numFmtId="0" fontId="19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readingOrder="1"/>
    </xf>
    <xf numFmtId="0" fontId="5" fillId="0" borderId="0" xfId="0" applyFont="1" applyAlignment="1">
      <alignment horizontal="left" vertical="center" readingOrder="1"/>
    </xf>
    <xf numFmtId="164" fontId="19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center" vertical="center" readingOrder="1"/>
    </xf>
    <xf numFmtId="2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 readingOrder="1"/>
    </xf>
    <xf numFmtId="0" fontId="4" fillId="0" borderId="0" xfId="0" applyFont="1" applyAlignment="1">
      <alignment horizontal="right" vertical="center" readingOrder="1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 readingOrder="1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4" fillId="0" borderId="17" xfId="0" applyFont="1" applyBorder="1" applyAlignment="1">
      <alignment horizontal="right" vertical="center"/>
    </xf>
    <xf numFmtId="0" fontId="4" fillId="0" borderId="38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164" fontId="19" fillId="0" borderId="0" xfId="0" applyNumberFormat="1" applyFont="1" applyAlignment="1">
      <alignment vertical="center" readingOrder="1"/>
    </xf>
    <xf numFmtId="0" fontId="18" fillId="0" borderId="0" xfId="0" applyFont="1" applyAlignment="1">
      <alignment vertical="center" readingOrder="1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readingOrder="1"/>
    </xf>
    <xf numFmtId="0" fontId="18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15" fillId="0" borderId="0" xfId="0" applyFont="1" applyFill="1" applyAlignment="1">
      <alignment vertical="center" readingOrder="1"/>
    </xf>
    <xf numFmtId="0" fontId="43" fillId="0" borderId="0" xfId="0" applyFont="1" applyFill="1" applyAlignment="1">
      <alignment horizontal="right" vertical="center" readingOrder="1"/>
    </xf>
    <xf numFmtId="0" fontId="37" fillId="0" borderId="0" xfId="0" applyFont="1" applyAlignment="1">
      <alignment vertical="center"/>
    </xf>
    <xf numFmtId="0" fontId="4" fillId="0" borderId="34" xfId="0" applyFont="1" applyBorder="1" applyAlignment="1">
      <alignment vertical="center" readingOrder="1"/>
    </xf>
    <xf numFmtId="0" fontId="4" fillId="0" borderId="36" xfId="0" applyFont="1" applyBorder="1" applyAlignment="1">
      <alignment vertical="center" readingOrder="1"/>
    </xf>
    <xf numFmtId="1" fontId="15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 readingOrder="1"/>
    </xf>
    <xf numFmtId="0" fontId="4" fillId="2" borderId="0" xfId="0" applyFont="1" applyFill="1" applyAlignment="1">
      <alignment horizontal="center" vertical="center" readingOrder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readingOrder="1"/>
    </xf>
    <xf numFmtId="0" fontId="4" fillId="0" borderId="0" xfId="0" applyFont="1" applyAlignment="1">
      <alignment horizontal="right" vertical="center" readingOrder="1"/>
    </xf>
    <xf numFmtId="0" fontId="4" fillId="2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center" vertical="center" readingOrder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Border="1" applyAlignment="1">
      <alignment horizontal="right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 readingOrder="1"/>
    </xf>
    <xf numFmtId="1" fontId="4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left" vertical="center"/>
    </xf>
    <xf numFmtId="0" fontId="4" fillId="0" borderId="32" xfId="0" applyFont="1" applyBorder="1" applyAlignment="1">
      <alignment horizontal="center" vertical="center"/>
    </xf>
    <xf numFmtId="1" fontId="5" fillId="0" borderId="0" xfId="0" applyNumberFormat="1" applyFont="1" applyAlignment="1">
      <alignment horizontal="right" vertical="center"/>
    </xf>
    <xf numFmtId="0" fontId="5" fillId="0" borderId="3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top" readingOrder="1"/>
    </xf>
    <xf numFmtId="0" fontId="5" fillId="0" borderId="35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32" xfId="0" applyNumberFormat="1" applyFont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 readingOrder="1"/>
    </xf>
    <xf numFmtId="1" fontId="3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 readingOrder="1"/>
    </xf>
    <xf numFmtId="1" fontId="4" fillId="4" borderId="0" xfId="0" applyNumberFormat="1" applyFont="1" applyFill="1" applyBorder="1" applyAlignment="1">
      <alignment horizontal="center" vertical="center" readingOrder="1"/>
    </xf>
    <xf numFmtId="1" fontId="4" fillId="5" borderId="1" xfId="0" applyNumberFormat="1" applyFont="1" applyFill="1" applyBorder="1" applyAlignment="1">
      <alignment horizontal="center" vertical="center" readingOrder="1"/>
    </xf>
    <xf numFmtId="1" fontId="4" fillId="5" borderId="30" xfId="0" applyNumberFormat="1" applyFont="1" applyFill="1" applyBorder="1" applyAlignment="1">
      <alignment horizontal="center" vertical="center" readingOrder="1"/>
    </xf>
    <xf numFmtId="0" fontId="4" fillId="0" borderId="0" xfId="0" applyFont="1" applyBorder="1" applyAlignment="1">
      <alignment horizontal="right" vertical="center"/>
    </xf>
    <xf numFmtId="1" fontId="4" fillId="0" borderId="12" xfId="0" applyNumberFormat="1" applyFont="1" applyBorder="1" applyAlignment="1">
      <alignment horizontal="center" vertical="center" readingOrder="1"/>
    </xf>
    <xf numFmtId="0" fontId="4" fillId="0" borderId="0" xfId="0" applyFont="1" applyBorder="1" applyAlignment="1">
      <alignment horizontal="center" vertical="center" readingOrder="1"/>
    </xf>
    <xf numFmtId="1" fontId="4" fillId="0" borderId="20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 readingOrder="1"/>
    </xf>
    <xf numFmtId="0" fontId="4" fillId="0" borderId="13" xfId="0" applyFont="1" applyBorder="1" applyAlignment="1">
      <alignment horizontal="center" vertical="center" readingOrder="1"/>
    </xf>
    <xf numFmtId="1" fontId="4" fillId="0" borderId="32" xfId="0" applyNumberFormat="1" applyFont="1" applyBorder="1" applyAlignment="1">
      <alignment horizontal="center" vertical="center" readingOrder="1"/>
    </xf>
    <xf numFmtId="2" fontId="4" fillId="0" borderId="1" xfId="0" applyNumberFormat="1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emf"/><Relationship Id="rId1" Type="http://schemas.openxmlformats.org/officeDocument/2006/relationships/image" Target="../media/image38.emf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328083</xdr:colOff>
      <xdr:row>24</xdr:row>
      <xdr:rowOff>95249</xdr:rowOff>
    </xdr:from>
    <xdr:to>
      <xdr:col>8</xdr:col>
      <xdr:colOff>2</xdr:colOff>
      <xdr:row>24</xdr:row>
      <xdr:rowOff>232833</xdr:rowOff>
    </xdr:to>
    <xdr:cxnSp macro="">
      <xdr:nvCxnSpPr>
        <xdr:cNvPr id="5" name="4 Conector recto"/>
        <xdr:cNvCxnSpPr/>
      </xdr:nvCxnSpPr>
      <xdr:spPr>
        <a:xfrm rot="16200000" flipH="1">
          <a:off x="3190876" y="6693956"/>
          <a:ext cx="137584" cy="8466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9789</xdr:colOff>
      <xdr:row>24</xdr:row>
      <xdr:rowOff>21961</xdr:rowOff>
    </xdr:from>
    <xdr:to>
      <xdr:col>8</xdr:col>
      <xdr:colOff>11377</xdr:colOff>
      <xdr:row>24</xdr:row>
      <xdr:rowOff>233627</xdr:rowOff>
    </xdr:to>
    <xdr:cxnSp macro="">
      <xdr:nvCxnSpPr>
        <xdr:cNvPr id="9" name="8 Conector recto"/>
        <xdr:cNvCxnSpPr/>
      </xdr:nvCxnSpPr>
      <xdr:spPr>
        <a:xfrm rot="5400000" flipH="1" flipV="1">
          <a:off x="3206750" y="6699250"/>
          <a:ext cx="211666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296333</xdr:colOff>
      <xdr:row>24</xdr:row>
      <xdr:rowOff>1588</xdr:rowOff>
    </xdr:to>
    <xdr:cxnSp macro="">
      <xdr:nvCxnSpPr>
        <xdr:cNvPr id="13" name="12 Conector recto"/>
        <xdr:cNvCxnSpPr/>
      </xdr:nvCxnSpPr>
      <xdr:spPr>
        <a:xfrm>
          <a:off x="3302000" y="6572250"/>
          <a:ext cx="709083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2116</xdr:colOff>
      <xdr:row>20</xdr:row>
      <xdr:rowOff>243416</xdr:rowOff>
    </xdr:from>
    <xdr:to>
      <xdr:col>10</xdr:col>
      <xdr:colOff>31750</xdr:colOff>
      <xdr:row>21</xdr:row>
      <xdr:rowOff>0</xdr:rowOff>
    </xdr:to>
    <xdr:cxnSp macro="">
      <xdr:nvCxnSpPr>
        <xdr:cNvPr id="15" name="14 Conector recto"/>
        <xdr:cNvCxnSpPr/>
      </xdr:nvCxnSpPr>
      <xdr:spPr>
        <a:xfrm>
          <a:off x="3269191" y="5082116"/>
          <a:ext cx="791634" cy="423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296334</xdr:colOff>
      <xdr:row>21</xdr:row>
      <xdr:rowOff>62707</xdr:rowOff>
    </xdr:from>
    <xdr:to>
      <xdr:col>7</xdr:col>
      <xdr:colOff>381003</xdr:colOff>
      <xdr:row>21</xdr:row>
      <xdr:rowOff>200291</xdr:rowOff>
    </xdr:to>
    <xdr:cxnSp macro="">
      <xdr:nvCxnSpPr>
        <xdr:cNvPr id="17" name="16 Conector recto"/>
        <xdr:cNvCxnSpPr/>
      </xdr:nvCxnSpPr>
      <xdr:spPr>
        <a:xfrm rot="16200000" flipH="1">
          <a:off x="3159127" y="5931164"/>
          <a:ext cx="137584" cy="84669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390790</xdr:colOff>
      <xdr:row>21</xdr:row>
      <xdr:rowOff>0</xdr:rowOff>
    </xdr:from>
    <xdr:to>
      <xdr:col>7</xdr:col>
      <xdr:colOff>392378</xdr:colOff>
      <xdr:row>21</xdr:row>
      <xdr:rowOff>201085</xdr:rowOff>
    </xdr:to>
    <xdr:cxnSp macro="">
      <xdr:nvCxnSpPr>
        <xdr:cNvPr id="18" name="17 Conector recto"/>
        <xdr:cNvCxnSpPr/>
      </xdr:nvCxnSpPr>
      <xdr:spPr>
        <a:xfrm rot="5400000" flipH="1" flipV="1">
          <a:off x="3175001" y="5936458"/>
          <a:ext cx="211666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85725</xdr:colOff>
      <xdr:row>14</xdr:row>
      <xdr:rowOff>161925</xdr:rowOff>
    </xdr:from>
    <xdr:to>
      <xdr:col>13</xdr:col>
      <xdr:colOff>85726</xdr:colOff>
      <xdr:row>20</xdr:row>
      <xdr:rowOff>28575</xdr:rowOff>
    </xdr:to>
    <xdr:pic>
      <xdr:nvPicPr>
        <xdr:cNvPr id="127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507" t="13692" r="40137" b="51590"/>
        <a:stretch>
          <a:fillRect/>
        </a:stretch>
      </xdr:blipFill>
      <xdr:spPr bwMode="auto">
        <a:xfrm>
          <a:off x="4114800" y="3514725"/>
          <a:ext cx="1304925" cy="13525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304800</xdr:colOff>
      <xdr:row>19</xdr:row>
      <xdr:rowOff>104775</xdr:rowOff>
    </xdr:from>
    <xdr:to>
      <xdr:col>13</xdr:col>
      <xdr:colOff>228601</xdr:colOff>
      <xdr:row>24</xdr:row>
      <xdr:rowOff>133350</xdr:rowOff>
    </xdr:to>
    <xdr:pic>
      <xdr:nvPicPr>
        <xdr:cNvPr id="127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9308" t="19804" r="44174" b="47678"/>
        <a:stretch>
          <a:fillRect/>
        </a:stretch>
      </xdr:blipFill>
      <xdr:spPr bwMode="auto">
        <a:xfrm>
          <a:off x="4333875" y="4695825"/>
          <a:ext cx="1228725" cy="1266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</xdr:row>
          <xdr:rowOff>142875</xdr:rowOff>
        </xdr:from>
        <xdr:to>
          <xdr:col>13</xdr:col>
          <xdr:colOff>38100</xdr:colOff>
          <xdr:row>8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</xdr:row>
          <xdr:rowOff>28575</xdr:rowOff>
        </xdr:from>
        <xdr:to>
          <xdr:col>13</xdr:col>
          <xdr:colOff>180975</xdr:colOff>
          <xdr:row>13</xdr:row>
          <xdr:rowOff>219075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41</xdr:row>
          <xdr:rowOff>47625</xdr:rowOff>
        </xdr:from>
        <xdr:to>
          <xdr:col>13</xdr:col>
          <xdr:colOff>323850</xdr:colOff>
          <xdr:row>50</xdr:row>
          <xdr:rowOff>219075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41</xdr:row>
          <xdr:rowOff>76200</xdr:rowOff>
        </xdr:from>
        <xdr:to>
          <xdr:col>6</xdr:col>
          <xdr:colOff>200025</xdr:colOff>
          <xdr:row>50</xdr:row>
          <xdr:rowOff>152400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95</xdr:row>
          <xdr:rowOff>104775</xdr:rowOff>
        </xdr:from>
        <xdr:to>
          <xdr:col>11</xdr:col>
          <xdr:colOff>104775</xdr:colOff>
          <xdr:row>104</xdr:row>
          <xdr:rowOff>114300</xdr:rowOff>
        </xdr:to>
        <xdr:sp macro="" textlink="">
          <xdr:nvSpPr>
            <xdr:cNvPr id="1041" name="Object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116</xdr:row>
          <xdr:rowOff>76200</xdr:rowOff>
        </xdr:from>
        <xdr:to>
          <xdr:col>12</xdr:col>
          <xdr:colOff>447675</xdr:colOff>
          <xdr:row>120</xdr:row>
          <xdr:rowOff>95250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123</xdr:row>
          <xdr:rowOff>161925</xdr:rowOff>
        </xdr:from>
        <xdr:to>
          <xdr:col>12</xdr:col>
          <xdr:colOff>219075</xdr:colOff>
          <xdr:row>132</xdr:row>
          <xdr:rowOff>57150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167</xdr:row>
          <xdr:rowOff>161925</xdr:rowOff>
        </xdr:from>
        <xdr:to>
          <xdr:col>13</xdr:col>
          <xdr:colOff>200025</xdr:colOff>
          <xdr:row>174</xdr:row>
          <xdr:rowOff>180975</xdr:rowOff>
        </xdr:to>
        <xdr:sp macro="" textlink="">
          <xdr:nvSpPr>
            <xdr:cNvPr id="1046" name="Object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238</xdr:row>
          <xdr:rowOff>95250</xdr:rowOff>
        </xdr:from>
        <xdr:to>
          <xdr:col>12</xdr:col>
          <xdr:colOff>390525</xdr:colOff>
          <xdr:row>249</xdr:row>
          <xdr:rowOff>228600</xdr:rowOff>
        </xdr:to>
        <xdr:sp macro="" textlink="">
          <xdr:nvSpPr>
            <xdr:cNvPr id="1047" name="Object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182</xdr:row>
          <xdr:rowOff>171450</xdr:rowOff>
        </xdr:from>
        <xdr:to>
          <xdr:col>13</xdr:col>
          <xdr:colOff>285750</xdr:colOff>
          <xdr:row>190</xdr:row>
          <xdr:rowOff>57150</xdr:rowOff>
        </xdr:to>
        <xdr:sp macro="" textlink="">
          <xdr:nvSpPr>
            <xdr:cNvPr id="1048" name="Object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252</xdr:row>
          <xdr:rowOff>161925</xdr:rowOff>
        </xdr:from>
        <xdr:to>
          <xdr:col>13</xdr:col>
          <xdr:colOff>228600</xdr:colOff>
          <xdr:row>257</xdr:row>
          <xdr:rowOff>76200</xdr:rowOff>
        </xdr:to>
        <xdr:sp macro="" textlink="">
          <xdr:nvSpPr>
            <xdr:cNvPr id="1049" name="Object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253</xdr:row>
          <xdr:rowOff>142875</xdr:rowOff>
        </xdr:from>
        <xdr:to>
          <xdr:col>4</xdr:col>
          <xdr:colOff>47625</xdr:colOff>
          <xdr:row>258</xdr:row>
          <xdr:rowOff>190500</xdr:rowOff>
        </xdr:to>
        <xdr:sp macro="" textlink="">
          <xdr:nvSpPr>
            <xdr:cNvPr id="1050" name="Object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314</xdr:row>
          <xdr:rowOff>47625</xdr:rowOff>
        </xdr:from>
        <xdr:to>
          <xdr:col>12</xdr:col>
          <xdr:colOff>295275</xdr:colOff>
          <xdr:row>320</xdr:row>
          <xdr:rowOff>200025</xdr:rowOff>
        </xdr:to>
        <xdr:sp macro="" textlink="">
          <xdr:nvSpPr>
            <xdr:cNvPr id="1053" name="Object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326</xdr:row>
          <xdr:rowOff>28575</xdr:rowOff>
        </xdr:from>
        <xdr:to>
          <xdr:col>13</xdr:col>
          <xdr:colOff>85725</xdr:colOff>
          <xdr:row>334</xdr:row>
          <xdr:rowOff>114300</xdr:rowOff>
        </xdr:to>
        <xdr:sp macro="" textlink="">
          <xdr:nvSpPr>
            <xdr:cNvPr id="1056" name="Object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338</xdr:row>
          <xdr:rowOff>28575</xdr:rowOff>
        </xdr:from>
        <xdr:to>
          <xdr:col>12</xdr:col>
          <xdr:colOff>171450</xdr:colOff>
          <xdr:row>344</xdr:row>
          <xdr:rowOff>180975</xdr:rowOff>
        </xdr:to>
        <xdr:sp macro="" textlink="">
          <xdr:nvSpPr>
            <xdr:cNvPr id="1057" name="Object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190500</xdr:colOff>
          <xdr:row>361</xdr:row>
          <xdr:rowOff>28575</xdr:rowOff>
        </xdr:from>
        <xdr:to>
          <xdr:col>13</xdr:col>
          <xdr:colOff>219075</xdr:colOff>
          <xdr:row>368</xdr:row>
          <xdr:rowOff>171450</xdr:rowOff>
        </xdr:to>
        <xdr:sp macro="" textlink="">
          <xdr:nvSpPr>
            <xdr:cNvPr id="1060" name="Object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288</xdr:row>
          <xdr:rowOff>238125</xdr:rowOff>
        </xdr:from>
        <xdr:to>
          <xdr:col>13</xdr:col>
          <xdr:colOff>295275</xdr:colOff>
          <xdr:row>292</xdr:row>
          <xdr:rowOff>95250</xdr:rowOff>
        </xdr:to>
        <xdr:sp macro="" textlink="">
          <xdr:nvSpPr>
            <xdr:cNvPr id="1061" name="Object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432</xdr:row>
          <xdr:rowOff>123825</xdr:rowOff>
        </xdr:from>
        <xdr:to>
          <xdr:col>13</xdr:col>
          <xdr:colOff>133350</xdr:colOff>
          <xdr:row>440</xdr:row>
          <xdr:rowOff>180975</xdr:rowOff>
        </xdr:to>
        <xdr:sp macro="" textlink="">
          <xdr:nvSpPr>
            <xdr:cNvPr id="1062" name="Object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472</xdr:row>
          <xdr:rowOff>95250</xdr:rowOff>
        </xdr:from>
        <xdr:to>
          <xdr:col>4</xdr:col>
          <xdr:colOff>190500</xdr:colOff>
          <xdr:row>477</xdr:row>
          <xdr:rowOff>152400</xdr:rowOff>
        </xdr:to>
        <xdr:sp macro="" textlink="">
          <xdr:nvSpPr>
            <xdr:cNvPr id="1068" name="Object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534</xdr:row>
          <xdr:rowOff>28575</xdr:rowOff>
        </xdr:from>
        <xdr:to>
          <xdr:col>12</xdr:col>
          <xdr:colOff>219075</xdr:colOff>
          <xdr:row>538</xdr:row>
          <xdr:rowOff>190500</xdr:rowOff>
        </xdr:to>
        <xdr:sp macro="" textlink="">
          <xdr:nvSpPr>
            <xdr:cNvPr id="1069" name="Object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604</xdr:row>
          <xdr:rowOff>57150</xdr:rowOff>
        </xdr:from>
        <xdr:to>
          <xdr:col>12</xdr:col>
          <xdr:colOff>9525</xdr:colOff>
          <xdr:row>608</xdr:row>
          <xdr:rowOff>209550</xdr:rowOff>
        </xdr:to>
        <xdr:sp macro="" textlink="">
          <xdr:nvSpPr>
            <xdr:cNvPr id="1070" name="Object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276225</xdr:colOff>
          <xdr:row>677</xdr:row>
          <xdr:rowOff>200025</xdr:rowOff>
        </xdr:from>
        <xdr:to>
          <xdr:col>12</xdr:col>
          <xdr:colOff>9525</xdr:colOff>
          <xdr:row>682</xdr:row>
          <xdr:rowOff>47625</xdr:rowOff>
        </xdr:to>
        <xdr:sp macro="" textlink="">
          <xdr:nvSpPr>
            <xdr:cNvPr id="1071" name="Object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333375</xdr:colOff>
          <xdr:row>721</xdr:row>
          <xdr:rowOff>85725</xdr:rowOff>
        </xdr:from>
        <xdr:to>
          <xdr:col>13</xdr:col>
          <xdr:colOff>133350</xdr:colOff>
          <xdr:row>727</xdr:row>
          <xdr:rowOff>228600</xdr:rowOff>
        </xdr:to>
        <xdr:sp macro="" textlink="">
          <xdr:nvSpPr>
            <xdr:cNvPr id="1072" name="Object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333375</xdr:colOff>
          <xdr:row>722</xdr:row>
          <xdr:rowOff>28575</xdr:rowOff>
        </xdr:from>
        <xdr:to>
          <xdr:col>4</xdr:col>
          <xdr:colOff>285750</xdr:colOff>
          <xdr:row>727</xdr:row>
          <xdr:rowOff>95250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766</xdr:row>
          <xdr:rowOff>19050</xdr:rowOff>
        </xdr:from>
        <xdr:to>
          <xdr:col>14</xdr:col>
          <xdr:colOff>57150</xdr:colOff>
          <xdr:row>773</xdr:row>
          <xdr:rowOff>114300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790</xdr:row>
          <xdr:rowOff>47625</xdr:rowOff>
        </xdr:from>
        <xdr:to>
          <xdr:col>12</xdr:col>
          <xdr:colOff>219075</xdr:colOff>
          <xdr:row>796</xdr:row>
          <xdr:rowOff>38100</xdr:rowOff>
        </xdr:to>
        <xdr:sp macro="" textlink="">
          <xdr:nvSpPr>
            <xdr:cNvPr id="1075" name="Object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798</xdr:row>
          <xdr:rowOff>19050</xdr:rowOff>
        </xdr:from>
        <xdr:to>
          <xdr:col>13</xdr:col>
          <xdr:colOff>266700</xdr:colOff>
          <xdr:row>805</xdr:row>
          <xdr:rowOff>9525</xdr:rowOff>
        </xdr:to>
        <xdr:sp macro="" textlink="">
          <xdr:nvSpPr>
            <xdr:cNvPr id="1077" name="Object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910</xdr:row>
          <xdr:rowOff>219075</xdr:rowOff>
        </xdr:from>
        <xdr:to>
          <xdr:col>12</xdr:col>
          <xdr:colOff>142875</xdr:colOff>
          <xdr:row>915</xdr:row>
          <xdr:rowOff>38100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901</xdr:row>
          <xdr:rowOff>76200</xdr:rowOff>
        </xdr:from>
        <xdr:to>
          <xdr:col>13</xdr:col>
          <xdr:colOff>123825</xdr:colOff>
          <xdr:row>911</xdr:row>
          <xdr:rowOff>57150</xdr:rowOff>
        </xdr:to>
        <xdr:sp macro="" textlink="">
          <xdr:nvSpPr>
            <xdr:cNvPr id="1081" name="Object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989</xdr:row>
          <xdr:rowOff>161925</xdr:rowOff>
        </xdr:from>
        <xdr:to>
          <xdr:col>2</xdr:col>
          <xdr:colOff>209550</xdr:colOff>
          <xdr:row>993</xdr:row>
          <xdr:rowOff>104775</xdr:rowOff>
        </xdr:to>
        <xdr:sp macro="" textlink="">
          <xdr:nvSpPr>
            <xdr:cNvPr id="1082" name="Object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708</xdr:row>
          <xdr:rowOff>161925</xdr:rowOff>
        </xdr:from>
        <xdr:to>
          <xdr:col>13</xdr:col>
          <xdr:colOff>200025</xdr:colOff>
          <xdr:row>715</xdr:row>
          <xdr:rowOff>180975</xdr:rowOff>
        </xdr:to>
        <xdr:sp macro="" textlink="">
          <xdr:nvSpPr>
            <xdr:cNvPr id="2771" name="Object 1747" hidden="1">
              <a:extLst>
                <a:ext uri="{63B3BB69-23CF-44E3-9099-C40C66FF867C}">
                  <a14:compatExt spid="_x0000_s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333375</xdr:colOff>
          <xdr:row>361</xdr:row>
          <xdr:rowOff>28575</xdr:rowOff>
        </xdr:from>
        <xdr:to>
          <xdr:col>22</xdr:col>
          <xdr:colOff>76200</xdr:colOff>
          <xdr:row>368</xdr:row>
          <xdr:rowOff>114300</xdr:rowOff>
        </xdr:to>
        <xdr:sp macro="" textlink="">
          <xdr:nvSpPr>
            <xdr:cNvPr id="2772" name="Object 1748" hidden="1">
              <a:extLst>
                <a:ext uri="{63B3BB69-23CF-44E3-9099-C40C66FF867C}">
                  <a14:compatExt spid="_x0000_s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435</xdr:row>
          <xdr:rowOff>104775</xdr:rowOff>
        </xdr:from>
        <xdr:to>
          <xdr:col>19</xdr:col>
          <xdr:colOff>28575</xdr:colOff>
          <xdr:row>439</xdr:row>
          <xdr:rowOff>76200</xdr:rowOff>
        </xdr:to>
        <xdr:sp macro="" textlink="">
          <xdr:nvSpPr>
            <xdr:cNvPr id="2789" name="Object 1765" hidden="1">
              <a:extLst>
                <a:ext uri="{63B3BB69-23CF-44E3-9099-C40C66FF867C}">
                  <a14:compatExt spid="_x0000_s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911</xdr:row>
          <xdr:rowOff>76200</xdr:rowOff>
        </xdr:from>
        <xdr:to>
          <xdr:col>23</xdr:col>
          <xdr:colOff>285750</xdr:colOff>
          <xdr:row>921</xdr:row>
          <xdr:rowOff>57150</xdr:rowOff>
        </xdr:to>
        <xdr:sp macro="" textlink="">
          <xdr:nvSpPr>
            <xdr:cNvPr id="3062" name="Object 2038" hidden="1">
              <a:extLst>
                <a:ext uri="{63B3BB69-23CF-44E3-9099-C40C66FF867C}">
                  <a14:compatExt spid="_x0000_s3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955</xdr:row>
          <xdr:rowOff>219075</xdr:rowOff>
        </xdr:from>
        <xdr:to>
          <xdr:col>12</xdr:col>
          <xdr:colOff>142875</xdr:colOff>
          <xdr:row>960</xdr:row>
          <xdr:rowOff>38100</xdr:rowOff>
        </xdr:to>
        <xdr:sp macro="" textlink="">
          <xdr:nvSpPr>
            <xdr:cNvPr id="3071" name="Object 2047" hidden="1">
              <a:extLst>
                <a:ext uri="{63B3BB69-23CF-44E3-9099-C40C66FF867C}">
                  <a14:compatExt spid="_x0000_s3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946</xdr:row>
          <xdr:rowOff>76200</xdr:rowOff>
        </xdr:from>
        <xdr:to>
          <xdr:col>13</xdr:col>
          <xdr:colOff>123825</xdr:colOff>
          <xdr:row>956</xdr:row>
          <xdr:rowOff>57150</xdr:rowOff>
        </xdr:to>
        <xdr:sp macro="" textlink="">
          <xdr:nvSpPr>
            <xdr:cNvPr id="3072" name="Object 2048" hidden="1">
              <a:extLst>
                <a:ext uri="{63B3BB69-23CF-44E3-9099-C40C66FF867C}">
                  <a14:compatExt spid="_x0000_s3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1070</xdr:row>
          <xdr:rowOff>47625</xdr:rowOff>
        </xdr:from>
        <xdr:to>
          <xdr:col>6</xdr:col>
          <xdr:colOff>133350</xdr:colOff>
          <xdr:row>1074</xdr:row>
          <xdr:rowOff>152400</xdr:rowOff>
        </xdr:to>
        <xdr:sp macro="" textlink="">
          <xdr:nvSpPr>
            <xdr:cNvPr id="3435" name="Object 2411" hidden="1">
              <a:extLst>
                <a:ext uri="{63B3BB69-23CF-44E3-9099-C40C66FF867C}">
                  <a14:compatExt spid="_x0000_s3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1078</xdr:row>
          <xdr:rowOff>104775</xdr:rowOff>
        </xdr:from>
        <xdr:to>
          <xdr:col>12</xdr:col>
          <xdr:colOff>123825</xdr:colOff>
          <xdr:row>1088</xdr:row>
          <xdr:rowOff>219075</xdr:rowOff>
        </xdr:to>
        <xdr:sp macro="" textlink="">
          <xdr:nvSpPr>
            <xdr:cNvPr id="3436" name="Object 2412" hidden="1">
              <a:extLst>
                <a:ext uri="{63B3BB69-23CF-44E3-9099-C40C66FF867C}">
                  <a14:compatExt spid="_x0000_s3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1187</xdr:row>
          <xdr:rowOff>57150</xdr:rowOff>
        </xdr:from>
        <xdr:to>
          <xdr:col>11</xdr:col>
          <xdr:colOff>257175</xdr:colOff>
          <xdr:row>1189</xdr:row>
          <xdr:rowOff>152400</xdr:rowOff>
        </xdr:to>
        <xdr:sp macro="" textlink="">
          <xdr:nvSpPr>
            <xdr:cNvPr id="3693" name="Object 2669" hidden="1">
              <a:extLst>
                <a:ext uri="{63B3BB69-23CF-44E3-9099-C40C66FF867C}">
                  <a14:compatExt spid="_x0000_s3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1258</xdr:row>
          <xdr:rowOff>85725</xdr:rowOff>
        </xdr:from>
        <xdr:to>
          <xdr:col>13</xdr:col>
          <xdr:colOff>257175</xdr:colOff>
          <xdr:row>1269</xdr:row>
          <xdr:rowOff>200025</xdr:rowOff>
        </xdr:to>
        <xdr:sp macro="" textlink="">
          <xdr:nvSpPr>
            <xdr:cNvPr id="3719" name="Object 2695" hidden="1">
              <a:extLst>
                <a:ext uri="{63B3BB69-23CF-44E3-9099-C40C66FF867C}">
                  <a14:compatExt spid="_x0000_s3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1424</xdr:row>
          <xdr:rowOff>114300</xdr:rowOff>
        </xdr:from>
        <xdr:to>
          <xdr:col>11</xdr:col>
          <xdr:colOff>161925</xdr:colOff>
          <xdr:row>1430</xdr:row>
          <xdr:rowOff>76200</xdr:rowOff>
        </xdr:to>
        <xdr:sp macro="" textlink="">
          <xdr:nvSpPr>
            <xdr:cNvPr id="3728" name="Object 2704" hidden="1">
              <a:extLst>
                <a:ext uri="{63B3BB69-23CF-44E3-9099-C40C66FF867C}">
                  <a14:compatExt spid="_x0000_s3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1431</xdr:row>
          <xdr:rowOff>142875</xdr:rowOff>
        </xdr:from>
        <xdr:to>
          <xdr:col>12</xdr:col>
          <xdr:colOff>228600</xdr:colOff>
          <xdr:row>1436</xdr:row>
          <xdr:rowOff>19050</xdr:rowOff>
        </xdr:to>
        <xdr:sp macro="" textlink="">
          <xdr:nvSpPr>
            <xdr:cNvPr id="3729" name="Object 2705" hidden="1">
              <a:extLst>
                <a:ext uri="{63B3BB69-23CF-44E3-9099-C40C66FF867C}">
                  <a14:compatExt spid="_x0000_s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1416</xdr:row>
          <xdr:rowOff>19050</xdr:rowOff>
        </xdr:from>
        <xdr:to>
          <xdr:col>17</xdr:col>
          <xdr:colOff>123825</xdr:colOff>
          <xdr:row>1427</xdr:row>
          <xdr:rowOff>171450</xdr:rowOff>
        </xdr:to>
        <xdr:sp macro="" textlink="">
          <xdr:nvSpPr>
            <xdr:cNvPr id="3738" name="Object 2714" hidden="1">
              <a:extLst>
                <a:ext uri="{63B3BB69-23CF-44E3-9099-C40C66FF867C}">
                  <a14:compatExt spid="_x0000_s3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171450</xdr:colOff>
          <xdr:row>1415</xdr:row>
          <xdr:rowOff>76200</xdr:rowOff>
        </xdr:from>
        <xdr:to>
          <xdr:col>24</xdr:col>
          <xdr:colOff>295275</xdr:colOff>
          <xdr:row>1427</xdr:row>
          <xdr:rowOff>200025</xdr:rowOff>
        </xdr:to>
        <xdr:sp macro="" textlink="">
          <xdr:nvSpPr>
            <xdr:cNvPr id="3739" name="Object 2715" hidden="1">
              <a:extLst>
                <a:ext uri="{63B3BB69-23CF-44E3-9099-C40C66FF867C}">
                  <a14:compatExt spid="_x0000_s3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352425</xdr:colOff>
          <xdr:row>1418</xdr:row>
          <xdr:rowOff>47625</xdr:rowOff>
        </xdr:from>
        <xdr:to>
          <xdr:col>31</xdr:col>
          <xdr:colOff>238125</xdr:colOff>
          <xdr:row>1428</xdr:row>
          <xdr:rowOff>0</xdr:rowOff>
        </xdr:to>
        <xdr:sp macro="" textlink="">
          <xdr:nvSpPr>
            <xdr:cNvPr id="3784" name="Object 2760" hidden="1">
              <a:extLst>
                <a:ext uri="{63B3BB69-23CF-44E3-9099-C40C66FF867C}">
                  <a14:compatExt spid="_x0000_s3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1478</xdr:row>
          <xdr:rowOff>95250</xdr:rowOff>
        </xdr:from>
        <xdr:to>
          <xdr:col>4</xdr:col>
          <xdr:colOff>190500</xdr:colOff>
          <xdr:row>1483</xdr:row>
          <xdr:rowOff>152400</xdr:rowOff>
        </xdr:to>
        <xdr:sp macro="" textlink="">
          <xdr:nvSpPr>
            <xdr:cNvPr id="3857" name="Object 2833" hidden="1">
              <a:extLst>
                <a:ext uri="{63B3BB69-23CF-44E3-9099-C40C66FF867C}">
                  <a14:compatExt spid="_x0000_s38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178593</xdr:colOff>
      <xdr:row>824</xdr:row>
      <xdr:rowOff>59532</xdr:rowOff>
    </xdr:from>
    <xdr:to>
      <xdr:col>5</xdr:col>
      <xdr:colOff>224312</xdr:colOff>
      <xdr:row>825</xdr:row>
      <xdr:rowOff>221116</xdr:rowOff>
    </xdr:to>
    <xdr:sp macro="" textlink="">
      <xdr:nvSpPr>
        <xdr:cNvPr id="2" name="1 Cerrar llave"/>
        <xdr:cNvSpPr/>
      </xdr:nvSpPr>
      <xdr:spPr>
        <a:xfrm>
          <a:off x="2406763" y="203205670"/>
          <a:ext cx="45719" cy="40821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LIANA\AppData\Local\Temp\Rar$DI02.034\nave%202014%20combinacion%20de%20solicit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 FINAL"/>
    </sheetNames>
    <sheetDataSet>
      <sheetData sheetId="0">
        <row r="6">
          <cell r="V6">
            <v>23569.109999999993</v>
          </cell>
          <cell r="W6">
            <v>-47557.8</v>
          </cell>
        </row>
        <row r="16">
          <cell r="V16">
            <v>47504.97</v>
          </cell>
          <cell r="W16">
            <v>-21860.52</v>
          </cell>
        </row>
        <row r="26">
          <cell r="V26">
            <v>18359.52</v>
          </cell>
          <cell r="W26">
            <v>-10170.750000000002</v>
          </cell>
        </row>
        <row r="36">
          <cell r="V36">
            <v>10585.539999999999</v>
          </cell>
          <cell r="W36">
            <v>-20232.280000000002</v>
          </cell>
        </row>
        <row r="54">
          <cell r="K54">
            <v>-14413.080000000002</v>
          </cell>
        </row>
        <row r="55">
          <cell r="K55">
            <v>18359.52</v>
          </cell>
        </row>
        <row r="56">
          <cell r="K56">
            <v>-6059.16</v>
          </cell>
        </row>
        <row r="58">
          <cell r="S58">
            <v>6633.6600000000017</v>
          </cell>
        </row>
        <row r="59">
          <cell r="S59">
            <v>-10170.750000000002</v>
          </cell>
        </row>
        <row r="60">
          <cell r="S60">
            <v>4923.4199999999992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5.bin"/><Relationship Id="rId18" Type="http://schemas.openxmlformats.org/officeDocument/2006/relationships/image" Target="../media/image7.emf"/><Relationship Id="rId26" Type="http://schemas.openxmlformats.org/officeDocument/2006/relationships/image" Target="../media/image11.emf"/><Relationship Id="rId39" Type="http://schemas.openxmlformats.org/officeDocument/2006/relationships/image" Target="../media/image17.emf"/><Relationship Id="rId21" Type="http://schemas.openxmlformats.org/officeDocument/2006/relationships/oleObject" Target="../embeddings/oleObject9.bin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oleObject" Target="../embeddings/oleObject24.bin"/><Relationship Id="rId50" Type="http://schemas.openxmlformats.org/officeDocument/2006/relationships/image" Target="../media/image21.emf"/><Relationship Id="rId55" Type="http://schemas.openxmlformats.org/officeDocument/2006/relationships/oleObject" Target="../embeddings/oleObject28.bin"/><Relationship Id="rId63" Type="http://schemas.openxmlformats.org/officeDocument/2006/relationships/image" Target="../media/image27.emf"/><Relationship Id="rId68" Type="http://schemas.openxmlformats.org/officeDocument/2006/relationships/oleObject" Target="../embeddings/oleObject36.bin"/><Relationship Id="rId76" Type="http://schemas.openxmlformats.org/officeDocument/2006/relationships/image" Target="../media/image32.emf"/><Relationship Id="rId84" Type="http://schemas.openxmlformats.org/officeDocument/2006/relationships/image" Target="../media/image36.emf"/><Relationship Id="rId7" Type="http://schemas.openxmlformats.org/officeDocument/2006/relationships/oleObject" Target="../embeddings/oleObject2.bin"/><Relationship Id="rId71" Type="http://schemas.openxmlformats.org/officeDocument/2006/relationships/oleObject" Target="../embeddings/oleObject38.bin"/><Relationship Id="rId2" Type="http://schemas.openxmlformats.org/officeDocument/2006/relationships/drawing" Target="../drawings/drawing1.xml"/><Relationship Id="rId16" Type="http://schemas.openxmlformats.org/officeDocument/2006/relationships/image" Target="../media/image6.emf"/><Relationship Id="rId29" Type="http://schemas.openxmlformats.org/officeDocument/2006/relationships/oleObject" Target="../embeddings/oleObject13.bin"/><Relationship Id="rId11" Type="http://schemas.openxmlformats.org/officeDocument/2006/relationships/oleObject" Target="../embeddings/oleObject4.bin"/><Relationship Id="rId24" Type="http://schemas.openxmlformats.org/officeDocument/2006/relationships/image" Target="../media/image10.emf"/><Relationship Id="rId32" Type="http://schemas.openxmlformats.org/officeDocument/2006/relationships/image" Target="../media/image14.emf"/><Relationship Id="rId37" Type="http://schemas.openxmlformats.org/officeDocument/2006/relationships/image" Target="../media/image16.emf"/><Relationship Id="rId40" Type="http://schemas.openxmlformats.org/officeDocument/2006/relationships/oleObject" Target="../embeddings/oleObject19.bin"/><Relationship Id="rId45" Type="http://schemas.openxmlformats.org/officeDocument/2006/relationships/oleObject" Target="../embeddings/oleObject23.bin"/><Relationship Id="rId53" Type="http://schemas.openxmlformats.org/officeDocument/2006/relationships/oleObject" Target="../embeddings/oleObject27.bin"/><Relationship Id="rId58" Type="http://schemas.openxmlformats.org/officeDocument/2006/relationships/image" Target="../media/image25.emf"/><Relationship Id="rId66" Type="http://schemas.openxmlformats.org/officeDocument/2006/relationships/oleObject" Target="../embeddings/oleObject34.bin"/><Relationship Id="rId74" Type="http://schemas.openxmlformats.org/officeDocument/2006/relationships/image" Target="../media/image31.emf"/><Relationship Id="rId79" Type="http://schemas.openxmlformats.org/officeDocument/2006/relationships/oleObject" Target="../embeddings/oleObject42.bin"/><Relationship Id="rId87" Type="http://schemas.openxmlformats.org/officeDocument/2006/relationships/oleObject" Target="../embeddings/oleObject46.bin"/><Relationship Id="rId5" Type="http://schemas.openxmlformats.org/officeDocument/2006/relationships/oleObject" Target="../embeddings/oleObject1.bin"/><Relationship Id="rId61" Type="http://schemas.openxmlformats.org/officeDocument/2006/relationships/oleObject" Target="../embeddings/oleObject31.bin"/><Relationship Id="rId82" Type="http://schemas.openxmlformats.org/officeDocument/2006/relationships/image" Target="../media/image35.emf"/><Relationship Id="rId19" Type="http://schemas.openxmlformats.org/officeDocument/2006/relationships/oleObject" Target="../embeddings/oleObject8.bin"/><Relationship Id="rId4" Type="http://schemas.openxmlformats.org/officeDocument/2006/relationships/vmlDrawing" Target="../drawings/vmlDrawing2.vml"/><Relationship Id="rId9" Type="http://schemas.openxmlformats.org/officeDocument/2006/relationships/oleObject" Target="../embeddings/oleObject3.bin"/><Relationship Id="rId14" Type="http://schemas.openxmlformats.org/officeDocument/2006/relationships/image" Target="../media/image5.emf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2.bin"/><Relationship Id="rId30" Type="http://schemas.openxmlformats.org/officeDocument/2006/relationships/image" Target="../media/image13.emf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21.bin"/><Relationship Id="rId48" Type="http://schemas.openxmlformats.org/officeDocument/2006/relationships/image" Target="../media/image20.emf"/><Relationship Id="rId56" Type="http://schemas.openxmlformats.org/officeDocument/2006/relationships/image" Target="../media/image24.emf"/><Relationship Id="rId64" Type="http://schemas.openxmlformats.org/officeDocument/2006/relationships/oleObject" Target="../embeddings/oleObject33.bin"/><Relationship Id="rId69" Type="http://schemas.openxmlformats.org/officeDocument/2006/relationships/oleObject" Target="../embeddings/oleObject37.bin"/><Relationship Id="rId77" Type="http://schemas.openxmlformats.org/officeDocument/2006/relationships/oleObject" Target="../embeddings/oleObject41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26.bin"/><Relationship Id="rId72" Type="http://schemas.openxmlformats.org/officeDocument/2006/relationships/image" Target="../media/image30.emf"/><Relationship Id="rId80" Type="http://schemas.openxmlformats.org/officeDocument/2006/relationships/image" Target="../media/image34.emf"/><Relationship Id="rId85" Type="http://schemas.openxmlformats.org/officeDocument/2006/relationships/oleObject" Target="../embeddings/oleObject45.bin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7.bin"/><Relationship Id="rId25" Type="http://schemas.openxmlformats.org/officeDocument/2006/relationships/oleObject" Target="../embeddings/oleObject11.bin"/><Relationship Id="rId33" Type="http://schemas.openxmlformats.org/officeDocument/2006/relationships/oleObject" Target="../embeddings/oleObject15.bin"/><Relationship Id="rId38" Type="http://schemas.openxmlformats.org/officeDocument/2006/relationships/oleObject" Target="../embeddings/oleObject18.bin"/><Relationship Id="rId46" Type="http://schemas.openxmlformats.org/officeDocument/2006/relationships/image" Target="../media/image19.emf"/><Relationship Id="rId59" Type="http://schemas.openxmlformats.org/officeDocument/2006/relationships/oleObject" Target="../embeddings/oleObject30.bin"/><Relationship Id="rId67" Type="http://schemas.openxmlformats.org/officeDocument/2006/relationships/oleObject" Target="../embeddings/oleObject35.bin"/><Relationship Id="rId20" Type="http://schemas.openxmlformats.org/officeDocument/2006/relationships/image" Target="../media/image8.emf"/><Relationship Id="rId41" Type="http://schemas.openxmlformats.org/officeDocument/2006/relationships/image" Target="../media/image18.emf"/><Relationship Id="rId54" Type="http://schemas.openxmlformats.org/officeDocument/2006/relationships/image" Target="../media/image23.emf"/><Relationship Id="rId62" Type="http://schemas.openxmlformats.org/officeDocument/2006/relationships/oleObject" Target="../embeddings/oleObject32.bin"/><Relationship Id="rId70" Type="http://schemas.openxmlformats.org/officeDocument/2006/relationships/image" Target="../media/image29.emf"/><Relationship Id="rId75" Type="http://schemas.openxmlformats.org/officeDocument/2006/relationships/oleObject" Target="../embeddings/oleObject40.bin"/><Relationship Id="rId83" Type="http://schemas.openxmlformats.org/officeDocument/2006/relationships/oleObject" Target="../embeddings/oleObject44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5" Type="http://schemas.openxmlformats.org/officeDocument/2006/relationships/oleObject" Target="../embeddings/oleObject6.bin"/><Relationship Id="rId23" Type="http://schemas.openxmlformats.org/officeDocument/2006/relationships/oleObject" Target="../embeddings/oleObject10.bin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7.bin"/><Relationship Id="rId49" Type="http://schemas.openxmlformats.org/officeDocument/2006/relationships/oleObject" Target="../embeddings/oleObject25.bin"/><Relationship Id="rId57" Type="http://schemas.openxmlformats.org/officeDocument/2006/relationships/oleObject" Target="../embeddings/oleObject29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4.bin"/><Relationship Id="rId44" Type="http://schemas.openxmlformats.org/officeDocument/2006/relationships/oleObject" Target="../embeddings/oleObject22.bin"/><Relationship Id="rId52" Type="http://schemas.openxmlformats.org/officeDocument/2006/relationships/image" Target="../media/image22.emf"/><Relationship Id="rId60" Type="http://schemas.openxmlformats.org/officeDocument/2006/relationships/image" Target="../media/image26.emf"/><Relationship Id="rId65" Type="http://schemas.openxmlformats.org/officeDocument/2006/relationships/image" Target="../media/image28.emf"/><Relationship Id="rId73" Type="http://schemas.openxmlformats.org/officeDocument/2006/relationships/oleObject" Target="../embeddings/oleObject39.bin"/><Relationship Id="rId78" Type="http://schemas.openxmlformats.org/officeDocument/2006/relationships/image" Target="../media/image33.emf"/><Relationship Id="rId81" Type="http://schemas.openxmlformats.org/officeDocument/2006/relationships/oleObject" Target="../embeddings/oleObject43.bin"/><Relationship Id="rId86" Type="http://schemas.openxmlformats.org/officeDocument/2006/relationships/image" Target="../media/image3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510"/>
  <sheetViews>
    <sheetView tabSelected="1" zoomScale="200" zoomScaleNormal="200" zoomScalePageLayoutView="110" workbookViewId="0">
      <selection activeCell="G1229" sqref="G1229"/>
    </sheetView>
  </sheetViews>
  <sheetFormatPr baseColWidth="10" defaultRowHeight="20.100000000000001" customHeight="1" x14ac:dyDescent="0.25"/>
  <cols>
    <col min="1" max="3" width="5.7109375" style="2" customWidth="1"/>
    <col min="4" max="4" width="7" style="2" customWidth="1"/>
    <col min="5" max="5" width="9.140625" style="2" customWidth="1"/>
    <col min="6" max="6" width="6.7109375" style="2" customWidth="1"/>
    <col min="7" max="7" width="5.7109375" style="2" customWidth="1"/>
    <col min="8" max="10" width="5.7109375" style="7" customWidth="1"/>
    <col min="11" max="11" width="7" style="7" customWidth="1"/>
    <col min="12" max="12" width="5.7109375" style="7" customWidth="1"/>
    <col min="13" max="13" width="6.85546875" style="7" customWidth="1"/>
    <col min="14" max="36" width="5.7109375" style="2" customWidth="1"/>
    <col min="37" max="16384" width="11.42578125" style="2"/>
  </cols>
  <sheetData>
    <row r="1" spans="1:8" ht="20.100000000000001" customHeight="1" x14ac:dyDescent="0.25">
      <c r="D1" s="1" t="s">
        <v>0</v>
      </c>
    </row>
    <row r="2" spans="1:8" ht="10.5" customHeight="1" x14ac:dyDescent="0.25"/>
    <row r="3" spans="1:8" ht="20.100000000000001" customHeight="1" x14ac:dyDescent="0.25">
      <c r="A3" s="25" t="s">
        <v>9</v>
      </c>
    </row>
    <row r="4" spans="1:8" ht="20.100000000000001" customHeight="1" x14ac:dyDescent="0.25">
      <c r="A4" s="25" t="s">
        <v>2</v>
      </c>
      <c r="B4" s="25"/>
      <c r="C4" s="26" t="s">
        <v>125</v>
      </c>
      <c r="D4" s="27"/>
      <c r="E4" s="26"/>
      <c r="F4" s="30"/>
      <c r="G4" s="25"/>
    </row>
    <row r="5" spans="1:8" ht="20.100000000000001" customHeight="1" x14ac:dyDescent="0.25">
      <c r="A5" s="25" t="s">
        <v>3</v>
      </c>
      <c r="B5" s="25"/>
      <c r="C5" s="27" t="s">
        <v>126</v>
      </c>
      <c r="D5" s="26"/>
      <c r="E5" s="26"/>
      <c r="F5" s="26"/>
      <c r="G5" s="30"/>
    </row>
    <row r="6" spans="1:8" ht="20.100000000000001" customHeight="1" x14ac:dyDescent="0.25">
      <c r="A6" s="25" t="s">
        <v>4</v>
      </c>
      <c r="B6" s="25"/>
      <c r="C6" s="25"/>
      <c r="D6" s="25"/>
      <c r="E6" s="31" t="s">
        <v>6</v>
      </c>
      <c r="F6" s="29">
        <v>20</v>
      </c>
      <c r="G6" s="28" t="s">
        <v>5</v>
      </c>
    </row>
    <row r="7" spans="1:8" ht="20.100000000000001" customHeight="1" x14ac:dyDescent="0.25">
      <c r="A7" s="25"/>
      <c r="B7" s="25"/>
      <c r="C7" s="25"/>
      <c r="D7" s="25"/>
      <c r="E7" s="31" t="s">
        <v>7</v>
      </c>
      <c r="F7" s="29">
        <v>80</v>
      </c>
      <c r="G7" s="28" t="s">
        <v>5</v>
      </c>
    </row>
    <row r="9" spans="1:8" ht="20.100000000000001" customHeight="1" x14ac:dyDescent="0.25">
      <c r="A9" s="28" t="s">
        <v>1</v>
      </c>
    </row>
    <row r="10" spans="1:8" ht="20.100000000000001" customHeight="1" x14ac:dyDescent="0.25">
      <c r="A10" s="25" t="s">
        <v>286</v>
      </c>
      <c r="B10" s="25"/>
      <c r="C10" s="25"/>
      <c r="D10" s="25"/>
      <c r="E10" s="25"/>
      <c r="F10" s="25"/>
      <c r="G10" s="33">
        <v>5</v>
      </c>
      <c r="H10" s="36" t="s">
        <v>5</v>
      </c>
    </row>
    <row r="11" spans="1:8" ht="20.100000000000001" customHeight="1" x14ac:dyDescent="0.25">
      <c r="A11" s="25" t="s">
        <v>287</v>
      </c>
      <c r="B11" s="25"/>
      <c r="C11" s="25"/>
      <c r="D11" s="25"/>
      <c r="E11" s="25"/>
      <c r="F11" s="25"/>
      <c r="G11" s="33">
        <v>0.8</v>
      </c>
      <c r="H11" s="28" t="s">
        <v>5</v>
      </c>
    </row>
    <row r="12" spans="1:8" ht="20.100000000000001" customHeight="1" x14ac:dyDescent="0.25">
      <c r="A12" s="28"/>
      <c r="B12" s="25"/>
      <c r="C12" s="25"/>
      <c r="D12" s="25"/>
      <c r="E12" s="25" t="s">
        <v>288</v>
      </c>
      <c r="F12" s="25"/>
      <c r="G12" s="33">
        <v>3.8</v>
      </c>
      <c r="H12" s="28" t="s">
        <v>5</v>
      </c>
    </row>
    <row r="13" spans="1:8" ht="20.100000000000001" customHeight="1" x14ac:dyDescent="0.25">
      <c r="A13" s="25"/>
      <c r="B13" s="25"/>
      <c r="C13" s="25"/>
      <c r="D13" s="25" t="s">
        <v>289</v>
      </c>
      <c r="E13" s="25"/>
      <c r="F13" s="25"/>
      <c r="G13" s="34">
        <f>G11+G12+G10</f>
        <v>9.6</v>
      </c>
      <c r="H13" s="28" t="s">
        <v>5</v>
      </c>
    </row>
    <row r="14" spans="1:8" ht="20.100000000000001" customHeight="1" x14ac:dyDescent="0.25">
      <c r="A14" s="25" t="s">
        <v>290</v>
      </c>
      <c r="B14" s="25"/>
      <c r="C14" s="25"/>
      <c r="D14" s="25"/>
      <c r="E14" s="25"/>
      <c r="G14" s="32">
        <v>2</v>
      </c>
      <c r="H14" s="28" t="s">
        <v>8</v>
      </c>
    </row>
    <row r="15" spans="1:8" ht="20.100000000000001" customHeight="1" x14ac:dyDescent="0.25">
      <c r="A15" s="25" t="s">
        <v>291</v>
      </c>
      <c r="B15" s="25"/>
      <c r="C15" s="25"/>
      <c r="D15" s="25"/>
      <c r="E15" s="25"/>
      <c r="G15" s="33">
        <v>4</v>
      </c>
      <c r="H15" s="28" t="s">
        <v>5</v>
      </c>
    </row>
    <row r="17" spans="1:17" ht="20.100000000000001" customHeight="1" x14ac:dyDescent="0.25">
      <c r="A17" s="25" t="s">
        <v>10</v>
      </c>
    </row>
    <row r="18" spans="1:17" ht="20.100000000000001" customHeight="1" x14ac:dyDescent="0.25">
      <c r="A18" s="25" t="s">
        <v>292</v>
      </c>
      <c r="B18" s="25"/>
      <c r="C18" s="25"/>
      <c r="D18" s="25"/>
      <c r="E18" s="28" t="s">
        <v>296</v>
      </c>
      <c r="F18" s="38">
        <f>G12/(F6/2)</f>
        <v>0.38</v>
      </c>
      <c r="G18" s="28"/>
      <c r="H18" s="37" t="s">
        <v>293</v>
      </c>
      <c r="I18" s="40">
        <f>DEGREES(TANH(F18))</f>
        <v>20.781607090100472</v>
      </c>
      <c r="J18" s="21" t="s">
        <v>11</v>
      </c>
      <c r="Q18" s="25"/>
    </row>
    <row r="19" spans="1:17" ht="20.100000000000001" customHeight="1" x14ac:dyDescent="0.25">
      <c r="A19" s="25" t="s">
        <v>294</v>
      </c>
      <c r="B19" s="25"/>
      <c r="C19" s="25"/>
      <c r="D19" s="25"/>
      <c r="E19" s="28" t="s">
        <v>297</v>
      </c>
      <c r="F19" s="38">
        <f>(G11-G14*F18)/G14</f>
        <v>2.0000000000000018E-2</v>
      </c>
      <c r="G19" s="25"/>
      <c r="H19" s="37" t="s">
        <v>295</v>
      </c>
      <c r="I19" s="40">
        <f>DEGREES(TANH(F19))</f>
        <v>1.1457628259585213</v>
      </c>
      <c r="J19" s="21" t="s">
        <v>11</v>
      </c>
    </row>
    <row r="20" spans="1:17" ht="20.100000000000001" customHeight="1" x14ac:dyDescent="0.25">
      <c r="A20" s="25" t="s">
        <v>16</v>
      </c>
      <c r="B20" s="25"/>
      <c r="C20" s="25"/>
      <c r="D20" s="25"/>
      <c r="E20" s="42" t="s">
        <v>17</v>
      </c>
      <c r="F20" s="43">
        <f>F6/G14</f>
        <v>10</v>
      </c>
    </row>
    <row r="22" spans="1:17" ht="20.100000000000001" customHeight="1" x14ac:dyDescent="0.25">
      <c r="A22" s="25" t="s">
        <v>15</v>
      </c>
      <c r="B22" s="25"/>
      <c r="C22" s="25"/>
      <c r="D22" s="25"/>
      <c r="E22" s="42" t="s">
        <v>298</v>
      </c>
      <c r="F22" s="34">
        <f>(SQRT((G12^2)+(F6/2)^2))/(F20/2)</f>
        <v>2.1395326592506132</v>
      </c>
      <c r="G22" s="25" t="s">
        <v>5</v>
      </c>
      <c r="H22" s="21"/>
      <c r="I22" s="35" t="s">
        <v>304</v>
      </c>
      <c r="J22" s="35"/>
      <c r="K22" s="35"/>
      <c r="L22" s="35"/>
      <c r="M22" s="35"/>
    </row>
    <row r="23" spans="1:17" ht="20.100000000000001" customHeight="1" x14ac:dyDescent="0.25">
      <c r="A23" s="25" t="s">
        <v>14</v>
      </c>
      <c r="B23" s="25"/>
      <c r="C23" s="25"/>
      <c r="D23" s="25"/>
      <c r="E23" s="42" t="s">
        <v>299</v>
      </c>
      <c r="F23" s="34">
        <f>F22</f>
        <v>2.1395326592506132</v>
      </c>
      <c r="G23" s="25" t="s">
        <v>5</v>
      </c>
      <c r="H23" s="21"/>
      <c r="I23" s="526" t="s">
        <v>303</v>
      </c>
      <c r="J23" s="526"/>
      <c r="K23" s="35"/>
      <c r="L23" s="35"/>
      <c r="M23" s="35"/>
    </row>
    <row r="24" spans="1:17" ht="20.100000000000001" customHeight="1" x14ac:dyDescent="0.25">
      <c r="A24" s="25" t="s">
        <v>12</v>
      </c>
      <c r="B24" s="25"/>
      <c r="C24" s="25"/>
      <c r="D24" s="25"/>
      <c r="E24" s="42" t="s">
        <v>300</v>
      </c>
      <c r="F24" s="34">
        <f>G11</f>
        <v>0.8</v>
      </c>
      <c r="G24" s="25" t="s">
        <v>5</v>
      </c>
      <c r="H24" s="21"/>
      <c r="I24" s="35"/>
      <c r="J24" s="35"/>
      <c r="K24" s="35"/>
      <c r="L24" s="35"/>
      <c r="M24" s="35"/>
    </row>
    <row r="25" spans="1:17" ht="20.100000000000001" customHeight="1" x14ac:dyDescent="0.25">
      <c r="A25" s="25" t="s">
        <v>13</v>
      </c>
      <c r="B25" s="25"/>
      <c r="C25" s="25"/>
      <c r="D25" s="25"/>
      <c r="E25" s="42" t="s">
        <v>301</v>
      </c>
      <c r="F25" s="34">
        <f>SQRT((G11-G14)^2+G14^2)</f>
        <v>2.3323807579381199</v>
      </c>
      <c r="G25" s="25" t="s">
        <v>5</v>
      </c>
      <c r="H25" s="21"/>
      <c r="I25" s="35" t="s">
        <v>302</v>
      </c>
      <c r="J25" s="35"/>
      <c r="K25" s="35"/>
      <c r="L25" s="35"/>
      <c r="M25" s="35"/>
    </row>
    <row r="26" spans="1:17" ht="20.100000000000001" customHeight="1" x14ac:dyDescent="0.25">
      <c r="A26" s="25" t="s">
        <v>18</v>
      </c>
      <c r="B26" s="25"/>
      <c r="C26" s="25"/>
      <c r="D26" s="25"/>
      <c r="E26" s="28" t="s">
        <v>305</v>
      </c>
      <c r="F26" s="25"/>
      <c r="G26" s="36">
        <f>F7/G15</f>
        <v>20</v>
      </c>
      <c r="L26" s="35"/>
    </row>
    <row r="27" spans="1:17" ht="20.100000000000001" customHeight="1" x14ac:dyDescent="0.25">
      <c r="K27" s="500" t="s">
        <v>662</v>
      </c>
      <c r="L27" s="500"/>
      <c r="M27" s="192">
        <f>G12/SQRT(G12^2+(F6/2)^2)</f>
        <v>0.35521776062357258</v>
      </c>
    </row>
    <row r="28" spans="1:17" ht="20.100000000000001" customHeight="1" x14ac:dyDescent="0.25">
      <c r="A28" s="25" t="s">
        <v>307</v>
      </c>
      <c r="B28" s="25"/>
      <c r="C28" s="25"/>
      <c r="D28" s="25"/>
      <c r="E28" s="25"/>
      <c r="F28" s="25"/>
      <c r="G28" s="25"/>
      <c r="H28" s="35"/>
      <c r="I28" s="35"/>
      <c r="J28" s="35"/>
      <c r="K28" s="500" t="s">
        <v>663</v>
      </c>
      <c r="L28" s="500"/>
      <c r="M28" s="192">
        <f>(F6/2)/SQRT(G12^2+(F6/2)^2)</f>
        <v>0.93478358058834898</v>
      </c>
      <c r="N28" s="25"/>
    </row>
    <row r="29" spans="1:17" ht="20.100000000000001" customHeight="1" x14ac:dyDescent="0.25">
      <c r="A29" s="25"/>
      <c r="B29" s="25" t="s">
        <v>308</v>
      </c>
      <c r="C29" s="25"/>
      <c r="D29" s="25"/>
      <c r="E29" s="25"/>
      <c r="F29" s="25"/>
      <c r="G29" s="25"/>
      <c r="H29" s="44">
        <v>22</v>
      </c>
      <c r="I29" s="35" t="s">
        <v>306</v>
      </c>
      <c r="J29" s="35"/>
      <c r="K29" s="513" t="s">
        <v>664</v>
      </c>
      <c r="L29" s="513"/>
      <c r="M29" s="48">
        <f>((G12*2/F20)-G11)/SQRT(((G12*2/F20)-G11)^2+G14^2)</f>
        <v>-1.9996001199600159E-2</v>
      </c>
      <c r="N29" s="49"/>
    </row>
    <row r="30" spans="1:17" s="25" customFormat="1" ht="20.100000000000001" customHeight="1" x14ac:dyDescent="0.25">
      <c r="B30" s="25" t="s">
        <v>309</v>
      </c>
      <c r="H30" s="44">
        <v>3</v>
      </c>
      <c r="I30" s="35" t="s">
        <v>306</v>
      </c>
      <c r="J30" s="35"/>
      <c r="K30" s="513" t="s">
        <v>665</v>
      </c>
      <c r="L30" s="513"/>
      <c r="M30" s="57">
        <f>G14/SQRT(((G12*2/F20)-G11)^2+G14^2)</f>
        <v>0.99980005998000709</v>
      </c>
      <c r="N30" s="49"/>
    </row>
    <row r="31" spans="1:17" ht="20.100000000000001" customHeight="1" x14ac:dyDescent="0.25">
      <c r="A31" s="25"/>
      <c r="B31" s="25" t="s">
        <v>19</v>
      </c>
      <c r="C31" s="25"/>
      <c r="D31" s="25"/>
      <c r="E31" s="25"/>
      <c r="F31" s="25"/>
      <c r="G31" s="25"/>
      <c r="H31" s="44">
        <v>25</v>
      </c>
      <c r="I31" s="35" t="s">
        <v>306</v>
      </c>
      <c r="J31" s="35"/>
      <c r="K31" s="48"/>
      <c r="L31" s="48"/>
      <c r="M31" s="48"/>
      <c r="N31" s="49"/>
    </row>
    <row r="32" spans="1:17" ht="20.100000000000001" customHeight="1" x14ac:dyDescent="0.25">
      <c r="A32" s="25"/>
      <c r="B32" s="46" t="s">
        <v>20</v>
      </c>
      <c r="C32" s="46"/>
      <c r="D32" s="46"/>
      <c r="E32" s="46"/>
      <c r="F32" s="46"/>
      <c r="G32" s="46"/>
      <c r="H32" s="47">
        <f>H29+H30+H31</f>
        <v>50</v>
      </c>
      <c r="I32" s="47" t="s">
        <v>306</v>
      </c>
      <c r="J32" s="47"/>
      <c r="K32" s="35"/>
      <c r="L32" s="35"/>
      <c r="M32" s="35"/>
      <c r="N32" s="25"/>
    </row>
    <row r="33" spans="1:14" ht="20.100000000000001" customHeight="1" x14ac:dyDescent="0.25">
      <c r="A33" s="25"/>
      <c r="B33" s="12"/>
      <c r="C33" s="12"/>
      <c r="D33" s="12"/>
      <c r="E33" s="12"/>
      <c r="F33" s="12"/>
      <c r="G33" s="12"/>
      <c r="H33" s="50"/>
      <c r="I33" s="50"/>
      <c r="J33" s="50"/>
      <c r="K33" s="35"/>
      <c r="L33" s="35"/>
      <c r="M33" s="35"/>
      <c r="N33" s="25"/>
    </row>
    <row r="34" spans="1:14" ht="20.100000000000001" customHeight="1" x14ac:dyDescent="0.25">
      <c r="A34" s="25" t="s">
        <v>311</v>
      </c>
      <c r="B34" s="25"/>
      <c r="C34" s="25"/>
      <c r="D34" s="25"/>
      <c r="E34" s="25"/>
      <c r="F34" s="25"/>
      <c r="G34" s="25"/>
      <c r="J34" s="52">
        <f>G15*G14</f>
        <v>8</v>
      </c>
      <c r="K34" s="21" t="s">
        <v>310</v>
      </c>
      <c r="L34" s="35"/>
      <c r="M34" s="35"/>
      <c r="N34" s="25"/>
    </row>
    <row r="35" spans="1:14" ht="20.100000000000001" customHeight="1" x14ac:dyDescent="0.25">
      <c r="A35" s="25" t="s">
        <v>321</v>
      </c>
      <c r="B35" s="12"/>
      <c r="C35" s="12"/>
      <c r="D35" s="12"/>
      <c r="E35" s="12"/>
      <c r="F35" s="12"/>
      <c r="G35" s="12"/>
      <c r="J35" s="51">
        <f>H32*J34</f>
        <v>400</v>
      </c>
      <c r="K35" s="50" t="s">
        <v>120</v>
      </c>
      <c r="L35" s="60"/>
    </row>
    <row r="36" spans="1:14" ht="20.100000000000001" customHeight="1" x14ac:dyDescent="0.25">
      <c r="A36" s="25" t="s">
        <v>322</v>
      </c>
      <c r="B36" s="12"/>
      <c r="C36" s="12"/>
      <c r="D36" s="12"/>
      <c r="E36" s="12"/>
      <c r="F36" s="12"/>
      <c r="G36" s="12"/>
      <c r="J36" s="24">
        <f>J35/2</f>
        <v>200</v>
      </c>
      <c r="K36" s="25" t="s">
        <v>122</v>
      </c>
      <c r="L36" s="60"/>
      <c r="M36" s="41"/>
      <c r="N36" s="25"/>
    </row>
    <row r="37" spans="1:14" ht="20.100000000000001" customHeight="1" x14ac:dyDescent="0.25">
      <c r="A37" s="25" t="s">
        <v>312</v>
      </c>
      <c r="B37" s="25"/>
      <c r="C37" s="25"/>
      <c r="D37" s="25"/>
      <c r="E37" s="42" t="s">
        <v>293</v>
      </c>
      <c r="F37" s="53">
        <f>I18</f>
        <v>20.781607090100472</v>
      </c>
      <c r="G37" s="28" t="s">
        <v>11</v>
      </c>
      <c r="H37" s="35" t="s">
        <v>22</v>
      </c>
      <c r="I37" s="35"/>
      <c r="J37" s="35"/>
      <c r="K37" s="35"/>
      <c r="L37" s="21" t="s">
        <v>313</v>
      </c>
      <c r="M37" s="35"/>
      <c r="N37" s="35"/>
    </row>
    <row r="38" spans="1:14" ht="20.100000000000001" customHeight="1" x14ac:dyDescent="0.25">
      <c r="A38" s="39" t="s">
        <v>21</v>
      </c>
      <c r="B38" s="25"/>
      <c r="C38" s="25"/>
      <c r="D38" s="25"/>
      <c r="L38" s="35"/>
      <c r="M38" s="35"/>
    </row>
    <row r="39" spans="1:14" ht="20.100000000000001" customHeight="1" x14ac:dyDescent="0.25">
      <c r="A39" s="25"/>
      <c r="B39" s="25"/>
      <c r="C39" s="25"/>
      <c r="D39" s="25"/>
      <c r="E39" s="25" t="s">
        <v>314</v>
      </c>
      <c r="F39" s="25"/>
      <c r="G39" s="25"/>
      <c r="H39" s="25"/>
      <c r="K39" s="35"/>
      <c r="L39" s="35"/>
      <c r="M39" s="35"/>
    </row>
    <row r="40" spans="1:14" ht="20.100000000000001" customHeight="1" x14ac:dyDescent="0.25">
      <c r="A40" s="28" t="s">
        <v>23</v>
      </c>
      <c r="B40" s="25"/>
      <c r="C40" s="25"/>
      <c r="D40" s="25"/>
      <c r="E40" s="25"/>
      <c r="F40" s="25"/>
      <c r="G40" s="25"/>
      <c r="H40" s="35"/>
      <c r="I40" s="35"/>
      <c r="J40" s="35"/>
      <c r="K40" s="35"/>
      <c r="L40" s="35"/>
      <c r="M40" s="35"/>
    </row>
    <row r="53" spans="1:15" ht="20.100000000000001" customHeight="1" x14ac:dyDescent="0.25">
      <c r="A53" s="28" t="s">
        <v>24</v>
      </c>
      <c r="B53" s="28"/>
      <c r="C53" s="34">
        <f>G14*G15</f>
        <v>8</v>
      </c>
      <c r="D53" s="28" t="s">
        <v>310</v>
      </c>
      <c r="E53" s="25" t="s">
        <v>315</v>
      </c>
      <c r="F53" s="25"/>
      <c r="G53" s="28" t="s">
        <v>316</v>
      </c>
      <c r="H53" s="35"/>
      <c r="I53" s="35"/>
      <c r="J53" s="35"/>
      <c r="K53" s="35"/>
      <c r="L53" s="35"/>
      <c r="M53" s="35"/>
      <c r="N53" s="25"/>
    </row>
    <row r="54" spans="1:15" ht="20.100000000000001" customHeight="1" x14ac:dyDescent="0.25">
      <c r="A54" s="25"/>
      <c r="B54" s="25"/>
      <c r="C54" s="25"/>
      <c r="D54" s="25"/>
      <c r="E54" s="25"/>
      <c r="F54" s="25"/>
      <c r="G54" s="25"/>
      <c r="H54" s="35"/>
      <c r="I54" s="35"/>
      <c r="J54" s="35"/>
      <c r="K54" s="35"/>
      <c r="L54" s="35"/>
      <c r="M54" s="35"/>
      <c r="N54" s="25"/>
    </row>
    <row r="55" spans="1:15" ht="20.100000000000001" customHeight="1" x14ac:dyDescent="0.25">
      <c r="A55" s="25" t="s">
        <v>317</v>
      </c>
      <c r="B55" s="25"/>
      <c r="C55" s="25"/>
      <c r="D55" s="25"/>
      <c r="E55" s="25"/>
      <c r="F55" s="25"/>
      <c r="G55" s="25"/>
      <c r="H55" s="35"/>
      <c r="I55" s="55">
        <f>F18*100</f>
        <v>38</v>
      </c>
      <c r="J55" s="41" t="s">
        <v>25</v>
      </c>
      <c r="K55" s="52">
        <f>I55*0.12</f>
        <v>4.5599999999999996</v>
      </c>
      <c r="L55" s="56" t="str">
        <f>IF(4&gt;K55,"CUMPLE","NO CUMPLE")</f>
        <v>NO CUMPLE</v>
      </c>
      <c r="M55" s="54"/>
      <c r="N55" s="54"/>
    </row>
    <row r="56" spans="1:15" ht="20.100000000000001" customHeight="1" x14ac:dyDescent="0.25">
      <c r="A56" s="25"/>
      <c r="B56" s="25"/>
      <c r="C56" s="25"/>
      <c r="D56" s="25"/>
      <c r="E56" s="25"/>
      <c r="F56" s="25"/>
      <c r="G56" s="25"/>
      <c r="H56" s="35"/>
    </row>
    <row r="57" spans="1:15" ht="20.100000000000001" customHeight="1" x14ac:dyDescent="0.25">
      <c r="A57" s="25" t="s">
        <v>26</v>
      </c>
    </row>
    <row r="58" spans="1:15" s="25" customFormat="1" ht="20.100000000000001" customHeight="1" x14ac:dyDescent="0.25">
      <c r="A58" s="25" t="s">
        <v>318</v>
      </c>
      <c r="D58" s="58">
        <f>1.2-(0.05*K55)</f>
        <v>0.97199999999999998</v>
      </c>
      <c r="E58" s="58"/>
      <c r="F58" s="21" t="s">
        <v>320</v>
      </c>
      <c r="H58" s="35"/>
      <c r="I58" s="59">
        <f>0.96*1*D58</f>
        <v>0.93311999999999995</v>
      </c>
      <c r="J58" s="57" t="s">
        <v>319</v>
      </c>
      <c r="K58" s="35"/>
      <c r="L58" s="35"/>
      <c r="M58" s="35"/>
    </row>
    <row r="59" spans="1:15" ht="20.100000000000001" customHeight="1" x14ac:dyDescent="0.25">
      <c r="A59" s="25"/>
      <c r="B59" s="25"/>
      <c r="C59" s="25"/>
      <c r="E59" s="25"/>
      <c r="F59" s="25"/>
      <c r="G59" s="25"/>
      <c r="H59" s="48"/>
      <c r="K59" s="50"/>
      <c r="L59" s="35"/>
      <c r="M59" s="35"/>
      <c r="N59" s="25"/>
      <c r="O59" s="25"/>
    </row>
    <row r="60" spans="1:15" ht="20.100000000000001" customHeight="1" x14ac:dyDescent="0.25">
      <c r="A60" s="25" t="s">
        <v>323</v>
      </c>
      <c r="B60" s="25"/>
      <c r="C60" s="25"/>
      <c r="E60" s="25"/>
      <c r="F60" s="25"/>
      <c r="G60" s="25"/>
      <c r="H60" s="48"/>
      <c r="I60" s="23">
        <f>I58*1000*J34/9.81</f>
        <v>760.95412844036696</v>
      </c>
      <c r="J60" s="25" t="s">
        <v>122</v>
      </c>
      <c r="K60" s="50"/>
      <c r="L60" s="35"/>
      <c r="M60" s="35"/>
      <c r="N60" s="25"/>
      <c r="O60" s="25"/>
    </row>
    <row r="61" spans="1:15" ht="20.100000000000001" customHeight="1" x14ac:dyDescent="0.25">
      <c r="A61" s="25" t="s">
        <v>324</v>
      </c>
      <c r="B61" s="25"/>
      <c r="C61" s="25"/>
      <c r="E61" s="25"/>
      <c r="F61" s="25"/>
      <c r="G61" s="25"/>
      <c r="H61" s="48"/>
      <c r="I61" s="23">
        <f>I60/2</f>
        <v>380.47706422018348</v>
      </c>
      <c r="J61" s="25" t="s">
        <v>122</v>
      </c>
      <c r="K61" s="35"/>
      <c r="L61" s="35"/>
      <c r="O61" s="25"/>
    </row>
    <row r="62" spans="1:15" ht="20.100000000000001" customHeight="1" x14ac:dyDescent="0.25">
      <c r="A62" s="25"/>
      <c r="B62" s="25"/>
      <c r="C62" s="25"/>
      <c r="E62" s="25"/>
      <c r="F62" s="25"/>
      <c r="G62" s="25"/>
      <c r="H62" s="48"/>
      <c r="I62" s="23"/>
      <c r="J62" s="25"/>
      <c r="K62" s="35"/>
      <c r="L62" s="35"/>
      <c r="O62" s="25"/>
    </row>
    <row r="63" spans="1:15" ht="20.100000000000001" customHeight="1" x14ac:dyDescent="0.25">
      <c r="A63" s="25" t="s">
        <v>325</v>
      </c>
      <c r="B63" s="25"/>
      <c r="C63" s="25"/>
      <c r="D63" s="25"/>
      <c r="E63" s="25"/>
      <c r="F63" s="25"/>
      <c r="G63" s="25"/>
      <c r="H63" s="35"/>
      <c r="I63" s="35"/>
      <c r="J63" s="35"/>
      <c r="K63" s="35"/>
      <c r="L63" s="35"/>
      <c r="M63" s="35"/>
      <c r="N63" s="25"/>
    </row>
    <row r="64" spans="1:15" ht="20.100000000000001" customHeight="1" x14ac:dyDescent="0.25">
      <c r="A64" s="25" t="s">
        <v>28</v>
      </c>
      <c r="B64" s="25"/>
      <c r="C64" s="25"/>
      <c r="D64" s="25"/>
      <c r="E64" s="25"/>
      <c r="F64" s="25"/>
      <c r="G64" s="25"/>
      <c r="H64" s="35"/>
      <c r="I64" s="35"/>
      <c r="J64" s="35"/>
      <c r="K64" s="35"/>
      <c r="L64" s="35"/>
      <c r="M64" s="35"/>
      <c r="N64" s="25"/>
    </row>
    <row r="65" spans="1:14" ht="20.100000000000001" customHeight="1" x14ac:dyDescent="0.2">
      <c r="A65" s="61"/>
      <c r="B65" s="25"/>
      <c r="C65" s="25" t="s">
        <v>29</v>
      </c>
      <c r="D65" s="25"/>
      <c r="E65" s="28" t="str">
        <f>C5</f>
        <v>Fábrica de Muebles Madera</v>
      </c>
      <c r="F65" s="25"/>
      <c r="G65" s="25"/>
      <c r="H65" s="35"/>
      <c r="I65" s="35"/>
      <c r="J65" s="35"/>
      <c r="K65" s="35"/>
      <c r="L65" s="35"/>
      <c r="M65" s="35"/>
      <c r="N65" s="25"/>
    </row>
    <row r="66" spans="1:14" ht="20.100000000000001" customHeight="1" x14ac:dyDescent="0.2">
      <c r="A66" s="61"/>
      <c r="B66" s="25"/>
      <c r="C66" s="25" t="s">
        <v>30</v>
      </c>
      <c r="D66" s="25"/>
      <c r="E66" s="28" t="str">
        <f>C4</f>
        <v>Misiones - Apostoles</v>
      </c>
      <c r="F66" s="25"/>
      <c r="G66" s="25"/>
      <c r="H66" s="35"/>
      <c r="I66" s="35"/>
      <c r="J66" s="35"/>
      <c r="K66" s="35"/>
      <c r="L66" s="35"/>
      <c r="M66" s="35"/>
      <c r="N66" s="25"/>
    </row>
    <row r="67" spans="1:14" ht="20.100000000000001" customHeight="1" x14ac:dyDescent="0.2">
      <c r="A67" s="61"/>
      <c r="B67" s="25"/>
      <c r="C67" s="25" t="s">
        <v>31</v>
      </c>
      <c r="D67" s="25"/>
      <c r="E67" s="28"/>
      <c r="F67" s="25"/>
      <c r="G67" s="25"/>
      <c r="H67" s="35"/>
      <c r="I67" s="35"/>
      <c r="J67" s="35"/>
      <c r="K67" s="21" t="s">
        <v>32</v>
      </c>
      <c r="L67" s="21"/>
      <c r="M67" s="21"/>
      <c r="N67" s="25"/>
    </row>
    <row r="68" spans="1:14" ht="20.100000000000001" customHeight="1" x14ac:dyDescent="0.2">
      <c r="A68" s="61"/>
      <c r="B68" s="25"/>
      <c r="C68" s="25"/>
      <c r="D68" s="25"/>
      <c r="E68" s="28"/>
      <c r="F68" s="25"/>
      <c r="G68" s="25"/>
      <c r="H68" s="35"/>
      <c r="I68" s="35"/>
      <c r="J68" s="35"/>
      <c r="K68" s="21" t="s">
        <v>33</v>
      </c>
      <c r="L68" s="52">
        <f>G15</f>
        <v>4</v>
      </c>
      <c r="M68" s="21" t="s">
        <v>5</v>
      </c>
      <c r="N68" s="25"/>
    </row>
    <row r="69" spans="1:14" ht="20.100000000000001" customHeight="1" x14ac:dyDescent="0.25">
      <c r="A69" s="39" t="s">
        <v>36</v>
      </c>
      <c r="B69" s="39"/>
      <c r="C69" s="25"/>
      <c r="D69" s="25"/>
      <c r="E69" s="28"/>
      <c r="F69" s="25"/>
      <c r="G69" s="25"/>
      <c r="H69" s="35"/>
      <c r="I69" s="35"/>
      <c r="J69" s="35"/>
      <c r="K69" s="21"/>
      <c r="L69" s="52"/>
      <c r="M69" s="21"/>
      <c r="N69" s="25"/>
    </row>
    <row r="70" spans="1:14" ht="20.100000000000001" customHeight="1" x14ac:dyDescent="0.25">
      <c r="A70" s="42" t="s">
        <v>34</v>
      </c>
      <c r="B70" s="29">
        <v>46</v>
      </c>
      <c r="C70" s="28" t="s">
        <v>35</v>
      </c>
      <c r="D70" s="25"/>
      <c r="E70" s="28"/>
      <c r="F70" s="25"/>
      <c r="G70" s="25"/>
      <c r="H70" s="35"/>
      <c r="I70" s="35"/>
      <c r="J70" s="35"/>
      <c r="K70" s="21"/>
      <c r="L70" s="52"/>
      <c r="M70" s="21"/>
      <c r="N70" s="25"/>
    </row>
    <row r="71" spans="1:14" ht="20.100000000000001" customHeight="1" x14ac:dyDescent="0.25">
      <c r="A71" s="39" t="s">
        <v>37</v>
      </c>
      <c r="B71" s="25"/>
      <c r="C71" s="25"/>
      <c r="D71" s="25"/>
      <c r="E71" s="28"/>
      <c r="F71" s="25"/>
      <c r="G71" s="25"/>
      <c r="H71" s="35"/>
      <c r="I71" s="35"/>
      <c r="J71" s="35"/>
      <c r="K71" s="21"/>
      <c r="L71" s="52"/>
      <c r="M71" s="21"/>
      <c r="N71" s="25"/>
    </row>
    <row r="72" spans="1:14" ht="20.100000000000001" customHeight="1" x14ac:dyDescent="0.25">
      <c r="A72" s="39" t="s">
        <v>326</v>
      </c>
      <c r="B72" s="25"/>
      <c r="C72" s="25"/>
      <c r="D72" s="25"/>
      <c r="E72" s="28"/>
      <c r="F72" s="25"/>
      <c r="G72" s="25"/>
      <c r="H72" s="35"/>
      <c r="I72" s="35"/>
      <c r="J72" s="35"/>
      <c r="K72" s="21"/>
      <c r="L72" s="52"/>
      <c r="M72" s="21"/>
      <c r="N72" s="25"/>
    </row>
    <row r="73" spans="1:14" ht="20.100000000000001" customHeight="1" x14ac:dyDescent="0.25">
      <c r="A73" s="39"/>
      <c r="B73" s="25"/>
      <c r="C73" s="25"/>
      <c r="D73" s="25"/>
      <c r="E73" s="28"/>
      <c r="F73" s="25"/>
      <c r="G73" s="25"/>
      <c r="H73" s="35"/>
      <c r="I73" s="35"/>
      <c r="J73" s="35"/>
      <c r="K73" s="21"/>
      <c r="L73" s="52"/>
      <c r="M73" s="21"/>
      <c r="N73" s="25"/>
    </row>
    <row r="74" spans="1:14" ht="20.100000000000001" customHeight="1" x14ac:dyDescent="0.25">
      <c r="A74" s="25" t="s">
        <v>38</v>
      </c>
      <c r="C74" s="25"/>
      <c r="D74" s="25"/>
      <c r="E74" s="28"/>
      <c r="F74" s="25"/>
      <c r="G74" s="25"/>
      <c r="H74" s="35"/>
      <c r="I74" s="35"/>
      <c r="J74" s="35"/>
      <c r="K74" s="21"/>
      <c r="L74" s="52"/>
      <c r="M74" s="21"/>
      <c r="N74" s="25"/>
    </row>
    <row r="75" spans="1:14" ht="20.100000000000001" customHeight="1" x14ac:dyDescent="0.25">
      <c r="A75" s="39" t="s">
        <v>39</v>
      </c>
      <c r="B75" s="25"/>
      <c r="C75" s="25"/>
      <c r="D75" s="25"/>
      <c r="E75" s="28"/>
      <c r="F75" s="25"/>
      <c r="G75" s="25"/>
      <c r="H75" s="35"/>
      <c r="I75" s="21" t="s">
        <v>43</v>
      </c>
      <c r="J75" s="35"/>
      <c r="L75" s="52"/>
      <c r="M75" s="21"/>
      <c r="N75" s="25"/>
    </row>
    <row r="76" spans="1:14" ht="20.100000000000001" customHeight="1" x14ac:dyDescent="0.25">
      <c r="A76" s="39" t="s">
        <v>40</v>
      </c>
      <c r="B76" s="25"/>
      <c r="C76" s="25"/>
      <c r="D76" s="25"/>
      <c r="E76" s="28"/>
      <c r="F76" s="25"/>
      <c r="G76" s="25"/>
      <c r="H76" s="35"/>
      <c r="I76" s="35"/>
      <c r="J76" s="36" t="s">
        <v>331</v>
      </c>
      <c r="K76" s="21"/>
      <c r="L76" s="52"/>
      <c r="M76" s="67">
        <f>(G13+G10)/2</f>
        <v>7.3</v>
      </c>
      <c r="N76" s="28" t="s">
        <v>5</v>
      </c>
    </row>
    <row r="77" spans="1:14" ht="20.100000000000001" customHeight="1" x14ac:dyDescent="0.25">
      <c r="B77" s="28"/>
      <c r="C77" s="28"/>
      <c r="D77" s="28"/>
      <c r="G77" s="25"/>
      <c r="H77" s="35"/>
      <c r="I77" s="35"/>
      <c r="J77" s="35"/>
      <c r="K77" s="21"/>
      <c r="L77" s="52"/>
      <c r="M77" s="21"/>
      <c r="N77" s="25"/>
    </row>
    <row r="78" spans="1:14" ht="20.100000000000001" customHeight="1" x14ac:dyDescent="0.25">
      <c r="A78" s="39" t="s">
        <v>41</v>
      </c>
      <c r="B78" s="25"/>
      <c r="C78" s="25"/>
      <c r="D78" s="25"/>
      <c r="E78" s="42" t="s">
        <v>42</v>
      </c>
      <c r="F78" s="34">
        <f>M76</f>
        <v>7.3</v>
      </c>
      <c r="G78" s="28" t="s">
        <v>5</v>
      </c>
      <c r="H78" s="35"/>
      <c r="I78" s="35"/>
      <c r="J78" s="35"/>
      <c r="K78" s="21"/>
      <c r="L78" s="52"/>
      <c r="M78" s="21"/>
      <c r="N78" s="25"/>
    </row>
    <row r="79" spans="1:14" ht="20.100000000000001" customHeight="1" x14ac:dyDescent="0.25">
      <c r="A79" s="39" t="s">
        <v>327</v>
      </c>
      <c r="B79" s="25"/>
      <c r="C79" s="25"/>
      <c r="D79" s="25"/>
      <c r="E79" s="28"/>
      <c r="F79" s="25"/>
      <c r="G79" s="25"/>
      <c r="H79" s="35"/>
      <c r="I79" s="35"/>
      <c r="J79" s="35"/>
      <c r="K79" s="21"/>
      <c r="L79" s="52"/>
      <c r="M79" s="21"/>
      <c r="N79" s="25"/>
    </row>
    <row r="80" spans="1:14" ht="20.100000000000001" customHeight="1" x14ac:dyDescent="0.25">
      <c r="A80" s="39" t="s">
        <v>44</v>
      </c>
      <c r="B80" s="25"/>
      <c r="C80" s="25"/>
      <c r="D80" s="25"/>
      <c r="E80" s="28"/>
      <c r="F80" s="25"/>
      <c r="G80" s="25"/>
      <c r="H80" s="35"/>
      <c r="I80" s="35"/>
      <c r="J80" s="35"/>
      <c r="K80" s="21"/>
      <c r="L80" s="52"/>
      <c r="M80" s="21"/>
      <c r="N80" s="25"/>
    </row>
    <row r="81" spans="1:14" ht="20.100000000000001" customHeight="1" x14ac:dyDescent="0.25">
      <c r="A81" s="39" t="s">
        <v>45</v>
      </c>
      <c r="B81" s="25"/>
      <c r="C81" s="25"/>
      <c r="D81" s="25"/>
      <c r="E81" s="28"/>
      <c r="F81" s="25"/>
      <c r="G81" s="25"/>
      <c r="H81" s="35"/>
      <c r="I81" s="35"/>
      <c r="J81" s="35"/>
      <c r="K81" s="21"/>
      <c r="L81" s="52"/>
      <c r="M81" s="21"/>
      <c r="N81" s="25"/>
    </row>
    <row r="82" spans="1:14" ht="20.100000000000001" customHeight="1" x14ac:dyDescent="0.25">
      <c r="A82" s="62" t="s">
        <v>47</v>
      </c>
      <c r="B82" s="62" t="s">
        <v>46</v>
      </c>
      <c r="C82" s="25"/>
      <c r="D82" s="25" t="s">
        <v>328</v>
      </c>
      <c r="E82" s="25"/>
      <c r="F82" s="25"/>
      <c r="G82" s="25"/>
      <c r="H82" s="35"/>
      <c r="I82" s="35"/>
      <c r="J82" s="35"/>
      <c r="K82" s="21"/>
      <c r="L82" s="69">
        <v>1</v>
      </c>
      <c r="M82" s="35"/>
      <c r="N82" s="25"/>
    </row>
    <row r="83" spans="1:14" ht="20.100000000000001" customHeight="1" x14ac:dyDescent="0.25">
      <c r="A83" s="64">
        <v>6</v>
      </c>
      <c r="B83" s="65">
        <v>0.9</v>
      </c>
      <c r="C83" s="25"/>
      <c r="D83" s="25" t="s">
        <v>48</v>
      </c>
      <c r="E83" s="25"/>
      <c r="F83" s="25"/>
      <c r="G83" s="25"/>
      <c r="H83" s="35"/>
      <c r="I83" s="35"/>
      <c r="J83" s="35"/>
      <c r="K83" s="21"/>
      <c r="L83" s="21" t="s">
        <v>49</v>
      </c>
      <c r="M83" s="33">
        <v>1</v>
      </c>
      <c r="N83" s="25"/>
    </row>
    <row r="84" spans="1:14" ht="20.100000000000001" customHeight="1" x14ac:dyDescent="0.25">
      <c r="A84" s="66">
        <f>F78</f>
        <v>7.3</v>
      </c>
      <c r="B84" s="66">
        <f>B83+((B85-B83)*(A84-A83)/(A85-A83))</f>
        <v>0.93466666666666665</v>
      </c>
      <c r="C84" s="25"/>
      <c r="D84" s="25" t="s">
        <v>50</v>
      </c>
      <c r="E84" s="25"/>
      <c r="F84" s="25"/>
      <c r="G84" s="25"/>
      <c r="H84" s="35"/>
      <c r="I84" s="35"/>
      <c r="J84" s="35"/>
      <c r="K84" s="21"/>
      <c r="L84" s="52"/>
      <c r="M84" s="21"/>
      <c r="N84" s="25"/>
    </row>
    <row r="85" spans="1:14" ht="20.100000000000001" customHeight="1" x14ac:dyDescent="0.25">
      <c r="A85" s="65">
        <v>7.5</v>
      </c>
      <c r="B85" s="65">
        <v>0.94</v>
      </c>
      <c r="C85" s="25"/>
      <c r="D85" s="25" t="s">
        <v>329</v>
      </c>
      <c r="E85" s="25"/>
      <c r="F85" s="25"/>
      <c r="G85" s="25"/>
      <c r="H85" s="35"/>
      <c r="I85" s="35"/>
      <c r="J85" s="68" t="s">
        <v>127</v>
      </c>
      <c r="L85" s="35"/>
      <c r="M85" s="21"/>
      <c r="N85" s="25"/>
    </row>
    <row r="86" spans="1:14" ht="20.100000000000001" customHeight="1" x14ac:dyDescent="0.25">
      <c r="A86" s="39"/>
      <c r="B86" s="25"/>
      <c r="C86" s="25"/>
      <c r="D86" s="25"/>
      <c r="E86" s="42" t="s">
        <v>51</v>
      </c>
      <c r="F86" s="33">
        <v>1</v>
      </c>
      <c r="G86" s="25"/>
      <c r="H86" s="35"/>
      <c r="I86" s="35"/>
      <c r="J86" s="35"/>
      <c r="K86" s="21"/>
      <c r="L86" s="52"/>
      <c r="M86" s="21"/>
      <c r="N86" s="25"/>
    </row>
    <row r="87" spans="1:14" ht="20.100000000000001" customHeight="1" x14ac:dyDescent="0.25">
      <c r="A87" s="39"/>
      <c r="B87" s="25"/>
      <c r="C87" s="25"/>
      <c r="D87" s="25"/>
      <c r="E87" s="28"/>
      <c r="F87" s="25"/>
      <c r="G87" s="25"/>
      <c r="H87" s="35"/>
      <c r="I87" s="35"/>
      <c r="J87" s="35"/>
      <c r="K87" s="21"/>
      <c r="L87" s="52"/>
      <c r="M87" s="21"/>
      <c r="N87" s="25"/>
    </row>
    <row r="88" spans="1:14" ht="20.100000000000001" customHeight="1" x14ac:dyDescent="0.25">
      <c r="A88" s="39"/>
      <c r="B88" s="25"/>
      <c r="C88" s="28" t="s">
        <v>52</v>
      </c>
      <c r="D88" s="22">
        <f>0.613*B84*L82*M83*F86*(B70^2)</f>
        <v>1212.3636106666665</v>
      </c>
      <c r="E88" s="28" t="s">
        <v>330</v>
      </c>
      <c r="F88" s="25"/>
      <c r="G88" s="25"/>
      <c r="H88" s="35"/>
      <c r="I88" s="35"/>
      <c r="J88" s="35"/>
      <c r="K88" s="35"/>
      <c r="L88" s="35"/>
      <c r="M88" s="35"/>
      <c r="N88" s="25"/>
    </row>
    <row r="89" spans="1:14" ht="20.100000000000001" customHeight="1" x14ac:dyDescent="0.25">
      <c r="A89" s="3"/>
      <c r="E89" s="4"/>
    </row>
    <row r="90" spans="1:14" ht="20.100000000000001" customHeight="1" x14ac:dyDescent="0.25">
      <c r="A90" s="39" t="s">
        <v>332</v>
      </c>
      <c r="B90" s="25"/>
      <c r="C90" s="25"/>
      <c r="D90" s="25"/>
      <c r="E90" s="25"/>
      <c r="F90" s="25"/>
      <c r="G90" s="25"/>
      <c r="H90" s="35"/>
      <c r="I90" s="35"/>
      <c r="J90" s="35"/>
      <c r="K90" s="35"/>
      <c r="L90" s="35"/>
      <c r="M90" s="35"/>
      <c r="N90" s="25"/>
    </row>
    <row r="91" spans="1:14" ht="20.100000000000001" customHeight="1" x14ac:dyDescent="0.25">
      <c r="A91" s="36" t="str">
        <f>C5</f>
        <v>Fábrica de Muebles Madera</v>
      </c>
      <c r="B91" s="25"/>
      <c r="C91" s="25"/>
      <c r="D91" s="25"/>
      <c r="E91" s="25"/>
      <c r="F91" s="25"/>
      <c r="G91" s="25" t="s">
        <v>128</v>
      </c>
      <c r="H91" s="35"/>
      <c r="I91" s="35"/>
      <c r="J91" s="35"/>
      <c r="K91" s="35"/>
      <c r="L91" s="35"/>
      <c r="M91" s="35"/>
      <c r="N91" s="25"/>
    </row>
    <row r="92" spans="1:14" ht="20.100000000000001" customHeight="1" x14ac:dyDescent="0.25">
      <c r="A92" s="39"/>
      <c r="B92" s="25"/>
      <c r="C92" s="25"/>
      <c r="D92" s="25"/>
      <c r="E92" s="25"/>
      <c r="F92" s="25"/>
      <c r="G92" s="25"/>
      <c r="H92" s="35"/>
      <c r="I92" s="35"/>
      <c r="J92" s="35"/>
      <c r="K92" s="35"/>
      <c r="L92" s="35"/>
      <c r="M92" s="35"/>
      <c r="N92" s="25"/>
    </row>
    <row r="93" spans="1:14" ht="20.100000000000001" customHeight="1" x14ac:dyDescent="0.25">
      <c r="A93" s="39" t="s">
        <v>53</v>
      </c>
      <c r="B93" s="25"/>
      <c r="C93" s="25"/>
      <c r="D93" s="25"/>
      <c r="E93" s="25"/>
      <c r="F93" s="25"/>
      <c r="G93" s="25"/>
      <c r="H93" s="35"/>
      <c r="I93" s="35"/>
      <c r="J93" s="35"/>
      <c r="K93" s="35"/>
      <c r="L93" s="35"/>
      <c r="M93" s="35"/>
      <c r="N93" s="25"/>
    </row>
    <row r="94" spans="1:14" ht="20.100000000000001" customHeight="1" x14ac:dyDescent="0.25">
      <c r="A94" s="36" t="s">
        <v>54</v>
      </c>
      <c r="B94" s="25"/>
      <c r="C94" s="25"/>
      <c r="D94" s="25"/>
      <c r="E94" s="25"/>
      <c r="F94" s="25"/>
      <c r="G94" s="25" t="s">
        <v>55</v>
      </c>
      <c r="H94" s="35"/>
      <c r="I94" s="35"/>
      <c r="J94" s="35"/>
      <c r="K94" s="35"/>
      <c r="L94" s="35"/>
      <c r="M94" s="35"/>
      <c r="N94" s="25"/>
    </row>
    <row r="95" spans="1:14" ht="20.100000000000001" customHeight="1" x14ac:dyDescent="0.25">
      <c r="A95" s="39"/>
      <c r="B95" s="25"/>
      <c r="C95" s="25"/>
      <c r="D95" s="25"/>
      <c r="E95" s="25"/>
      <c r="F95" s="25" t="s">
        <v>56</v>
      </c>
      <c r="G95" s="25"/>
      <c r="H95" s="35"/>
      <c r="I95" s="35"/>
      <c r="J95" s="35"/>
      <c r="K95" s="35"/>
      <c r="L95" s="35"/>
      <c r="M95" s="35"/>
      <c r="N95" s="25"/>
    </row>
    <row r="96" spans="1:14" ht="20.100000000000001" customHeight="1" x14ac:dyDescent="0.25">
      <c r="A96" s="3"/>
    </row>
    <row r="97" spans="1:13" ht="20.100000000000001" customHeight="1" x14ac:dyDescent="0.25">
      <c r="A97" s="3"/>
    </row>
    <row r="98" spans="1:13" ht="20.100000000000001" customHeight="1" x14ac:dyDescent="0.25">
      <c r="A98" s="3"/>
    </row>
    <row r="99" spans="1:13" ht="20.100000000000001" customHeight="1" x14ac:dyDescent="0.25">
      <c r="A99" s="3"/>
    </row>
    <row r="100" spans="1:13" ht="20.100000000000001" customHeight="1" x14ac:dyDescent="0.25">
      <c r="A100" s="3"/>
    </row>
    <row r="101" spans="1:13" ht="20.100000000000001" customHeight="1" x14ac:dyDescent="0.25">
      <c r="A101" s="3"/>
    </row>
    <row r="102" spans="1:13" ht="20.100000000000001" customHeight="1" x14ac:dyDescent="0.25">
      <c r="A102" s="3"/>
    </row>
    <row r="103" spans="1:13" ht="20.100000000000001" customHeight="1" x14ac:dyDescent="0.25">
      <c r="A103" s="3"/>
    </row>
    <row r="104" spans="1:13" ht="20.100000000000001" customHeight="1" x14ac:dyDescent="0.25">
      <c r="A104" s="3"/>
    </row>
    <row r="105" spans="1:13" ht="20.100000000000001" customHeight="1" x14ac:dyDescent="0.25">
      <c r="A105" s="3"/>
    </row>
    <row r="106" spans="1:13" ht="20.100000000000001" customHeight="1" x14ac:dyDescent="0.25">
      <c r="A106" s="3"/>
      <c r="B106" s="25" t="s">
        <v>59</v>
      </c>
      <c r="C106" s="25"/>
      <c r="D106" s="25"/>
      <c r="E106" s="25"/>
      <c r="F106" s="25"/>
      <c r="G106" s="25"/>
      <c r="H106" s="35"/>
      <c r="I106" s="35"/>
      <c r="J106" s="35"/>
      <c r="K106" s="35"/>
      <c r="L106" s="35"/>
      <c r="M106" s="35"/>
    </row>
    <row r="107" spans="1:13" ht="20.100000000000001" customHeight="1" x14ac:dyDescent="0.25">
      <c r="A107" s="6"/>
      <c r="B107" s="25" t="s">
        <v>58</v>
      </c>
      <c r="C107" s="25"/>
      <c r="D107" s="71">
        <f>0.1*F6</f>
        <v>2</v>
      </c>
      <c r="E107" s="25" t="s">
        <v>5</v>
      </c>
      <c r="F107" s="25"/>
      <c r="G107" s="25"/>
      <c r="H107" s="35"/>
      <c r="I107" s="35"/>
      <c r="J107" s="35"/>
      <c r="K107" s="35"/>
      <c r="L107" s="35"/>
      <c r="M107" s="35"/>
    </row>
    <row r="108" spans="1:13" ht="20.100000000000001" customHeight="1" x14ac:dyDescent="0.25">
      <c r="A108" s="3"/>
      <c r="B108" s="25" t="s">
        <v>333</v>
      </c>
      <c r="C108" s="25"/>
      <c r="D108" s="71">
        <f>0.4*F78</f>
        <v>2.92</v>
      </c>
      <c r="E108" s="25" t="s">
        <v>5</v>
      </c>
      <c r="F108" s="25"/>
      <c r="G108" s="25"/>
      <c r="H108" s="35" t="s">
        <v>334</v>
      </c>
      <c r="I108" s="35"/>
      <c r="J108" s="35"/>
      <c r="K108" s="70">
        <f>MIN(D107,D108)</f>
        <v>2</v>
      </c>
      <c r="L108" s="21" t="s">
        <v>5</v>
      </c>
      <c r="M108" s="35"/>
    </row>
    <row r="109" spans="1:13" ht="20.100000000000001" customHeight="1" thickBot="1" x14ac:dyDescent="0.25">
      <c r="A109" s="93" t="s">
        <v>335</v>
      </c>
      <c r="B109" s="91"/>
      <c r="C109" s="91"/>
      <c r="D109" s="91"/>
      <c r="E109" s="91"/>
      <c r="F109" s="91"/>
      <c r="G109" s="95">
        <f>F37</f>
        <v>20.781607090100472</v>
      </c>
      <c r="H109" s="94" t="s">
        <v>11</v>
      </c>
    </row>
    <row r="110" spans="1:13" ht="20.100000000000001" customHeight="1" x14ac:dyDescent="0.2">
      <c r="A110" s="84" t="s">
        <v>60</v>
      </c>
      <c r="B110" s="73">
        <v>1</v>
      </c>
      <c r="C110" s="74">
        <v>2</v>
      </c>
      <c r="D110" s="74">
        <v>3</v>
      </c>
      <c r="E110" s="75">
        <v>4</v>
      </c>
      <c r="F110" s="73" t="s">
        <v>62</v>
      </c>
      <c r="G110" s="74" t="s">
        <v>63</v>
      </c>
      <c r="H110" s="76" t="s">
        <v>64</v>
      </c>
      <c r="I110" s="77" t="s">
        <v>65</v>
      </c>
      <c r="J110" s="92"/>
    </row>
    <row r="111" spans="1:13" ht="20.100000000000001" customHeight="1" thickBot="1" x14ac:dyDescent="0.25">
      <c r="A111" s="85" t="s">
        <v>61</v>
      </c>
      <c r="B111" s="86">
        <v>0.53</v>
      </c>
      <c r="C111" s="87">
        <v>-0.69</v>
      </c>
      <c r="D111" s="87">
        <v>-0.48</v>
      </c>
      <c r="E111" s="88">
        <v>-0.43</v>
      </c>
      <c r="F111" s="86">
        <v>0.8</v>
      </c>
      <c r="G111" s="87">
        <v>-1.07</v>
      </c>
      <c r="H111" s="89">
        <v>-0.69</v>
      </c>
      <c r="I111" s="90">
        <v>-0.64</v>
      </c>
      <c r="J111" s="92"/>
    </row>
    <row r="112" spans="1:13" ht="20.100000000000001" customHeight="1" x14ac:dyDescent="0.25">
      <c r="A112" s="3"/>
    </row>
    <row r="113" spans="1:14" ht="20.100000000000001" customHeight="1" x14ac:dyDescent="0.25">
      <c r="A113" s="39" t="s">
        <v>101</v>
      </c>
      <c r="B113" s="25"/>
      <c r="C113" s="25"/>
      <c r="D113" s="25"/>
      <c r="E113" s="25"/>
      <c r="F113" s="25"/>
      <c r="G113" s="25"/>
      <c r="H113" s="35"/>
      <c r="I113" s="35"/>
      <c r="J113" s="35"/>
      <c r="K113" s="35"/>
      <c r="L113" s="35"/>
      <c r="M113" s="35"/>
      <c r="N113" s="25"/>
    </row>
    <row r="114" spans="1:14" ht="20.100000000000001" customHeight="1" x14ac:dyDescent="0.25">
      <c r="A114" s="39" t="s">
        <v>102</v>
      </c>
      <c r="B114" s="25"/>
      <c r="C114" s="25"/>
      <c r="D114" s="25"/>
      <c r="E114" s="25"/>
      <c r="F114" s="25"/>
      <c r="G114" s="25"/>
      <c r="H114" s="35"/>
      <c r="I114" s="35"/>
      <c r="J114" s="35"/>
      <c r="K114" s="35"/>
      <c r="L114" s="35"/>
      <c r="M114" s="35"/>
      <c r="N114" s="25"/>
    </row>
    <row r="115" spans="1:14" ht="20.100000000000001" customHeight="1" x14ac:dyDescent="0.25">
      <c r="A115" s="39"/>
      <c r="B115" s="25"/>
      <c r="C115" s="504" t="s">
        <v>66</v>
      </c>
      <c r="D115" s="504"/>
      <c r="E115" s="96">
        <f>0.5*F6</f>
        <v>10</v>
      </c>
      <c r="F115" s="25" t="s">
        <v>5</v>
      </c>
      <c r="G115" s="25"/>
      <c r="H115" s="35"/>
      <c r="I115" s="35"/>
      <c r="J115" s="35"/>
      <c r="K115" s="35"/>
      <c r="L115" s="35"/>
      <c r="M115" s="35"/>
      <c r="N115" s="25"/>
    </row>
    <row r="116" spans="1:14" ht="20.100000000000001" customHeight="1" x14ac:dyDescent="0.25">
      <c r="A116" s="39"/>
      <c r="B116" s="25"/>
      <c r="C116" s="504" t="s">
        <v>337</v>
      </c>
      <c r="D116" s="504"/>
      <c r="E116" s="96">
        <f>2.5*M76</f>
        <v>18.25</v>
      </c>
      <c r="F116" s="25" t="s">
        <v>5</v>
      </c>
      <c r="G116" s="25"/>
      <c r="H116" s="35" t="s">
        <v>336</v>
      </c>
      <c r="I116" s="35"/>
      <c r="J116" s="35"/>
      <c r="K116" s="35"/>
      <c r="L116" s="40">
        <f>MIN(E115,E116)</f>
        <v>10</v>
      </c>
      <c r="M116" s="28" t="s">
        <v>5</v>
      </c>
    </row>
    <row r="117" spans="1:14" ht="20.100000000000001" customHeight="1" x14ac:dyDescent="0.25">
      <c r="A117" s="39"/>
      <c r="B117" s="25"/>
      <c r="C117" s="25"/>
      <c r="D117" s="25"/>
      <c r="E117" s="25"/>
      <c r="F117" s="25"/>
      <c r="G117" s="25"/>
      <c r="H117" s="35"/>
      <c r="I117" s="35"/>
      <c r="J117" s="35"/>
      <c r="K117" s="35"/>
      <c r="L117" s="35"/>
      <c r="M117" s="35"/>
      <c r="N117" s="25"/>
    </row>
    <row r="118" spans="1:14" ht="20.100000000000001" customHeight="1" x14ac:dyDescent="0.25">
      <c r="A118" s="39"/>
      <c r="B118" s="25" t="s">
        <v>67</v>
      </c>
      <c r="C118" s="25"/>
      <c r="D118" s="25"/>
      <c r="E118" s="25"/>
      <c r="F118" s="25"/>
      <c r="G118" s="25"/>
      <c r="H118" s="35"/>
      <c r="I118" s="35"/>
      <c r="J118" s="35"/>
      <c r="K118" s="35"/>
      <c r="L118" s="35"/>
      <c r="M118" s="35"/>
      <c r="N118" s="25"/>
    </row>
    <row r="119" spans="1:14" ht="20.100000000000001" customHeight="1" x14ac:dyDescent="0.25">
      <c r="A119" s="39"/>
      <c r="B119" s="25" t="s">
        <v>68</v>
      </c>
      <c r="C119" s="25"/>
      <c r="D119" s="25"/>
      <c r="E119" s="25"/>
      <c r="F119" s="25"/>
      <c r="G119" s="25"/>
      <c r="H119" s="35"/>
      <c r="I119" s="35"/>
      <c r="J119" s="35"/>
      <c r="K119" s="35"/>
      <c r="L119" s="35"/>
      <c r="M119" s="35"/>
      <c r="N119" s="25"/>
    </row>
    <row r="120" spans="1:14" ht="20.100000000000001" customHeight="1" x14ac:dyDescent="0.25">
      <c r="A120" s="3"/>
    </row>
    <row r="121" spans="1:14" ht="20.100000000000001" customHeight="1" thickBot="1" x14ac:dyDescent="0.3">
      <c r="A121" s="36" t="s">
        <v>69</v>
      </c>
      <c r="B121" s="25"/>
      <c r="C121" s="25"/>
      <c r="D121" s="25"/>
      <c r="E121" s="25"/>
      <c r="F121" s="25"/>
      <c r="G121" s="25"/>
      <c r="H121" s="35"/>
      <c r="I121" s="35"/>
      <c r="J121" s="35"/>
      <c r="K121" s="35"/>
      <c r="L121" s="35"/>
      <c r="M121" s="35"/>
    </row>
    <row r="122" spans="1:14" ht="20.100000000000001" customHeight="1" x14ac:dyDescent="0.25">
      <c r="A122" s="84" t="s">
        <v>60</v>
      </c>
      <c r="B122" s="73">
        <v>1</v>
      </c>
      <c r="C122" s="74">
        <v>2</v>
      </c>
      <c r="D122" s="74">
        <v>3</v>
      </c>
      <c r="E122" s="74">
        <v>4</v>
      </c>
      <c r="F122" s="74">
        <v>5</v>
      </c>
      <c r="G122" s="75">
        <v>6</v>
      </c>
      <c r="H122" s="97" t="s">
        <v>62</v>
      </c>
      <c r="I122" s="76" t="s">
        <v>63</v>
      </c>
      <c r="J122" s="76" t="s">
        <v>64</v>
      </c>
      <c r="K122" s="76" t="s">
        <v>65</v>
      </c>
      <c r="L122" s="76" t="s">
        <v>70</v>
      </c>
      <c r="M122" s="77" t="s">
        <v>71</v>
      </c>
    </row>
    <row r="123" spans="1:14" ht="20.100000000000001" customHeight="1" thickBot="1" x14ac:dyDescent="0.3">
      <c r="A123" s="85" t="s">
        <v>61</v>
      </c>
      <c r="B123" s="86">
        <v>-0.45</v>
      </c>
      <c r="C123" s="87">
        <v>-0.69</v>
      </c>
      <c r="D123" s="87">
        <v>-0.37</v>
      </c>
      <c r="E123" s="87">
        <v>-0.45</v>
      </c>
      <c r="F123" s="87">
        <v>0.4</v>
      </c>
      <c r="G123" s="88">
        <v>-0.28999999999999998</v>
      </c>
      <c r="H123" s="98">
        <v>-0.48</v>
      </c>
      <c r="I123" s="89">
        <v>-1.07</v>
      </c>
      <c r="J123" s="89">
        <v>-0.53</v>
      </c>
      <c r="K123" s="89">
        <v>-0.48</v>
      </c>
      <c r="L123" s="89">
        <v>0.61</v>
      </c>
      <c r="M123" s="90">
        <v>-0.43</v>
      </c>
    </row>
    <row r="124" spans="1:14" ht="20.100000000000001" customHeight="1" x14ac:dyDescent="0.25">
      <c r="A124" s="3"/>
    </row>
    <row r="125" spans="1:14" ht="20.100000000000001" customHeight="1" x14ac:dyDescent="0.25">
      <c r="A125" s="3"/>
    </row>
    <row r="126" spans="1:14" ht="20.100000000000001" customHeight="1" x14ac:dyDescent="0.25">
      <c r="A126" s="3"/>
    </row>
    <row r="127" spans="1:14" ht="20.100000000000001" customHeight="1" x14ac:dyDescent="0.25">
      <c r="A127" s="3"/>
    </row>
    <row r="128" spans="1:14" ht="20.100000000000001" customHeight="1" x14ac:dyDescent="0.25">
      <c r="A128" s="3"/>
    </row>
    <row r="129" spans="1:13" ht="20.100000000000001" customHeight="1" x14ac:dyDescent="0.25">
      <c r="A129" s="3"/>
    </row>
    <row r="130" spans="1:13" ht="20.100000000000001" customHeight="1" x14ac:dyDescent="0.25">
      <c r="A130" s="3"/>
    </row>
    <row r="131" spans="1:13" ht="20.100000000000001" customHeight="1" x14ac:dyDescent="0.25">
      <c r="A131" s="3"/>
    </row>
    <row r="132" spans="1:13" ht="20.100000000000001" customHeight="1" x14ac:dyDescent="0.25">
      <c r="A132" s="3"/>
    </row>
    <row r="133" spans="1:13" ht="20.100000000000001" customHeight="1" x14ac:dyDescent="0.25">
      <c r="A133" s="3"/>
    </row>
    <row r="134" spans="1:13" s="25" customFormat="1" ht="20.100000000000001" customHeight="1" thickBot="1" x14ac:dyDescent="0.3">
      <c r="A134" s="99" t="s">
        <v>335</v>
      </c>
      <c r="G134" s="100">
        <v>0</v>
      </c>
      <c r="H134" s="21" t="s">
        <v>11</v>
      </c>
      <c r="K134" s="35"/>
      <c r="L134" s="35"/>
      <c r="M134" s="35"/>
    </row>
    <row r="135" spans="1:13" s="25" customFormat="1" ht="20.100000000000001" customHeight="1" x14ac:dyDescent="0.25">
      <c r="A135" s="72" t="s">
        <v>60</v>
      </c>
      <c r="B135" s="73">
        <v>1</v>
      </c>
      <c r="C135" s="74">
        <v>2</v>
      </c>
      <c r="D135" s="74">
        <v>3</v>
      </c>
      <c r="E135" s="75">
        <v>4</v>
      </c>
      <c r="F135" s="73" t="s">
        <v>62</v>
      </c>
      <c r="G135" s="74" t="s">
        <v>63</v>
      </c>
      <c r="H135" s="76" t="s">
        <v>64</v>
      </c>
      <c r="I135" s="77" t="s">
        <v>65</v>
      </c>
      <c r="J135" s="35"/>
      <c r="K135" s="35"/>
      <c r="L135" s="35"/>
      <c r="M135" s="35"/>
    </row>
    <row r="136" spans="1:13" s="25" customFormat="1" ht="20.100000000000001" customHeight="1" thickBot="1" x14ac:dyDescent="0.3">
      <c r="A136" s="78" t="s">
        <v>61</v>
      </c>
      <c r="B136" s="79">
        <v>0.4</v>
      </c>
      <c r="C136" s="80">
        <v>-0.69</v>
      </c>
      <c r="D136" s="80">
        <v>-0.37</v>
      </c>
      <c r="E136" s="81">
        <v>-0.28999999999999998</v>
      </c>
      <c r="F136" s="79">
        <v>0.61</v>
      </c>
      <c r="G136" s="80">
        <v>-1.07</v>
      </c>
      <c r="H136" s="82">
        <v>-0.53</v>
      </c>
      <c r="I136" s="83">
        <v>-0.43</v>
      </c>
      <c r="J136" s="35"/>
      <c r="K136" s="35"/>
      <c r="L136" s="35"/>
      <c r="M136" s="35"/>
    </row>
    <row r="137" spans="1:13" s="25" customFormat="1" ht="19.5" customHeight="1" x14ac:dyDescent="0.25">
      <c r="A137" s="39"/>
      <c r="H137" s="35"/>
      <c r="I137" s="35"/>
      <c r="J137" s="35"/>
      <c r="K137" s="35"/>
      <c r="L137" s="35"/>
      <c r="M137" s="35"/>
    </row>
    <row r="138" spans="1:13" s="25" customFormat="1" ht="20.100000000000001" customHeight="1" thickBot="1" x14ac:dyDescent="0.3">
      <c r="A138" s="36" t="s">
        <v>69</v>
      </c>
      <c r="H138" s="35"/>
      <c r="I138" s="35"/>
      <c r="J138" s="35"/>
      <c r="K138" s="35"/>
      <c r="L138" s="35"/>
      <c r="M138" s="35"/>
    </row>
    <row r="139" spans="1:13" s="25" customFormat="1" ht="20.100000000000001" customHeight="1" x14ac:dyDescent="0.25">
      <c r="A139" s="72" t="s">
        <v>60</v>
      </c>
      <c r="B139" s="73">
        <v>1</v>
      </c>
      <c r="C139" s="74">
        <v>2</v>
      </c>
      <c r="D139" s="74">
        <v>3</v>
      </c>
      <c r="E139" s="74">
        <v>4</v>
      </c>
      <c r="F139" s="74">
        <v>5</v>
      </c>
      <c r="G139" s="75">
        <v>6</v>
      </c>
      <c r="H139" s="97" t="s">
        <v>62</v>
      </c>
      <c r="I139" s="76" t="s">
        <v>63</v>
      </c>
      <c r="J139" s="76" t="s">
        <v>64</v>
      </c>
      <c r="K139" s="76" t="s">
        <v>65</v>
      </c>
      <c r="L139" s="76" t="s">
        <v>70</v>
      </c>
      <c r="M139" s="77" t="s">
        <v>71</v>
      </c>
    </row>
    <row r="140" spans="1:13" s="25" customFormat="1" ht="20.100000000000001" customHeight="1" thickBot="1" x14ac:dyDescent="0.3">
      <c r="A140" s="78" t="s">
        <v>61</v>
      </c>
      <c r="B140" s="86">
        <v>-0.45</v>
      </c>
      <c r="C140" s="87">
        <v>-0.69</v>
      </c>
      <c r="D140" s="87">
        <v>-0.37</v>
      </c>
      <c r="E140" s="87">
        <v>-0.45</v>
      </c>
      <c r="F140" s="87">
        <v>0.4</v>
      </c>
      <c r="G140" s="88">
        <v>-0.28999999999999998</v>
      </c>
      <c r="H140" s="98">
        <v>-0.48</v>
      </c>
      <c r="I140" s="89">
        <v>-1.07</v>
      </c>
      <c r="J140" s="89">
        <v>-0.53</v>
      </c>
      <c r="K140" s="89">
        <v>-0.48</v>
      </c>
      <c r="L140" s="89">
        <v>0.61</v>
      </c>
      <c r="M140" s="90">
        <v>-0.43</v>
      </c>
    </row>
    <row r="141" spans="1:13" s="25" customFormat="1" ht="20.100000000000001" customHeight="1" x14ac:dyDescent="0.25">
      <c r="A141" s="39"/>
      <c r="H141" s="35"/>
      <c r="I141" s="35"/>
      <c r="J141" s="35"/>
      <c r="K141" s="35"/>
      <c r="L141" s="35"/>
      <c r="M141" s="35"/>
    </row>
    <row r="142" spans="1:13" s="25" customFormat="1" ht="20.100000000000001" customHeight="1" x14ac:dyDescent="0.25">
      <c r="A142" s="39" t="s">
        <v>338</v>
      </c>
      <c r="H142" s="35"/>
      <c r="I142" s="21" t="s">
        <v>85</v>
      </c>
      <c r="J142" s="63">
        <v>0.18</v>
      </c>
      <c r="K142" s="35"/>
      <c r="L142" s="35"/>
      <c r="M142" s="35"/>
    </row>
    <row r="143" spans="1:13" ht="20.100000000000001" customHeight="1" x14ac:dyDescent="0.25">
      <c r="A143" s="3"/>
    </row>
    <row r="144" spans="1:13" ht="20.100000000000001" customHeight="1" x14ac:dyDescent="0.25">
      <c r="A144" s="3"/>
    </row>
    <row r="145" spans="1:14" ht="20.100000000000001" customHeight="1" thickBot="1" x14ac:dyDescent="0.3">
      <c r="A145" s="39" t="s">
        <v>72</v>
      </c>
      <c r="B145" s="25"/>
      <c r="C145" s="25"/>
      <c r="D145" s="36" t="s">
        <v>54</v>
      </c>
      <c r="E145" s="25"/>
      <c r="F145" s="25"/>
      <c r="G145" s="25"/>
      <c r="H145" s="35"/>
      <c r="I145" s="35"/>
      <c r="J145" s="35"/>
      <c r="K145" s="35"/>
      <c r="L145" s="35"/>
      <c r="M145" s="35"/>
      <c r="N145" s="25"/>
    </row>
    <row r="146" spans="1:14" ht="20.100000000000001" customHeight="1" x14ac:dyDescent="0.25">
      <c r="A146" s="101" t="s">
        <v>73</v>
      </c>
      <c r="B146" s="102"/>
      <c r="C146" s="102"/>
      <c r="D146" s="102" t="s">
        <v>339</v>
      </c>
      <c r="E146" s="102"/>
      <c r="F146" s="103"/>
      <c r="G146" s="25"/>
      <c r="H146" s="45" t="s">
        <v>86</v>
      </c>
      <c r="I146" s="104"/>
      <c r="J146" s="104"/>
      <c r="K146" s="102" t="s">
        <v>339</v>
      </c>
      <c r="L146" s="104"/>
      <c r="M146" s="105"/>
      <c r="N146" s="25"/>
    </row>
    <row r="147" spans="1:14" ht="20.100000000000001" customHeight="1" x14ac:dyDescent="0.25">
      <c r="A147" s="106" t="s">
        <v>74</v>
      </c>
      <c r="B147" s="12"/>
      <c r="C147" s="12"/>
      <c r="D147" s="12" t="s">
        <v>83</v>
      </c>
      <c r="E147" s="12"/>
      <c r="F147" s="107" t="s">
        <v>84</v>
      </c>
      <c r="G147" s="25"/>
      <c r="H147" s="108" t="s">
        <v>74</v>
      </c>
      <c r="I147" s="50"/>
      <c r="J147" s="50"/>
      <c r="K147" s="50" t="s">
        <v>83</v>
      </c>
      <c r="L147" s="50"/>
      <c r="M147" s="109" t="s">
        <v>84</v>
      </c>
      <c r="N147" s="25"/>
    </row>
    <row r="148" spans="1:14" ht="20.100000000000001" customHeight="1" x14ac:dyDescent="0.25">
      <c r="A148" s="110" t="s">
        <v>75</v>
      </c>
      <c r="B148" s="12"/>
      <c r="C148" s="12"/>
      <c r="D148" s="12">
        <f>($B$111-$J$142)*$D$88</f>
        <v>424.32726373333333</v>
      </c>
      <c r="E148" s="12"/>
      <c r="F148" s="107">
        <f>($B$111+$J$142)*$D$88</f>
        <v>860.77816357333325</v>
      </c>
      <c r="G148" s="25"/>
      <c r="H148" s="111" t="s">
        <v>75</v>
      </c>
      <c r="I148" s="50"/>
      <c r="J148" s="50"/>
      <c r="K148" s="50">
        <f>($B$136-$J$142)*$D$88</f>
        <v>266.71999434666668</v>
      </c>
      <c r="L148" s="50"/>
      <c r="M148" s="109">
        <f>($B$136+$J$142)*$D$88</f>
        <v>703.17089418666671</v>
      </c>
      <c r="N148" s="25"/>
    </row>
    <row r="149" spans="1:14" ht="20.100000000000001" customHeight="1" x14ac:dyDescent="0.25">
      <c r="A149" s="110" t="s">
        <v>76</v>
      </c>
      <c r="B149" s="12"/>
      <c r="C149" s="12"/>
      <c r="D149" s="12">
        <f>($C$111-$J$142)*$D$88</f>
        <v>-1054.7563412799998</v>
      </c>
      <c r="E149" s="12"/>
      <c r="F149" s="107">
        <f>($C$111+$J$142)*$D$88</f>
        <v>-618.30544143999998</v>
      </c>
      <c r="G149" s="25"/>
      <c r="H149" s="111" t="s">
        <v>76</v>
      </c>
      <c r="I149" s="50"/>
      <c r="J149" s="50"/>
      <c r="K149" s="50">
        <f>($C$136-$J$142)*$D$88</f>
        <v>-1054.7563412799998</v>
      </c>
      <c r="L149" s="50"/>
      <c r="M149" s="109">
        <f>($C$136+$J$142)*$D$88</f>
        <v>-618.30544143999998</v>
      </c>
      <c r="N149" s="25"/>
    </row>
    <row r="150" spans="1:14" ht="20.100000000000001" customHeight="1" x14ac:dyDescent="0.25">
      <c r="A150" s="110" t="s">
        <v>77</v>
      </c>
      <c r="B150" s="12"/>
      <c r="C150" s="12"/>
      <c r="D150" s="12">
        <f>($D$111-$J$142)*$D$88</f>
        <v>-800.15998303999982</v>
      </c>
      <c r="E150" s="12"/>
      <c r="F150" s="107">
        <f>($D$111+$J$142)*$D$88</f>
        <v>-363.70908319999995</v>
      </c>
      <c r="G150" s="25"/>
      <c r="H150" s="111" t="s">
        <v>77</v>
      </c>
      <c r="I150" s="50"/>
      <c r="J150" s="50"/>
      <c r="K150" s="50">
        <f>($D$136-$J$142)*$D$88</f>
        <v>-666.7999858666667</v>
      </c>
      <c r="L150" s="50"/>
      <c r="M150" s="109">
        <f>($D$136+$J$142)*$D$88</f>
        <v>-230.34908602666664</v>
      </c>
      <c r="N150" s="25"/>
    </row>
    <row r="151" spans="1:14" ht="20.100000000000001" customHeight="1" x14ac:dyDescent="0.25">
      <c r="A151" s="110" t="s">
        <v>78</v>
      </c>
      <c r="B151" s="12"/>
      <c r="C151" s="12"/>
      <c r="D151" s="12">
        <f>($E$111-$J$142)*$D$88</f>
        <v>-739.54180250666661</v>
      </c>
      <c r="E151" s="12"/>
      <c r="F151" s="107">
        <f>($E$111+$J$142)*$D$88</f>
        <v>-303.09090266666664</v>
      </c>
      <c r="G151" s="25"/>
      <c r="H151" s="111" t="s">
        <v>78</v>
      </c>
      <c r="I151" s="50"/>
      <c r="J151" s="50"/>
      <c r="K151" s="50">
        <f>($E$136-$J$142)*$D$88</f>
        <v>-569.81089701333326</v>
      </c>
      <c r="L151" s="50"/>
      <c r="M151" s="109">
        <f>($E$136+$J$142)*$D$88</f>
        <v>-133.35999717333331</v>
      </c>
      <c r="N151" s="25"/>
    </row>
    <row r="152" spans="1:14" ht="20.100000000000001" customHeight="1" x14ac:dyDescent="0.25">
      <c r="A152" s="110" t="s">
        <v>81</v>
      </c>
      <c r="B152" s="12"/>
      <c r="C152" s="12"/>
      <c r="D152" s="12">
        <f>($F$111-$J$142)*$D$88</f>
        <v>751.66543861333344</v>
      </c>
      <c r="E152" s="12"/>
      <c r="F152" s="107">
        <f>($F$111+$J$142)*$D$88</f>
        <v>1188.1163384533331</v>
      </c>
      <c r="G152" s="25"/>
      <c r="H152" s="111" t="s">
        <v>81</v>
      </c>
      <c r="I152" s="50"/>
      <c r="J152" s="50"/>
      <c r="K152" s="50">
        <f>($F$136-$J$142)*$D$88</f>
        <v>521.31635258666665</v>
      </c>
      <c r="L152" s="50"/>
      <c r="M152" s="109">
        <f>($F$136+$J$142)*$D$88</f>
        <v>957.76725242666657</v>
      </c>
      <c r="N152" s="25"/>
    </row>
    <row r="153" spans="1:14" ht="20.100000000000001" customHeight="1" x14ac:dyDescent="0.25">
      <c r="A153" s="110" t="s">
        <v>82</v>
      </c>
      <c r="B153" s="12"/>
      <c r="C153" s="12"/>
      <c r="D153" s="12">
        <f>($G$111-$J$142)*$D$88</f>
        <v>-1515.4545133333331</v>
      </c>
      <c r="E153" s="12"/>
      <c r="F153" s="107">
        <f>($G$111+$J$142)*$D$88</f>
        <v>-1079.0036134933334</v>
      </c>
      <c r="G153" s="25"/>
      <c r="H153" s="111" t="s">
        <v>82</v>
      </c>
      <c r="I153" s="50"/>
      <c r="J153" s="50"/>
      <c r="K153" s="50">
        <f>($G$136-$J$142)*$D$88</f>
        <v>-1515.4545133333331</v>
      </c>
      <c r="L153" s="50"/>
      <c r="M153" s="109">
        <f>($G$136+$J$142)*$D$88</f>
        <v>-1079.0036134933334</v>
      </c>
      <c r="N153" s="25"/>
    </row>
    <row r="154" spans="1:14" ht="20.100000000000001" customHeight="1" x14ac:dyDescent="0.25">
      <c r="A154" s="110" t="s">
        <v>81</v>
      </c>
      <c r="B154" s="12"/>
      <c r="C154" s="12"/>
      <c r="D154" s="12">
        <f>($H$111-$J$142)*$D$88</f>
        <v>-1054.7563412799998</v>
      </c>
      <c r="E154" s="12"/>
      <c r="F154" s="107">
        <f>($H$111+$J$142)*$D$88</f>
        <v>-618.30544143999998</v>
      </c>
      <c r="G154" s="25"/>
      <c r="H154" s="111" t="s">
        <v>81</v>
      </c>
      <c r="I154" s="50"/>
      <c r="J154" s="50"/>
      <c r="K154" s="50">
        <f>($H$136-$J$142)*$D$88</f>
        <v>-860.77816357333325</v>
      </c>
      <c r="L154" s="50"/>
      <c r="M154" s="109">
        <f>($H$136+$J$142)*$D$88</f>
        <v>-424.32726373333333</v>
      </c>
      <c r="N154" s="25"/>
    </row>
    <row r="155" spans="1:14" ht="20.100000000000001" customHeight="1" thickBot="1" x14ac:dyDescent="0.3">
      <c r="A155" s="112" t="s">
        <v>82</v>
      </c>
      <c r="B155" s="13"/>
      <c r="C155" s="13"/>
      <c r="D155" s="13">
        <f>($I$111-$J$142)*$D$88</f>
        <v>-994.1381607466667</v>
      </c>
      <c r="E155" s="13"/>
      <c r="F155" s="113">
        <f>($I$111+$J$142)*$D$88</f>
        <v>-557.68726090666667</v>
      </c>
      <c r="G155" s="25"/>
      <c r="H155" s="114" t="s">
        <v>82</v>
      </c>
      <c r="I155" s="115"/>
      <c r="J155" s="115"/>
      <c r="K155" s="115">
        <f>($I$136-$J$142)*$D$88</f>
        <v>-739.54180250666661</v>
      </c>
      <c r="L155" s="115"/>
      <c r="M155" s="116">
        <f>($I$136+$J$142)*$D$88</f>
        <v>-303.09090266666664</v>
      </c>
      <c r="N155" s="25"/>
    </row>
    <row r="156" spans="1:14" ht="20.100000000000001" customHeight="1" thickBot="1" x14ac:dyDescent="0.3">
      <c r="A156" s="3"/>
    </row>
    <row r="157" spans="1:14" ht="20.100000000000001" customHeight="1" x14ac:dyDescent="0.25">
      <c r="A157" s="101" t="s">
        <v>92</v>
      </c>
      <c r="B157" s="102"/>
      <c r="C157" s="102"/>
      <c r="D157" s="102"/>
      <c r="E157" s="102"/>
      <c r="F157" s="102"/>
      <c r="G157" s="117"/>
      <c r="H157" s="104"/>
      <c r="I157" s="104"/>
      <c r="J157" s="104"/>
      <c r="K157" s="104"/>
      <c r="L157" s="104"/>
      <c r="M157" s="105"/>
    </row>
    <row r="158" spans="1:14" ht="20.100000000000001" customHeight="1" x14ac:dyDescent="0.25">
      <c r="A158" s="106" t="s">
        <v>87</v>
      </c>
      <c r="B158" s="12"/>
      <c r="C158" s="12" t="s">
        <v>83</v>
      </c>
      <c r="D158" s="12"/>
      <c r="E158" s="12" t="s">
        <v>84</v>
      </c>
      <c r="F158" s="12"/>
      <c r="G158" s="12"/>
      <c r="H158" s="118"/>
      <c r="I158" s="50"/>
      <c r="J158" s="50"/>
      <c r="K158" s="12" t="s">
        <v>83</v>
      </c>
      <c r="L158" s="12"/>
      <c r="M158" s="107" t="s">
        <v>84</v>
      </c>
    </row>
    <row r="159" spans="1:14" ht="20.100000000000001" customHeight="1" x14ac:dyDescent="0.25">
      <c r="A159" s="110" t="s">
        <v>75</v>
      </c>
      <c r="B159" s="12"/>
      <c r="C159" s="12">
        <f>($B$123-$J$142)*$D$88</f>
        <v>-763.78907471999992</v>
      </c>
      <c r="D159" s="12"/>
      <c r="E159" s="12">
        <f>($B$123+$J$142)*$D$88</f>
        <v>-327.33817488</v>
      </c>
      <c r="F159" s="12"/>
      <c r="G159" s="12"/>
      <c r="H159" s="119" t="s">
        <v>81</v>
      </c>
      <c r="I159" s="12"/>
      <c r="J159" s="12"/>
      <c r="K159" s="12">
        <f>($H$123-$J$142)*$D$88</f>
        <v>-800.15998303999982</v>
      </c>
      <c r="L159" s="12"/>
      <c r="M159" s="107">
        <f>($H$123+$J$142)*$D$88</f>
        <v>-363.70908319999995</v>
      </c>
    </row>
    <row r="160" spans="1:14" ht="20.100000000000001" customHeight="1" x14ac:dyDescent="0.25">
      <c r="A160" s="110" t="s">
        <v>76</v>
      </c>
      <c r="B160" s="12"/>
      <c r="C160" s="520">
        <f>($C$123-$J$142)*$D$88</f>
        <v>-1054.7563412799998</v>
      </c>
      <c r="D160" s="520"/>
      <c r="E160" s="12">
        <f>($C$123+$J$142)*$D$88</f>
        <v>-618.30544143999998</v>
      </c>
      <c r="F160" s="12"/>
      <c r="G160" s="12"/>
      <c r="H160" s="119" t="s">
        <v>82</v>
      </c>
      <c r="I160" s="12"/>
      <c r="J160" s="12"/>
      <c r="K160" s="12">
        <f>($I$123-$J$142)*$D$88</f>
        <v>-1515.4545133333331</v>
      </c>
      <c r="L160" s="12"/>
      <c r="M160" s="107">
        <f>($I$123+$J$142)*$D$88</f>
        <v>-1079.0036134933334</v>
      </c>
    </row>
    <row r="161" spans="1:15" ht="20.100000000000001" customHeight="1" x14ac:dyDescent="0.25">
      <c r="A161" s="110" t="s">
        <v>77</v>
      </c>
      <c r="B161" s="12"/>
      <c r="C161" s="12">
        <f>($D$123-$J$142)*$D$88</f>
        <v>-666.7999858666667</v>
      </c>
      <c r="D161" s="12"/>
      <c r="E161" s="12">
        <f>($D$123+$J$142)*$D$88</f>
        <v>-230.34908602666664</v>
      </c>
      <c r="F161" s="12"/>
      <c r="G161" s="12"/>
      <c r="H161" s="119" t="s">
        <v>88</v>
      </c>
      <c r="I161" s="12"/>
      <c r="J161" s="12"/>
      <c r="K161" s="12">
        <f>($J$123-$J$142)*$D$88</f>
        <v>-860.77816357333325</v>
      </c>
      <c r="L161" s="12"/>
      <c r="M161" s="107">
        <f>($J$123+$J$142)*$D$88</f>
        <v>-424.32726373333333</v>
      </c>
    </row>
    <row r="162" spans="1:15" ht="20.100000000000001" customHeight="1" x14ac:dyDescent="0.25">
      <c r="A162" s="110" t="s">
        <v>78</v>
      </c>
      <c r="B162" s="12"/>
      <c r="C162" s="12">
        <f>($E$123-$J$142)*$D$88</f>
        <v>-763.78907471999992</v>
      </c>
      <c r="D162" s="12"/>
      <c r="E162" s="12">
        <f>($E$123+$J$142)*$D$88</f>
        <v>-327.33817488</v>
      </c>
      <c r="F162" s="12"/>
      <c r="G162" s="12"/>
      <c r="H162" s="119" t="s">
        <v>89</v>
      </c>
      <c r="I162" s="12"/>
      <c r="J162" s="12"/>
      <c r="K162" s="12">
        <f>($K$123-$J$142)*$D$88</f>
        <v>-800.15998303999982</v>
      </c>
      <c r="L162" s="12"/>
      <c r="M162" s="107">
        <f>($K$123+$J$142)*$D$88</f>
        <v>-363.70908319999995</v>
      </c>
    </row>
    <row r="163" spans="1:15" ht="20.100000000000001" customHeight="1" x14ac:dyDescent="0.25">
      <c r="A163" s="110" t="s">
        <v>79</v>
      </c>
      <c r="B163" s="12"/>
      <c r="C163" s="12">
        <f>($F$123-$J$142)*$D$88</f>
        <v>266.71999434666668</v>
      </c>
      <c r="D163" s="12"/>
      <c r="E163" s="12">
        <f>($F$123+$J$142)*$D$88</f>
        <v>703.17089418666671</v>
      </c>
      <c r="F163" s="12"/>
      <c r="G163" s="12"/>
      <c r="H163" s="119" t="s">
        <v>90</v>
      </c>
      <c r="I163" s="12"/>
      <c r="J163" s="12"/>
      <c r="K163" s="12">
        <f>($L$123-$J$142)*$D$88</f>
        <v>521.31635258666665</v>
      </c>
      <c r="L163" s="12"/>
      <c r="M163" s="107">
        <f>($L$123+$J$142)*$D$88</f>
        <v>957.76725242666657</v>
      </c>
    </row>
    <row r="164" spans="1:15" ht="20.100000000000001" customHeight="1" thickBot="1" x14ac:dyDescent="0.3">
      <c r="A164" s="112" t="s">
        <v>80</v>
      </c>
      <c r="B164" s="13"/>
      <c r="C164" s="13">
        <f>($G$123-$J$142)*$D$88</f>
        <v>-569.81089701333326</v>
      </c>
      <c r="D164" s="13"/>
      <c r="E164" s="13">
        <f>($G$123+$J$142)*$D$88</f>
        <v>-133.35999717333331</v>
      </c>
      <c r="F164" s="13"/>
      <c r="G164" s="13"/>
      <c r="H164" s="120" t="s">
        <v>91</v>
      </c>
      <c r="I164" s="13"/>
      <c r="J164" s="13"/>
      <c r="K164" s="13">
        <f>($M$123-$J$142)*$D$88</f>
        <v>-739.54180250666661</v>
      </c>
      <c r="L164" s="13"/>
      <c r="M164" s="113">
        <f>($M$123+$J$142)*$D$88</f>
        <v>-303.09090266666664</v>
      </c>
    </row>
    <row r="165" spans="1:15" ht="20.100000000000001" customHeight="1" x14ac:dyDescent="0.25">
      <c r="A165" s="39" t="s">
        <v>110</v>
      </c>
      <c r="B165" s="25"/>
      <c r="C165" s="25"/>
      <c r="D165" s="25"/>
      <c r="E165" s="25"/>
      <c r="F165" s="25"/>
      <c r="G165" s="25"/>
      <c r="H165" s="35"/>
      <c r="I165" s="35"/>
      <c r="J165" s="35"/>
      <c r="K165" s="35"/>
      <c r="L165" s="35"/>
      <c r="M165" s="35"/>
      <c r="N165" s="25"/>
      <c r="O165" s="25"/>
    </row>
    <row r="166" spans="1:15" ht="20.100000000000001" customHeight="1" x14ac:dyDescent="0.25">
      <c r="A166" s="25"/>
      <c r="B166" s="25"/>
      <c r="C166" s="25"/>
      <c r="D166" s="25"/>
      <c r="E166" s="25"/>
      <c r="F166" s="25"/>
      <c r="G166" s="25"/>
      <c r="H166" s="35"/>
      <c r="I166" s="35"/>
      <c r="J166" s="35"/>
      <c r="K166" s="35"/>
      <c r="L166" s="35"/>
      <c r="M166" s="35"/>
      <c r="N166" s="25"/>
      <c r="O166" s="25"/>
    </row>
    <row r="167" spans="1:15" ht="20.100000000000001" customHeight="1" x14ac:dyDescent="0.25">
      <c r="A167" s="39" t="s">
        <v>340</v>
      </c>
      <c r="B167" s="25"/>
      <c r="C167" s="25"/>
      <c r="D167" s="25"/>
      <c r="E167" s="25"/>
      <c r="F167" s="25"/>
      <c r="G167" s="25"/>
      <c r="H167" s="35"/>
      <c r="I167" s="35"/>
      <c r="J167" s="35"/>
      <c r="K167" s="35"/>
      <c r="L167" s="35"/>
      <c r="M167" s="35"/>
      <c r="N167" s="25"/>
      <c r="O167" s="25"/>
    </row>
    <row r="168" spans="1:15" ht="20.100000000000001" customHeight="1" x14ac:dyDescent="0.25">
      <c r="A168" s="518" t="s">
        <v>109</v>
      </c>
      <c r="B168" s="518"/>
      <c r="C168" s="62" t="s">
        <v>103</v>
      </c>
      <c r="D168" s="62" t="s">
        <v>104</v>
      </c>
      <c r="E168" s="62" t="s">
        <v>105</v>
      </c>
      <c r="F168" s="62" t="s">
        <v>106</v>
      </c>
      <c r="G168" s="62" t="s">
        <v>107</v>
      </c>
      <c r="H168" s="62" t="s">
        <v>108</v>
      </c>
      <c r="I168" s="35"/>
      <c r="J168" s="35"/>
      <c r="K168" s="35"/>
      <c r="L168" s="35"/>
      <c r="M168" s="35"/>
      <c r="N168" s="25"/>
      <c r="O168" s="25"/>
    </row>
    <row r="169" spans="1:15" ht="20.100000000000001" customHeight="1" x14ac:dyDescent="0.25">
      <c r="A169" s="39"/>
      <c r="B169" s="14">
        <v>1</v>
      </c>
      <c r="C169" s="14">
        <f>D148</f>
        <v>424.32726373333333</v>
      </c>
      <c r="D169" s="14">
        <f>D149</f>
        <v>-1054.7563412799998</v>
      </c>
      <c r="E169" s="14">
        <f>D150</f>
        <v>-800.15998303999982</v>
      </c>
      <c r="F169" s="14">
        <f>D151</f>
        <v>-739.54180250666661</v>
      </c>
      <c r="G169" s="123"/>
      <c r="H169" s="124"/>
      <c r="I169" s="121"/>
      <c r="J169" s="35"/>
      <c r="K169" s="35"/>
      <c r="L169" s="35"/>
      <c r="M169" s="35"/>
      <c r="N169" s="25"/>
      <c r="O169" s="25"/>
    </row>
    <row r="170" spans="1:15" ht="20.100000000000001" customHeight="1" x14ac:dyDescent="0.25">
      <c r="A170" s="39"/>
      <c r="B170" s="14">
        <v>2</v>
      </c>
      <c r="C170" s="14">
        <f>F148</f>
        <v>860.77816357333325</v>
      </c>
      <c r="D170" s="14">
        <f>F149</f>
        <v>-618.30544143999998</v>
      </c>
      <c r="E170" s="14">
        <f>F150</f>
        <v>-363.70908319999995</v>
      </c>
      <c r="F170" s="14">
        <f>F151</f>
        <v>-303.09090266666664</v>
      </c>
      <c r="G170" s="123"/>
      <c r="H170" s="124"/>
      <c r="I170" s="121"/>
      <c r="J170" s="35"/>
      <c r="K170" s="35"/>
      <c r="L170" s="35"/>
      <c r="M170" s="35"/>
      <c r="N170" s="25"/>
      <c r="O170" s="25"/>
    </row>
    <row r="171" spans="1:15" ht="20.100000000000001" customHeight="1" x14ac:dyDescent="0.25">
      <c r="A171" s="39"/>
      <c r="B171" s="14">
        <v>3</v>
      </c>
      <c r="C171" s="14">
        <f>C159</f>
        <v>-763.78907471999992</v>
      </c>
      <c r="D171" s="14">
        <f>C160</f>
        <v>-1054.7563412799998</v>
      </c>
      <c r="E171" s="14">
        <f>C161</f>
        <v>-666.7999858666667</v>
      </c>
      <c r="F171" s="14">
        <f>C162</f>
        <v>-763.78907471999992</v>
      </c>
      <c r="G171" s="14">
        <f>C163</f>
        <v>266.71999434666668</v>
      </c>
      <c r="H171" s="15">
        <f>C164</f>
        <v>-569.81089701333326</v>
      </c>
      <c r="I171" s="121"/>
      <c r="J171" s="35"/>
      <c r="K171" s="35"/>
      <c r="L171" s="35"/>
      <c r="M171" s="35"/>
      <c r="N171" s="25"/>
      <c r="O171" s="25"/>
    </row>
    <row r="172" spans="1:15" ht="20.100000000000001" customHeight="1" x14ac:dyDescent="0.25">
      <c r="A172" s="39"/>
      <c r="B172" s="14">
        <v>4</v>
      </c>
      <c r="C172" s="14">
        <f>E159</f>
        <v>-327.33817488</v>
      </c>
      <c r="D172" s="14">
        <f>E160</f>
        <v>-618.30544143999998</v>
      </c>
      <c r="E172" s="14">
        <f>E161</f>
        <v>-230.34908602666664</v>
      </c>
      <c r="F172" s="14">
        <f>E162</f>
        <v>-327.33817488</v>
      </c>
      <c r="G172" s="14">
        <f>E163</f>
        <v>703.17089418666671</v>
      </c>
      <c r="H172" s="15">
        <f>E164</f>
        <v>-133.35999717333331</v>
      </c>
      <c r="I172" s="121"/>
      <c r="J172" s="35"/>
      <c r="K172" s="35"/>
      <c r="L172" s="35"/>
      <c r="M172" s="35"/>
      <c r="N172" s="25"/>
      <c r="O172" s="25"/>
    </row>
    <row r="173" spans="1:15" ht="20.100000000000001" customHeight="1" x14ac:dyDescent="0.25">
      <c r="A173" s="39"/>
      <c r="B173" s="14">
        <v>5</v>
      </c>
      <c r="C173" s="14"/>
      <c r="D173" s="14">
        <f>MIN(K149,K150)</f>
        <v>-1054.7563412799998</v>
      </c>
      <c r="E173" s="14">
        <f>D173</f>
        <v>-1054.7563412799998</v>
      </c>
      <c r="F173" s="14"/>
      <c r="G173" s="14">
        <f>K148</f>
        <v>266.71999434666668</v>
      </c>
      <c r="H173" s="15">
        <f>K151</f>
        <v>-569.81089701333326</v>
      </c>
      <c r="I173" s="121"/>
      <c r="J173" s="35"/>
      <c r="K173" s="35"/>
      <c r="L173" s="35"/>
      <c r="M173" s="35"/>
      <c r="N173" s="25"/>
      <c r="O173" s="25"/>
    </row>
    <row r="174" spans="1:15" ht="20.100000000000001" customHeight="1" x14ac:dyDescent="0.25">
      <c r="A174" s="39"/>
      <c r="B174" s="14">
        <v>6</v>
      </c>
      <c r="C174" s="14"/>
      <c r="D174" s="14">
        <f>MIN(M149,M150)</f>
        <v>-618.30544143999998</v>
      </c>
      <c r="E174" s="14">
        <f>D174</f>
        <v>-618.30544143999998</v>
      </c>
      <c r="F174" s="14"/>
      <c r="G174" s="14">
        <f>M148</f>
        <v>703.17089418666671</v>
      </c>
      <c r="H174" s="15">
        <f>M151</f>
        <v>-133.35999717333331</v>
      </c>
      <c r="I174" s="121"/>
      <c r="J174" s="35"/>
      <c r="K174" s="35"/>
      <c r="L174" s="35"/>
      <c r="M174" s="35"/>
      <c r="N174" s="25"/>
      <c r="O174" s="25"/>
    </row>
    <row r="175" spans="1:15" ht="20.100000000000001" customHeight="1" x14ac:dyDescent="0.25">
      <c r="A175" s="39"/>
      <c r="B175" s="14">
        <v>7</v>
      </c>
      <c r="C175" s="14">
        <f>C163</f>
        <v>266.71999434666668</v>
      </c>
      <c r="D175" s="14">
        <f>MIN(C160,C161)</f>
        <v>-1054.7563412799998</v>
      </c>
      <c r="E175" s="14">
        <f>D175</f>
        <v>-1054.7563412799998</v>
      </c>
      <c r="F175" s="14">
        <f>C164</f>
        <v>-569.81089701333326</v>
      </c>
      <c r="G175" s="14">
        <f>C159</f>
        <v>-763.78907471999992</v>
      </c>
      <c r="H175" s="15">
        <f>C162</f>
        <v>-763.78907471999992</v>
      </c>
      <c r="I175" s="121"/>
      <c r="J175" s="35"/>
      <c r="K175" s="35"/>
      <c r="L175" s="35"/>
      <c r="M175" s="35"/>
      <c r="N175" s="25"/>
      <c r="O175" s="25"/>
    </row>
    <row r="176" spans="1:15" ht="20.100000000000001" customHeight="1" x14ac:dyDescent="0.25">
      <c r="A176" s="39"/>
      <c r="B176" s="14">
        <v>8</v>
      </c>
      <c r="C176" s="14">
        <f>E163</f>
        <v>703.17089418666671</v>
      </c>
      <c r="D176" s="14">
        <f>MIN(E160,E161)</f>
        <v>-618.30544143999998</v>
      </c>
      <c r="E176" s="14">
        <f>D176</f>
        <v>-618.30544143999998</v>
      </c>
      <c r="F176" s="14">
        <f>E164</f>
        <v>-133.35999717333331</v>
      </c>
      <c r="G176" s="14">
        <f>E159</f>
        <v>-327.33817488</v>
      </c>
      <c r="H176" s="15">
        <f>E162</f>
        <v>-327.33817488</v>
      </c>
      <c r="I176" s="121"/>
      <c r="J176" s="35"/>
      <c r="K176" s="35"/>
      <c r="L176" s="35"/>
      <c r="M176" s="35"/>
      <c r="N176" s="25"/>
      <c r="O176" s="25"/>
    </row>
    <row r="177" spans="1:14" ht="20.100000000000001" customHeight="1" x14ac:dyDescent="0.25">
      <c r="A177" s="3"/>
      <c r="B177" s="10"/>
      <c r="C177" s="10"/>
      <c r="D177" s="10"/>
      <c r="E177" s="10"/>
      <c r="F177" s="10"/>
      <c r="G177" s="10"/>
      <c r="H177" s="8"/>
      <c r="I177" s="8"/>
    </row>
    <row r="178" spans="1:14" ht="20.100000000000001" customHeight="1" x14ac:dyDescent="0.25">
      <c r="A178" s="3"/>
      <c r="B178" s="10"/>
      <c r="C178" s="10"/>
      <c r="D178" s="10"/>
      <c r="E178" s="10"/>
      <c r="F178" s="10"/>
      <c r="G178" s="10"/>
      <c r="H178" s="8"/>
      <c r="I178" s="8"/>
    </row>
    <row r="179" spans="1:14" ht="20.100000000000001" customHeight="1" x14ac:dyDescent="0.25">
      <c r="A179" s="39" t="s">
        <v>115</v>
      </c>
      <c r="B179" s="12"/>
      <c r="C179" s="12"/>
      <c r="D179" s="12"/>
      <c r="E179" s="12"/>
      <c r="F179" s="12"/>
      <c r="G179" s="12"/>
      <c r="H179" s="50"/>
      <c r="I179" s="50"/>
      <c r="J179" s="35"/>
      <c r="K179" s="35"/>
      <c r="L179" s="35"/>
      <c r="M179" s="35"/>
      <c r="N179" s="25"/>
    </row>
    <row r="180" spans="1:14" ht="20.100000000000001" customHeight="1" x14ac:dyDescent="0.25">
      <c r="A180" s="39" t="s">
        <v>116</v>
      </c>
      <c r="B180" s="12"/>
      <c r="C180" s="12"/>
      <c r="D180" s="12" t="s">
        <v>117</v>
      </c>
      <c r="E180" s="12"/>
      <c r="F180" s="12"/>
      <c r="G180" s="12"/>
      <c r="H180" s="60" t="s">
        <v>118</v>
      </c>
      <c r="I180" s="122">
        <f>G15</f>
        <v>4</v>
      </c>
      <c r="J180" s="50" t="s">
        <v>5</v>
      </c>
      <c r="K180" s="35"/>
      <c r="L180" s="35"/>
      <c r="M180" s="35"/>
      <c r="N180" s="25"/>
    </row>
    <row r="181" spans="1:14" s="25" customFormat="1" ht="20.100000000000001" customHeight="1" x14ac:dyDescent="0.25">
      <c r="A181" s="36" t="s">
        <v>119</v>
      </c>
      <c r="B181" s="519">
        <f>1/9.80665</f>
        <v>0.10197162129779283</v>
      </c>
      <c r="C181" s="519"/>
      <c r="D181" s="49" t="s">
        <v>120</v>
      </c>
      <c r="F181" s="12"/>
      <c r="G181" s="12"/>
      <c r="H181" s="50"/>
      <c r="I181" s="50"/>
      <c r="J181" s="35"/>
      <c r="K181" s="35"/>
      <c r="L181" s="35"/>
      <c r="M181" s="35"/>
    </row>
    <row r="182" spans="1:14" s="25" customFormat="1" ht="20.100000000000001" customHeight="1" x14ac:dyDescent="0.25">
      <c r="A182" s="39"/>
      <c r="E182" s="25" t="s">
        <v>121</v>
      </c>
      <c r="H182" s="35"/>
      <c r="I182" s="35"/>
      <c r="J182" s="35"/>
      <c r="K182" s="35"/>
      <c r="L182" s="35"/>
      <c r="M182" s="35"/>
    </row>
    <row r="183" spans="1:14" s="25" customFormat="1" ht="20.100000000000001" customHeight="1" x14ac:dyDescent="0.25">
      <c r="A183" s="39"/>
      <c r="B183" s="518" t="s">
        <v>109</v>
      </c>
      <c r="C183" s="518"/>
      <c r="D183" s="62" t="s">
        <v>103</v>
      </c>
      <c r="E183" s="62" t="s">
        <v>104</v>
      </c>
      <c r="F183" s="62" t="s">
        <v>105</v>
      </c>
      <c r="G183" s="62" t="s">
        <v>106</v>
      </c>
      <c r="H183" s="62" t="s">
        <v>107</v>
      </c>
      <c r="I183" s="62" t="s">
        <v>108</v>
      </c>
      <c r="J183" s="35"/>
      <c r="K183" s="35"/>
      <c r="L183" s="35"/>
      <c r="M183" s="35"/>
    </row>
    <row r="184" spans="1:14" s="25" customFormat="1" ht="20.100000000000001" customHeight="1" x14ac:dyDescent="0.25">
      <c r="A184" s="39"/>
      <c r="B184" s="39"/>
      <c r="C184" s="14">
        <v>1</v>
      </c>
      <c r="D184" s="125">
        <f t="shared" ref="D184:I191" si="0">C169*0.1*$I$180</f>
        <v>169.73090549333335</v>
      </c>
      <c r="E184" s="125">
        <f t="shared" si="0"/>
        <v>-421.90253651199993</v>
      </c>
      <c r="F184" s="125">
        <f t="shared" si="0"/>
        <v>-320.06399321599997</v>
      </c>
      <c r="G184" s="125">
        <f t="shared" si="0"/>
        <v>-295.81672100266667</v>
      </c>
      <c r="H184" s="125">
        <f t="shared" si="0"/>
        <v>0</v>
      </c>
      <c r="I184" s="125">
        <f t="shared" si="0"/>
        <v>0</v>
      </c>
      <c r="J184" s="35"/>
      <c r="K184" s="35"/>
      <c r="L184" s="35"/>
      <c r="M184" s="35"/>
    </row>
    <row r="185" spans="1:14" s="25" customFormat="1" ht="20.100000000000001" customHeight="1" x14ac:dyDescent="0.25">
      <c r="A185" s="39"/>
      <c r="B185" s="39"/>
      <c r="C185" s="14">
        <v>2</v>
      </c>
      <c r="D185" s="14">
        <f t="shared" si="0"/>
        <v>344.31126542933333</v>
      </c>
      <c r="E185" s="14">
        <f t="shared" si="0"/>
        <v>-247.322176576</v>
      </c>
      <c r="F185" s="14">
        <f t="shared" si="0"/>
        <v>-145.48363327999999</v>
      </c>
      <c r="G185" s="14">
        <f t="shared" si="0"/>
        <v>-121.23636106666666</v>
      </c>
      <c r="H185" s="14">
        <f t="shared" si="0"/>
        <v>0</v>
      </c>
      <c r="I185" s="14">
        <f t="shared" si="0"/>
        <v>0</v>
      </c>
      <c r="J185" s="35"/>
      <c r="K185" s="35"/>
      <c r="L185" s="35"/>
      <c r="M185" s="35"/>
    </row>
    <row r="186" spans="1:14" s="25" customFormat="1" ht="20.100000000000001" customHeight="1" x14ac:dyDescent="0.25">
      <c r="A186" s="39"/>
      <c r="B186" s="39"/>
      <c r="C186" s="14">
        <v>3</v>
      </c>
      <c r="D186" s="14">
        <f t="shared" si="0"/>
        <v>-305.51562988799998</v>
      </c>
      <c r="E186" s="14">
        <f t="shared" si="0"/>
        <v>-421.90253651199993</v>
      </c>
      <c r="F186" s="14">
        <f t="shared" si="0"/>
        <v>-266.71999434666668</v>
      </c>
      <c r="G186" s="14">
        <f t="shared" si="0"/>
        <v>-305.51562988799998</v>
      </c>
      <c r="H186" s="14">
        <f t="shared" si="0"/>
        <v>106.68799773866668</v>
      </c>
      <c r="I186" s="14">
        <f t="shared" si="0"/>
        <v>-227.92435880533333</v>
      </c>
      <c r="J186" s="35"/>
      <c r="K186" s="35"/>
      <c r="L186" s="35"/>
      <c r="M186" s="35"/>
    </row>
    <row r="187" spans="1:14" s="25" customFormat="1" ht="20.100000000000001" customHeight="1" x14ac:dyDescent="0.25">
      <c r="A187" s="39"/>
      <c r="B187" s="39"/>
      <c r="C187" s="14">
        <v>4</v>
      </c>
      <c r="D187" s="14">
        <f t="shared" si="0"/>
        <v>-130.935269952</v>
      </c>
      <c r="E187" s="14">
        <f t="shared" si="0"/>
        <v>-247.322176576</v>
      </c>
      <c r="F187" s="14">
        <f t="shared" si="0"/>
        <v>-92.139634410666659</v>
      </c>
      <c r="G187" s="14">
        <f t="shared" si="0"/>
        <v>-130.935269952</v>
      </c>
      <c r="H187" s="14">
        <f t="shared" si="0"/>
        <v>281.26835767466667</v>
      </c>
      <c r="I187" s="14">
        <f t="shared" si="0"/>
        <v>-53.343998869333326</v>
      </c>
      <c r="J187" s="35"/>
      <c r="K187" s="35"/>
      <c r="L187" s="35"/>
      <c r="M187" s="35"/>
    </row>
    <row r="188" spans="1:14" s="25" customFormat="1" ht="20.100000000000001" customHeight="1" x14ac:dyDescent="0.25">
      <c r="A188" s="39"/>
      <c r="B188" s="39"/>
      <c r="C188" s="14">
        <v>5</v>
      </c>
      <c r="D188" s="14">
        <f t="shared" si="0"/>
        <v>0</v>
      </c>
      <c r="E188" s="14">
        <f t="shared" si="0"/>
        <v>-421.90253651199993</v>
      </c>
      <c r="F188" s="14">
        <f t="shared" si="0"/>
        <v>-421.90253651199993</v>
      </c>
      <c r="G188" s="14">
        <f t="shared" si="0"/>
        <v>0</v>
      </c>
      <c r="H188" s="14">
        <f t="shared" si="0"/>
        <v>106.68799773866668</v>
      </c>
      <c r="I188" s="14">
        <f t="shared" si="0"/>
        <v>-227.92435880533333</v>
      </c>
      <c r="J188" s="35"/>
      <c r="K188" s="35"/>
      <c r="L188" s="35"/>
      <c r="M188" s="35"/>
    </row>
    <row r="189" spans="1:14" s="25" customFormat="1" ht="20.100000000000001" customHeight="1" x14ac:dyDescent="0.25">
      <c r="A189" s="39"/>
      <c r="B189" s="39"/>
      <c r="C189" s="14">
        <v>6</v>
      </c>
      <c r="D189" s="14">
        <f t="shared" si="0"/>
        <v>0</v>
      </c>
      <c r="E189" s="14">
        <f t="shared" si="0"/>
        <v>-247.322176576</v>
      </c>
      <c r="F189" s="14">
        <f t="shared" si="0"/>
        <v>-247.322176576</v>
      </c>
      <c r="G189" s="14">
        <f t="shared" si="0"/>
        <v>0</v>
      </c>
      <c r="H189" s="14">
        <f t="shared" si="0"/>
        <v>281.26835767466667</v>
      </c>
      <c r="I189" s="14">
        <f t="shared" si="0"/>
        <v>-53.343998869333326</v>
      </c>
      <c r="J189" s="35"/>
      <c r="K189" s="35"/>
      <c r="L189" s="35"/>
      <c r="M189" s="35"/>
    </row>
    <row r="190" spans="1:14" s="25" customFormat="1" ht="20.100000000000001" customHeight="1" x14ac:dyDescent="0.25">
      <c r="A190" s="39"/>
      <c r="B190" s="39"/>
      <c r="C190" s="14">
        <v>7</v>
      </c>
      <c r="D190" s="125">
        <f t="shared" si="0"/>
        <v>106.68799773866668</v>
      </c>
      <c r="E190" s="125">
        <f t="shared" si="0"/>
        <v>-421.90253651199993</v>
      </c>
      <c r="F190" s="125">
        <f t="shared" si="0"/>
        <v>-421.90253651199993</v>
      </c>
      <c r="G190" s="125">
        <f t="shared" si="0"/>
        <v>-227.92435880533333</v>
      </c>
      <c r="H190" s="125">
        <f t="shared" si="0"/>
        <v>-305.51562988799998</v>
      </c>
      <c r="I190" s="125">
        <f t="shared" si="0"/>
        <v>-305.51562988799998</v>
      </c>
      <c r="J190" s="35"/>
      <c r="K190" s="35"/>
      <c r="L190" s="35"/>
      <c r="M190" s="35"/>
    </row>
    <row r="191" spans="1:14" s="25" customFormat="1" ht="20.100000000000001" customHeight="1" x14ac:dyDescent="0.25">
      <c r="A191" s="39"/>
      <c r="B191" s="39"/>
      <c r="C191" s="14">
        <v>8</v>
      </c>
      <c r="D191" s="14">
        <f t="shared" si="0"/>
        <v>281.26835767466667</v>
      </c>
      <c r="E191" s="14">
        <f t="shared" si="0"/>
        <v>-247.322176576</v>
      </c>
      <c r="F191" s="14">
        <f t="shared" si="0"/>
        <v>-247.322176576</v>
      </c>
      <c r="G191" s="14">
        <f t="shared" si="0"/>
        <v>-53.343998869333326</v>
      </c>
      <c r="H191" s="14">
        <f t="shared" si="0"/>
        <v>-130.935269952</v>
      </c>
      <c r="I191" s="14">
        <f t="shared" si="0"/>
        <v>-130.935269952</v>
      </c>
      <c r="J191" s="35"/>
      <c r="K191" s="35"/>
      <c r="L191" s="35"/>
      <c r="M191" s="35"/>
    </row>
    <row r="192" spans="1:14" s="25" customFormat="1" ht="20.100000000000001" customHeight="1" x14ac:dyDescent="0.25">
      <c r="A192" s="39"/>
      <c r="B192" s="12"/>
      <c r="C192" s="12"/>
      <c r="D192" s="12"/>
      <c r="E192" s="12"/>
      <c r="F192" s="12"/>
      <c r="G192" s="12"/>
      <c r="H192" s="50"/>
      <c r="I192" s="50"/>
      <c r="J192" s="35"/>
      <c r="K192" s="35"/>
      <c r="L192" s="35"/>
      <c r="M192" s="35"/>
    </row>
    <row r="193" spans="1:14" s="25" customFormat="1" ht="20.100000000000001" customHeight="1" x14ac:dyDescent="0.25">
      <c r="A193" s="119"/>
      <c r="B193" s="12"/>
      <c r="C193" s="12"/>
      <c r="D193" s="12"/>
      <c r="E193" s="12"/>
      <c r="F193" s="12"/>
      <c r="G193" s="12"/>
      <c r="H193" s="50"/>
      <c r="I193" s="50"/>
      <c r="J193" s="50"/>
      <c r="K193" s="50"/>
      <c r="L193" s="50"/>
      <c r="M193" s="50"/>
      <c r="N193" s="12"/>
    </row>
    <row r="194" spans="1:14" s="25" customFormat="1" ht="20.100000000000001" customHeight="1" x14ac:dyDescent="0.25">
      <c r="A194" s="119" t="s">
        <v>347</v>
      </c>
      <c r="B194" s="12"/>
      <c r="C194" s="12"/>
      <c r="D194" s="12"/>
      <c r="E194" s="12"/>
      <c r="F194" s="12"/>
      <c r="G194" s="126"/>
      <c r="H194" s="50"/>
      <c r="I194" s="50"/>
      <c r="J194" s="50"/>
      <c r="K194" s="50"/>
      <c r="L194" s="50"/>
      <c r="M194" s="50"/>
      <c r="N194" s="127"/>
    </row>
    <row r="195" spans="1:14" s="25" customFormat="1" ht="20.100000000000001" customHeight="1" x14ac:dyDescent="0.25">
      <c r="A195" s="128"/>
      <c r="B195" s="129"/>
      <c r="C195" s="12"/>
      <c r="D195" s="12"/>
      <c r="E195" s="12"/>
      <c r="F195" s="518" t="s">
        <v>109</v>
      </c>
      <c r="G195" s="518"/>
      <c r="H195" s="133" t="s">
        <v>341</v>
      </c>
      <c r="I195" s="134" t="s">
        <v>342</v>
      </c>
      <c r="J195" s="133" t="s">
        <v>343</v>
      </c>
      <c r="K195" s="133" t="s">
        <v>344</v>
      </c>
      <c r="L195" s="50"/>
      <c r="M195" s="50"/>
      <c r="N195" s="12"/>
    </row>
    <row r="196" spans="1:14" s="25" customFormat="1" ht="20.100000000000001" customHeight="1" x14ac:dyDescent="0.25">
      <c r="A196" s="119" t="s">
        <v>345</v>
      </c>
      <c r="B196" s="12"/>
      <c r="C196" s="12"/>
      <c r="D196" s="12"/>
      <c r="E196" s="12"/>
      <c r="F196" s="39"/>
      <c r="G196" s="14">
        <v>1</v>
      </c>
      <c r="H196" s="15">
        <f>E184*$F$22</f>
        <v>-902.67425588809817</v>
      </c>
      <c r="I196" s="15">
        <f>E184*$F$22/2</f>
        <v>-451.33712794404909</v>
      </c>
      <c r="J196" s="15">
        <f>F184*$F$22</f>
        <v>-684.7873665357987</v>
      </c>
      <c r="K196" s="15">
        <f>F184*$F$22/2</f>
        <v>-342.39368326789935</v>
      </c>
      <c r="L196" s="50"/>
      <c r="M196" s="50"/>
      <c r="N196" s="12"/>
    </row>
    <row r="197" spans="1:14" s="25" customFormat="1" ht="20.100000000000001" customHeight="1" x14ac:dyDescent="0.25">
      <c r="A197" s="119" t="s">
        <v>346</v>
      </c>
      <c r="B197" s="12"/>
      <c r="C197" s="12"/>
      <c r="D197" s="12"/>
      <c r="E197" s="12"/>
      <c r="F197" s="39"/>
      <c r="G197" s="14">
        <v>2</v>
      </c>
      <c r="H197" s="15">
        <f t="shared" ref="H197:H203" si="1">E185*$F$22</f>
        <v>-529.15387414129896</v>
      </c>
      <c r="I197" s="15">
        <f t="shared" ref="I197:I203" si="2">E185*$F$22/2</f>
        <v>-264.57693707064948</v>
      </c>
      <c r="J197" s="15">
        <f t="shared" ref="J197:J203" si="3">F185*$F$22</f>
        <v>-311.26698478899937</v>
      </c>
      <c r="K197" s="15">
        <f t="shared" ref="K197:K203" si="4">F185*$F$22/2</f>
        <v>-155.63349239449968</v>
      </c>
      <c r="L197" s="50"/>
      <c r="M197" s="50"/>
      <c r="N197" s="127"/>
    </row>
    <row r="198" spans="1:14" s="25" customFormat="1" ht="20.100000000000001" customHeight="1" x14ac:dyDescent="0.25">
      <c r="A198" s="119" t="s">
        <v>348</v>
      </c>
      <c r="B198" s="12"/>
      <c r="C198" s="12"/>
      <c r="D198" s="12"/>
      <c r="E198" s="12"/>
      <c r="F198" s="39"/>
      <c r="G198" s="14">
        <v>3</v>
      </c>
      <c r="H198" s="15">
        <f t="shared" si="1"/>
        <v>-902.67425588809817</v>
      </c>
      <c r="I198" s="15">
        <f t="shared" si="2"/>
        <v>-451.33712794404909</v>
      </c>
      <c r="J198" s="15">
        <f t="shared" si="3"/>
        <v>-570.6561387798323</v>
      </c>
      <c r="K198" s="15">
        <f t="shared" si="4"/>
        <v>-285.32806938991615</v>
      </c>
      <c r="L198" s="50"/>
      <c r="M198" s="50"/>
      <c r="N198" s="12"/>
    </row>
    <row r="199" spans="1:14" s="25" customFormat="1" ht="20.100000000000001" customHeight="1" x14ac:dyDescent="0.25">
      <c r="A199" s="119" t="s">
        <v>349</v>
      </c>
      <c r="B199" s="12"/>
      <c r="C199" s="12"/>
      <c r="D199" s="12"/>
      <c r="E199" s="12"/>
      <c r="F199" s="39"/>
      <c r="G199" s="14">
        <v>4</v>
      </c>
      <c r="H199" s="15">
        <f t="shared" si="1"/>
        <v>-529.15387414129896</v>
      </c>
      <c r="I199" s="15">
        <f t="shared" si="2"/>
        <v>-264.57693707064948</v>
      </c>
      <c r="J199" s="15">
        <f t="shared" si="3"/>
        <v>-197.13575703303295</v>
      </c>
      <c r="K199" s="15">
        <f t="shared" si="4"/>
        <v>-98.567878516516473</v>
      </c>
      <c r="L199" s="50"/>
      <c r="M199" s="50"/>
      <c r="N199" s="12"/>
    </row>
    <row r="200" spans="1:14" s="25" customFormat="1" ht="20.100000000000001" customHeight="1" x14ac:dyDescent="0.25">
      <c r="A200" s="128"/>
      <c r="B200" s="12"/>
      <c r="C200" s="12"/>
      <c r="D200" s="12"/>
      <c r="E200" s="12"/>
      <c r="F200" s="39"/>
      <c r="G200" s="14">
        <v>5</v>
      </c>
      <c r="H200" s="15">
        <f t="shared" si="1"/>
        <v>-902.67425588809817</v>
      </c>
      <c r="I200" s="15">
        <f t="shared" si="2"/>
        <v>-451.33712794404909</v>
      </c>
      <c r="J200" s="15">
        <f t="shared" si="3"/>
        <v>-902.67425588809817</v>
      </c>
      <c r="K200" s="15">
        <f t="shared" si="4"/>
        <v>-451.33712794404909</v>
      </c>
      <c r="L200" s="50"/>
      <c r="M200" s="50"/>
      <c r="N200" s="12"/>
    </row>
    <row r="201" spans="1:14" s="25" customFormat="1" ht="20.100000000000001" customHeight="1" x14ac:dyDescent="0.25">
      <c r="A201" s="25" t="s">
        <v>359</v>
      </c>
      <c r="B201" s="12"/>
      <c r="C201" s="12"/>
      <c r="D201" s="12"/>
      <c r="E201" s="12"/>
      <c r="F201" s="39"/>
      <c r="G201" s="14">
        <v>6</v>
      </c>
      <c r="H201" s="15">
        <f t="shared" si="1"/>
        <v>-529.15387414129896</v>
      </c>
      <c r="I201" s="15">
        <f t="shared" si="2"/>
        <v>-264.57693707064948</v>
      </c>
      <c r="J201" s="15">
        <f t="shared" si="3"/>
        <v>-529.15387414129896</v>
      </c>
      <c r="K201" s="15">
        <f t="shared" si="4"/>
        <v>-264.57693707064948</v>
      </c>
      <c r="L201" s="50"/>
      <c r="M201" s="50"/>
      <c r="N201" s="12"/>
    </row>
    <row r="202" spans="1:14" s="25" customFormat="1" ht="20.100000000000001" customHeight="1" x14ac:dyDescent="0.25">
      <c r="A202" s="25" t="s">
        <v>360</v>
      </c>
      <c r="B202" s="12"/>
      <c r="F202" s="39"/>
      <c r="G202" s="14">
        <v>7</v>
      </c>
      <c r="H202" s="15">
        <f t="shared" si="1"/>
        <v>-902.67425588809817</v>
      </c>
      <c r="I202" s="15">
        <f t="shared" si="2"/>
        <v>-451.33712794404909</v>
      </c>
      <c r="J202" s="15">
        <f t="shared" si="3"/>
        <v>-902.67425588809817</v>
      </c>
      <c r="K202" s="15">
        <f t="shared" si="4"/>
        <v>-451.33712794404909</v>
      </c>
      <c r="L202" s="35"/>
      <c r="M202" s="50"/>
    </row>
    <row r="203" spans="1:14" s="25" customFormat="1" ht="20.100000000000001" customHeight="1" x14ac:dyDescent="0.25">
      <c r="B203" s="12"/>
      <c r="F203" s="39"/>
      <c r="G203" s="14">
        <v>8</v>
      </c>
      <c r="H203" s="15">
        <f t="shared" si="1"/>
        <v>-529.15387414129896</v>
      </c>
      <c r="I203" s="15">
        <f t="shared" si="2"/>
        <v>-264.57693707064948</v>
      </c>
      <c r="J203" s="15">
        <f t="shared" si="3"/>
        <v>-529.15387414129896</v>
      </c>
      <c r="K203" s="15">
        <f t="shared" si="4"/>
        <v>-264.57693707064948</v>
      </c>
      <c r="L203" s="35"/>
      <c r="M203" s="50"/>
    </row>
    <row r="204" spans="1:14" s="25" customFormat="1" ht="20.100000000000001" customHeight="1" x14ac:dyDescent="0.25">
      <c r="A204" s="25" t="s">
        <v>358</v>
      </c>
      <c r="B204" s="12"/>
      <c r="E204" s="130"/>
      <c r="H204" s="50"/>
      <c r="I204" s="50"/>
      <c r="J204" s="50"/>
      <c r="K204" s="50"/>
      <c r="L204" s="35"/>
      <c r="M204" s="50"/>
    </row>
    <row r="205" spans="1:14" s="25" customFormat="1" ht="20.100000000000001" customHeight="1" x14ac:dyDescent="0.25">
      <c r="C205" s="518" t="s">
        <v>109</v>
      </c>
      <c r="D205" s="518"/>
      <c r="E205" s="133" t="s">
        <v>350</v>
      </c>
      <c r="F205" s="134" t="s">
        <v>351</v>
      </c>
      <c r="G205" s="133" t="s">
        <v>352</v>
      </c>
      <c r="H205" s="134" t="s">
        <v>353</v>
      </c>
      <c r="I205" s="133" t="s">
        <v>354</v>
      </c>
      <c r="J205" s="133" t="s">
        <v>355</v>
      </c>
      <c r="K205" s="133" t="s">
        <v>356</v>
      </c>
      <c r="L205" s="133" t="s">
        <v>357</v>
      </c>
      <c r="M205" s="50"/>
    </row>
    <row r="206" spans="1:14" s="25" customFormat="1" ht="20.100000000000001" customHeight="1" x14ac:dyDescent="0.25">
      <c r="D206" s="14">
        <v>1</v>
      </c>
      <c r="E206" s="135">
        <f>H196*$G$12/SQRT(($G$12^2)+($F$6/2)^2)</f>
        <v>-320.64592774912001</v>
      </c>
      <c r="F206" s="14">
        <f>E206/2</f>
        <v>-160.32296387456</v>
      </c>
      <c r="G206" s="14">
        <f t="shared" ref="G206:G213" si="5">H196*($F$6/2)/SQRT(($G$12^2)+($F$6/2)^2)</f>
        <v>-843.80507302399997</v>
      </c>
      <c r="H206" s="15">
        <f>G206/2</f>
        <v>-421.90253651199998</v>
      </c>
      <c r="I206" s="14">
        <f>J196*$G$12/SQRT(($G$12^2)+($F$6/2)^2)</f>
        <v>-243.24863484415999</v>
      </c>
      <c r="J206" s="14">
        <f>I206/2</f>
        <v>-121.62431742208</v>
      </c>
      <c r="K206" s="15">
        <f>J196*($F$6/2)/SQRT(($G$12^2)+($F$6/2)^2)</f>
        <v>-640.12798643200006</v>
      </c>
      <c r="L206" s="15">
        <f>K206/2</f>
        <v>-320.06399321600003</v>
      </c>
      <c r="M206" s="50"/>
    </row>
    <row r="207" spans="1:14" s="25" customFormat="1" ht="20.100000000000001" customHeight="1" x14ac:dyDescent="0.25">
      <c r="A207" s="39"/>
      <c r="B207" s="131"/>
      <c r="C207" s="12"/>
      <c r="D207" s="14">
        <v>2</v>
      </c>
      <c r="E207" s="135">
        <f t="shared" ref="E207:E213" si="6">H197*$G$12/SQRT(($G$12^2)+($F$6/2)^2)</f>
        <v>-187.96485419775999</v>
      </c>
      <c r="F207" s="14">
        <f t="shared" ref="F207:F213" si="7">E207/2</f>
        <v>-93.982427098879995</v>
      </c>
      <c r="G207" s="14">
        <f t="shared" si="5"/>
        <v>-494.64435315199995</v>
      </c>
      <c r="H207" s="15">
        <f t="shared" ref="H207:H213" si="8">G207/2</f>
        <v>-247.32217657599998</v>
      </c>
      <c r="I207" s="14">
        <f t="shared" ref="I207:I213" si="9">J197*$G$12/SQRT(($G$12^2)+($F$6/2)^2)</f>
        <v>-110.56756129279999</v>
      </c>
      <c r="J207" s="14">
        <f t="shared" ref="J207:J213" si="10">I207/2</f>
        <v>-55.283780646399997</v>
      </c>
      <c r="K207" s="15">
        <f t="shared" ref="K207:K213" si="11">J197*($F$6/2)/SQRT(($G$12^2)+($F$6/2)^2)</f>
        <v>-290.96726655999998</v>
      </c>
      <c r="L207" s="15">
        <f t="shared" ref="L207:L213" si="12">K207/2</f>
        <v>-145.48363327999999</v>
      </c>
      <c r="M207" s="35"/>
    </row>
    <row r="208" spans="1:14" s="25" customFormat="1" ht="20.100000000000001" customHeight="1" x14ac:dyDescent="0.25">
      <c r="A208" s="39"/>
      <c r="B208" s="131"/>
      <c r="C208" s="12"/>
      <c r="D208" s="14">
        <v>3</v>
      </c>
      <c r="E208" s="135">
        <f t="shared" si="6"/>
        <v>-320.64592774912001</v>
      </c>
      <c r="F208" s="14">
        <f t="shared" si="7"/>
        <v>-160.32296387456</v>
      </c>
      <c r="G208" s="14">
        <f t="shared" si="5"/>
        <v>-843.80507302399997</v>
      </c>
      <c r="H208" s="15">
        <f t="shared" si="8"/>
        <v>-421.90253651199998</v>
      </c>
      <c r="I208" s="14">
        <f t="shared" si="9"/>
        <v>-202.70719570346671</v>
      </c>
      <c r="J208" s="14">
        <f t="shared" si="10"/>
        <v>-101.35359785173335</v>
      </c>
      <c r="K208" s="15">
        <f t="shared" si="11"/>
        <v>-533.43998869333348</v>
      </c>
      <c r="L208" s="15">
        <f t="shared" si="12"/>
        <v>-266.71999434666674</v>
      </c>
      <c r="M208" s="35"/>
    </row>
    <row r="209" spans="1:15" s="25" customFormat="1" ht="20.100000000000001" customHeight="1" x14ac:dyDescent="0.25">
      <c r="A209" s="39"/>
      <c r="B209" s="131"/>
      <c r="C209" s="12"/>
      <c r="D209" s="14">
        <v>4</v>
      </c>
      <c r="E209" s="135">
        <f t="shared" si="6"/>
        <v>-187.96485419775999</v>
      </c>
      <c r="F209" s="14">
        <f t="shared" si="7"/>
        <v>-93.982427098879995</v>
      </c>
      <c r="G209" s="14">
        <f t="shared" si="5"/>
        <v>-494.64435315199995</v>
      </c>
      <c r="H209" s="15">
        <f t="shared" si="8"/>
        <v>-247.32217657599998</v>
      </c>
      <c r="I209" s="14">
        <f t="shared" si="9"/>
        <v>-70.026122152106666</v>
      </c>
      <c r="J209" s="14">
        <f t="shared" si="10"/>
        <v>-35.013061076053333</v>
      </c>
      <c r="K209" s="15">
        <f t="shared" si="11"/>
        <v>-184.27926882133335</v>
      </c>
      <c r="L209" s="15">
        <f t="shared" si="12"/>
        <v>-92.139634410666673</v>
      </c>
      <c r="M209" s="35"/>
    </row>
    <row r="210" spans="1:15" s="25" customFormat="1" ht="20.100000000000001" customHeight="1" x14ac:dyDescent="0.25">
      <c r="A210" s="39"/>
      <c r="B210" s="131"/>
      <c r="C210" s="12"/>
      <c r="D210" s="14">
        <v>5</v>
      </c>
      <c r="E210" s="135">
        <f t="shared" si="6"/>
        <v>-320.64592774912001</v>
      </c>
      <c r="F210" s="14">
        <f t="shared" si="7"/>
        <v>-160.32296387456</v>
      </c>
      <c r="G210" s="14">
        <f t="shared" si="5"/>
        <v>-843.80507302399997</v>
      </c>
      <c r="H210" s="15">
        <f t="shared" si="8"/>
        <v>-421.90253651199998</v>
      </c>
      <c r="I210" s="14">
        <f t="shared" si="9"/>
        <v>-320.64592774912001</v>
      </c>
      <c r="J210" s="14">
        <f t="shared" si="10"/>
        <v>-160.32296387456</v>
      </c>
      <c r="K210" s="15">
        <f t="shared" si="11"/>
        <v>-843.80507302399997</v>
      </c>
      <c r="L210" s="15">
        <f t="shared" si="12"/>
        <v>-421.90253651199998</v>
      </c>
      <c r="M210" s="35"/>
    </row>
    <row r="211" spans="1:15" s="25" customFormat="1" ht="20.100000000000001" customHeight="1" x14ac:dyDescent="0.25">
      <c r="A211" s="39"/>
      <c r="B211" s="131"/>
      <c r="C211" s="12"/>
      <c r="D211" s="14">
        <v>6</v>
      </c>
      <c r="E211" s="135">
        <f t="shared" si="6"/>
        <v>-187.96485419775999</v>
      </c>
      <c r="F211" s="14">
        <f t="shared" si="7"/>
        <v>-93.982427098879995</v>
      </c>
      <c r="G211" s="14">
        <f t="shared" si="5"/>
        <v>-494.64435315199995</v>
      </c>
      <c r="H211" s="15">
        <f t="shared" si="8"/>
        <v>-247.32217657599998</v>
      </c>
      <c r="I211" s="14">
        <f t="shared" si="9"/>
        <v>-187.96485419775999</v>
      </c>
      <c r="J211" s="14">
        <f t="shared" si="10"/>
        <v>-93.982427098879995</v>
      </c>
      <c r="K211" s="15">
        <f t="shared" si="11"/>
        <v>-494.64435315199995</v>
      </c>
      <c r="L211" s="15">
        <f t="shared" si="12"/>
        <v>-247.32217657599998</v>
      </c>
      <c r="M211" s="35"/>
    </row>
    <row r="212" spans="1:15" s="25" customFormat="1" ht="20.100000000000001" customHeight="1" x14ac:dyDescent="0.25">
      <c r="A212" s="39"/>
      <c r="B212" s="131"/>
      <c r="C212" s="12"/>
      <c r="D212" s="14">
        <v>7</v>
      </c>
      <c r="E212" s="135">
        <f t="shared" si="6"/>
        <v>-320.64592774912001</v>
      </c>
      <c r="F212" s="14">
        <f t="shared" si="7"/>
        <v>-160.32296387456</v>
      </c>
      <c r="G212" s="14">
        <f t="shared" si="5"/>
        <v>-843.80507302399997</v>
      </c>
      <c r="H212" s="15">
        <f t="shared" si="8"/>
        <v>-421.90253651199998</v>
      </c>
      <c r="I212" s="14">
        <f t="shared" si="9"/>
        <v>-320.64592774912001</v>
      </c>
      <c r="J212" s="14">
        <f t="shared" si="10"/>
        <v>-160.32296387456</v>
      </c>
      <c r="K212" s="15">
        <f t="shared" si="11"/>
        <v>-843.80507302399997</v>
      </c>
      <c r="L212" s="15">
        <f t="shared" si="12"/>
        <v>-421.90253651199998</v>
      </c>
      <c r="M212" s="35"/>
    </row>
    <row r="213" spans="1:15" s="25" customFormat="1" ht="20.100000000000001" customHeight="1" x14ac:dyDescent="0.25">
      <c r="A213" s="39"/>
      <c r="B213" s="130"/>
      <c r="D213" s="14">
        <v>8</v>
      </c>
      <c r="E213" s="135">
        <f t="shared" si="6"/>
        <v>-187.96485419775999</v>
      </c>
      <c r="F213" s="14">
        <f t="shared" si="7"/>
        <v>-93.982427098879995</v>
      </c>
      <c r="G213" s="14">
        <f t="shared" si="5"/>
        <v>-494.64435315199995</v>
      </c>
      <c r="H213" s="15">
        <f t="shared" si="8"/>
        <v>-247.32217657599998</v>
      </c>
      <c r="I213" s="14">
        <f t="shared" si="9"/>
        <v>-187.96485419775999</v>
      </c>
      <c r="J213" s="14">
        <f t="shared" si="10"/>
        <v>-93.982427098879995</v>
      </c>
      <c r="K213" s="15">
        <f t="shared" si="11"/>
        <v>-494.64435315199995</v>
      </c>
      <c r="L213" s="15">
        <f t="shared" si="12"/>
        <v>-247.32217657599998</v>
      </c>
      <c r="M213" s="35"/>
    </row>
    <row r="214" spans="1:15" s="25" customFormat="1" ht="20.100000000000001" customHeight="1" x14ac:dyDescent="0.25">
      <c r="A214" s="39"/>
      <c r="B214" s="130"/>
      <c r="H214" s="35"/>
      <c r="I214" s="35"/>
      <c r="J214" s="35"/>
      <c r="K214" s="35"/>
      <c r="L214" s="35"/>
      <c r="M214" s="35"/>
    </row>
    <row r="215" spans="1:15" s="25" customFormat="1" ht="20.100000000000001" customHeight="1" x14ac:dyDescent="0.25">
      <c r="A215" s="39"/>
      <c r="B215" s="130"/>
      <c r="H215" s="35"/>
      <c r="I215" s="35"/>
      <c r="J215" s="35"/>
      <c r="K215" s="35"/>
      <c r="L215" s="35"/>
      <c r="M215" s="35"/>
    </row>
    <row r="216" spans="1:15" s="25" customFormat="1" ht="20.100000000000001" customHeight="1" x14ac:dyDescent="0.25">
      <c r="A216" s="39" t="s">
        <v>362</v>
      </c>
      <c r="H216" s="35"/>
      <c r="I216" s="35"/>
      <c r="J216" s="35"/>
      <c r="K216" s="35"/>
      <c r="L216" s="35"/>
      <c r="M216" s="35"/>
    </row>
    <row r="217" spans="1:15" ht="20.100000000000001" customHeight="1" x14ac:dyDescent="0.25">
      <c r="A217" s="39" t="s">
        <v>361</v>
      </c>
      <c r="B217" s="25"/>
      <c r="C217" s="25"/>
      <c r="D217" s="25"/>
      <c r="E217" s="25"/>
      <c r="F217" s="25"/>
      <c r="G217" s="25"/>
      <c r="H217" s="35"/>
      <c r="I217" s="35"/>
      <c r="J217" s="35"/>
      <c r="K217" s="35"/>
      <c r="L217" s="35"/>
      <c r="M217" s="35"/>
      <c r="N217" s="25"/>
    </row>
    <row r="218" spans="1:15" ht="20.100000000000001" customHeight="1" x14ac:dyDescent="0.25">
      <c r="A218" s="136" t="s">
        <v>93</v>
      </c>
      <c r="B218" s="136">
        <v>1</v>
      </c>
      <c r="C218" s="136">
        <v>2</v>
      </c>
      <c r="D218" s="136">
        <v>3</v>
      </c>
      <c r="E218" s="136">
        <v>4</v>
      </c>
      <c r="F218" s="136">
        <v>5</v>
      </c>
      <c r="G218" s="136">
        <v>6</v>
      </c>
      <c r="H218" s="137">
        <v>7</v>
      </c>
      <c r="I218" s="137">
        <v>8</v>
      </c>
      <c r="J218" s="137">
        <v>9</v>
      </c>
      <c r="K218" s="137">
        <v>10</v>
      </c>
      <c r="L218" s="137">
        <v>11</v>
      </c>
      <c r="M218" s="137">
        <v>12</v>
      </c>
      <c r="N218" s="136">
        <v>13</v>
      </c>
    </row>
    <row r="219" spans="1:15" ht="20.100000000000001" customHeight="1" x14ac:dyDescent="0.25">
      <c r="A219" s="136" t="s">
        <v>94</v>
      </c>
      <c r="B219" s="138">
        <v>0</v>
      </c>
      <c r="C219" s="138">
        <v>0</v>
      </c>
      <c r="D219" s="138">
        <v>0</v>
      </c>
      <c r="E219" s="138">
        <v>2</v>
      </c>
      <c r="F219" s="138">
        <v>2</v>
      </c>
      <c r="G219" s="138">
        <v>4</v>
      </c>
      <c r="H219" s="139">
        <v>4</v>
      </c>
      <c r="I219" s="139">
        <v>6</v>
      </c>
      <c r="J219" s="139">
        <v>6</v>
      </c>
      <c r="K219" s="139">
        <v>8</v>
      </c>
      <c r="L219" s="139">
        <v>8</v>
      </c>
      <c r="M219" s="140">
        <v>10</v>
      </c>
      <c r="N219" s="141">
        <v>10</v>
      </c>
      <c r="O219" s="5"/>
    </row>
    <row r="220" spans="1:15" ht="20.100000000000001" customHeight="1" thickBot="1" x14ac:dyDescent="0.3">
      <c r="A220" s="142" t="s">
        <v>95</v>
      </c>
      <c r="B220" s="143">
        <v>0</v>
      </c>
      <c r="C220" s="144">
        <f>$G$10+(C219*($G$12/($F$6/2)))</f>
        <v>5</v>
      </c>
      <c r="D220" s="144">
        <f>$G$10+G11+(D219*($G$12/($F$6/2)))</f>
        <v>5.8</v>
      </c>
      <c r="E220" s="144">
        <f>$G$10+(E219*($G$12/($F$6/2)))</f>
        <v>5.76</v>
      </c>
      <c r="F220" s="144">
        <f>$G$10+G11+(F219*($G$12/($F$6/2)))</f>
        <v>6.56</v>
      </c>
      <c r="G220" s="144">
        <f>$G$10+(G219*($G$12/($F$6/2)))</f>
        <v>6.52</v>
      </c>
      <c r="H220" s="145">
        <f>$G$10+G11+(H219*($G$12/($F$6/2)))</f>
        <v>7.32</v>
      </c>
      <c r="I220" s="145">
        <f>$G$10+(I219*($G$12/($F$6/2)))</f>
        <v>7.28</v>
      </c>
      <c r="J220" s="145">
        <f>$G$10+G11+(J219*($G$12/($F$6/2)))</f>
        <v>8.08</v>
      </c>
      <c r="K220" s="145">
        <f>$G$10+(K219*($G$12/($F$6/2)))</f>
        <v>8.0399999999999991</v>
      </c>
      <c r="L220" s="145">
        <f>$G$10+G11+(L219*($G$12/($F$6/2)))</f>
        <v>8.84</v>
      </c>
      <c r="M220" s="146">
        <f>$G$10+(M219*($G$12/($F$6/2)))</f>
        <v>8.8000000000000007</v>
      </c>
      <c r="N220" s="147">
        <f>$G$10+G11+(N219*($G$12/($F$6/2)))</f>
        <v>9.6</v>
      </c>
    </row>
    <row r="221" spans="1:15" ht="20.100000000000001" customHeight="1" x14ac:dyDescent="0.25">
      <c r="A221" s="148" t="s">
        <v>93</v>
      </c>
      <c r="B221" s="149">
        <v>14</v>
      </c>
      <c r="C221" s="149">
        <v>15</v>
      </c>
      <c r="D221" s="149">
        <v>16</v>
      </c>
      <c r="E221" s="149">
        <v>17</v>
      </c>
      <c r="F221" s="149">
        <v>18</v>
      </c>
      <c r="G221" s="149">
        <v>19</v>
      </c>
      <c r="H221" s="150">
        <v>20</v>
      </c>
      <c r="I221" s="150">
        <v>21</v>
      </c>
      <c r="J221" s="150">
        <v>22</v>
      </c>
      <c r="K221" s="150">
        <v>23</v>
      </c>
      <c r="L221" s="151">
        <v>24</v>
      </c>
      <c r="M221" s="35"/>
      <c r="N221" s="25"/>
    </row>
    <row r="222" spans="1:15" ht="20.100000000000001" customHeight="1" x14ac:dyDescent="0.25">
      <c r="A222" s="152" t="s">
        <v>94</v>
      </c>
      <c r="B222" s="141">
        <v>12</v>
      </c>
      <c r="C222" s="141">
        <v>12</v>
      </c>
      <c r="D222" s="141">
        <v>14</v>
      </c>
      <c r="E222" s="141">
        <v>14</v>
      </c>
      <c r="F222" s="153">
        <v>16</v>
      </c>
      <c r="G222" s="141">
        <v>16</v>
      </c>
      <c r="H222" s="154">
        <v>18</v>
      </c>
      <c r="I222" s="154">
        <v>18</v>
      </c>
      <c r="J222" s="154">
        <v>20</v>
      </c>
      <c r="K222" s="154">
        <v>20</v>
      </c>
      <c r="L222" s="155">
        <v>20</v>
      </c>
      <c r="M222" s="35"/>
      <c r="N222" s="25"/>
    </row>
    <row r="223" spans="1:15" ht="20.100000000000001" customHeight="1" thickBot="1" x14ac:dyDescent="0.3">
      <c r="A223" s="156" t="s">
        <v>95</v>
      </c>
      <c r="B223" s="157">
        <f>$G$10+(B222-(2*E219))*($G$12/($F$6/2))</f>
        <v>8.0399999999999991</v>
      </c>
      <c r="C223" s="157">
        <f>$G$10+G11+(C222-(2*F219))*($G$12/($F$6/2))</f>
        <v>8.84</v>
      </c>
      <c r="D223" s="157">
        <f>$G$10+(D222-(2*G219))*($G$12/($F$6/2))</f>
        <v>7.28</v>
      </c>
      <c r="E223" s="157">
        <f>$G$10+G11+(E222-(2*H219))*($G$12/($F$6/2))</f>
        <v>8.08</v>
      </c>
      <c r="F223" s="157">
        <f>$G$10+(F222-(2*I219))*($G$12/($F$6/2))</f>
        <v>6.52</v>
      </c>
      <c r="G223" s="157">
        <f>$G$10+G11+(G222-(2*J219))*($G$12/($F$6/2))</f>
        <v>7.32</v>
      </c>
      <c r="H223" s="158">
        <f>$G$10+(H222-(2*K219))*($G$12/($F$6/2))</f>
        <v>5.76</v>
      </c>
      <c r="I223" s="158">
        <f>$G$10+G11+(I222-(2*L219))*($G$12/($F$6/2))</f>
        <v>6.56</v>
      </c>
      <c r="J223" s="158">
        <f>$G$10+(J222-(2*M219))*($G$12/($F$6/2))</f>
        <v>5</v>
      </c>
      <c r="K223" s="158">
        <f>$G$10+G11+(K222-(2*N219))*($G$12/($F$6/2))</f>
        <v>5.8</v>
      </c>
      <c r="L223" s="90">
        <v>0</v>
      </c>
      <c r="M223" s="35"/>
      <c r="N223" s="25"/>
    </row>
    <row r="224" spans="1:15" ht="20.100000000000001" customHeight="1" thickBot="1" x14ac:dyDescent="0.3">
      <c r="A224" s="39" t="s">
        <v>96</v>
      </c>
      <c r="B224" s="25"/>
      <c r="C224" s="25"/>
      <c r="D224" s="25"/>
      <c r="E224" s="25"/>
      <c r="F224" s="25"/>
      <c r="G224" s="25"/>
      <c r="H224" s="35"/>
      <c r="I224" s="35"/>
      <c r="J224" s="35"/>
      <c r="K224" s="35"/>
      <c r="L224" s="35"/>
      <c r="M224" s="35"/>
      <c r="N224" s="25"/>
    </row>
    <row r="225" spans="1:14" s="3" customFormat="1" ht="20.100000000000001" customHeight="1" x14ac:dyDescent="0.25">
      <c r="A225" s="159" t="s">
        <v>114</v>
      </c>
      <c r="B225" s="160"/>
      <c r="C225" s="161"/>
      <c r="D225" s="162" t="s">
        <v>99</v>
      </c>
      <c r="E225" s="102"/>
      <c r="F225" s="161"/>
      <c r="G225" s="163" t="s">
        <v>98</v>
      </c>
      <c r="H225" s="164"/>
      <c r="I225" s="165"/>
      <c r="J225" s="159" t="s">
        <v>97</v>
      </c>
      <c r="K225" s="160"/>
      <c r="L225" s="161"/>
      <c r="M225" s="39"/>
      <c r="N225" s="39"/>
    </row>
    <row r="226" spans="1:14" s="3" customFormat="1" ht="20.100000000000001" customHeight="1" x14ac:dyDescent="0.25">
      <c r="A226" s="166" t="s">
        <v>93</v>
      </c>
      <c r="B226" s="167" t="s">
        <v>111</v>
      </c>
      <c r="C226" s="168" t="s">
        <v>112</v>
      </c>
      <c r="D226" s="166" t="s">
        <v>93</v>
      </c>
      <c r="E226" s="62" t="s">
        <v>111</v>
      </c>
      <c r="F226" s="169" t="s">
        <v>112</v>
      </c>
      <c r="G226" s="166" t="s">
        <v>93</v>
      </c>
      <c r="H226" s="62" t="s">
        <v>111</v>
      </c>
      <c r="I226" s="169" t="s">
        <v>112</v>
      </c>
      <c r="J226" s="166" t="s">
        <v>93</v>
      </c>
      <c r="K226" s="62" t="s">
        <v>111</v>
      </c>
      <c r="L226" s="169" t="s">
        <v>112</v>
      </c>
      <c r="M226" s="39"/>
      <c r="N226" s="39"/>
    </row>
    <row r="227" spans="1:14" s="3" customFormat="1" ht="20.100000000000001" customHeight="1" x14ac:dyDescent="0.25">
      <c r="A227" s="166">
        <v>1</v>
      </c>
      <c r="B227" s="170">
        <v>1</v>
      </c>
      <c r="C227" s="171">
        <v>2</v>
      </c>
      <c r="D227" s="166">
        <v>13</v>
      </c>
      <c r="E227" s="170">
        <v>3</v>
      </c>
      <c r="F227" s="171">
        <v>4</v>
      </c>
      <c r="G227" s="172">
        <v>23</v>
      </c>
      <c r="H227" s="133">
        <v>2</v>
      </c>
      <c r="I227" s="173">
        <v>4</v>
      </c>
      <c r="J227" s="166">
        <v>33</v>
      </c>
      <c r="K227" s="62">
        <v>4</v>
      </c>
      <c r="L227" s="169">
        <v>5</v>
      </c>
      <c r="M227" s="39"/>
      <c r="N227" s="39"/>
    </row>
    <row r="228" spans="1:14" s="3" customFormat="1" ht="20.100000000000001" customHeight="1" thickBot="1" x14ac:dyDescent="0.3">
      <c r="A228" s="174">
        <v>2</v>
      </c>
      <c r="B228" s="175">
        <v>2</v>
      </c>
      <c r="C228" s="176">
        <v>3</v>
      </c>
      <c r="D228" s="166">
        <v>14</v>
      </c>
      <c r="E228" s="170">
        <v>5</v>
      </c>
      <c r="F228" s="171">
        <v>6</v>
      </c>
      <c r="G228" s="172">
        <v>24</v>
      </c>
      <c r="H228" s="133">
        <v>4</v>
      </c>
      <c r="I228" s="173">
        <v>6</v>
      </c>
      <c r="J228" s="166">
        <v>34</v>
      </c>
      <c r="K228" s="62">
        <v>6</v>
      </c>
      <c r="L228" s="169">
        <v>7</v>
      </c>
      <c r="M228" s="39"/>
      <c r="N228" s="39"/>
    </row>
    <row r="229" spans="1:14" s="3" customFormat="1" ht="20.100000000000001" customHeight="1" x14ac:dyDescent="0.25">
      <c r="A229" s="159" t="s">
        <v>100</v>
      </c>
      <c r="B229" s="160"/>
      <c r="C229" s="161"/>
      <c r="D229" s="166">
        <v>15</v>
      </c>
      <c r="E229" s="170">
        <v>7</v>
      </c>
      <c r="F229" s="171">
        <v>8</v>
      </c>
      <c r="G229" s="172">
        <v>25</v>
      </c>
      <c r="H229" s="133">
        <v>6</v>
      </c>
      <c r="I229" s="173">
        <v>8</v>
      </c>
      <c r="J229" s="166">
        <v>35</v>
      </c>
      <c r="K229" s="62">
        <v>8</v>
      </c>
      <c r="L229" s="169">
        <v>9</v>
      </c>
      <c r="M229" s="39"/>
      <c r="N229" s="39"/>
    </row>
    <row r="230" spans="1:14" s="3" customFormat="1" ht="20.100000000000001" customHeight="1" x14ac:dyDescent="0.25">
      <c r="A230" s="166" t="s">
        <v>93</v>
      </c>
      <c r="B230" s="62" t="s">
        <v>111</v>
      </c>
      <c r="C230" s="169" t="s">
        <v>112</v>
      </c>
      <c r="D230" s="166">
        <v>16</v>
      </c>
      <c r="E230" s="170">
        <v>9</v>
      </c>
      <c r="F230" s="171">
        <v>10</v>
      </c>
      <c r="G230" s="172">
        <v>26</v>
      </c>
      <c r="H230" s="133">
        <v>8</v>
      </c>
      <c r="I230" s="173">
        <v>10</v>
      </c>
      <c r="J230" s="166">
        <v>36</v>
      </c>
      <c r="K230" s="62">
        <v>10</v>
      </c>
      <c r="L230" s="169">
        <v>11</v>
      </c>
      <c r="M230" s="39"/>
      <c r="N230" s="39"/>
    </row>
    <row r="231" spans="1:14" s="3" customFormat="1" ht="20.100000000000001" customHeight="1" thickBot="1" x14ac:dyDescent="0.3">
      <c r="A231" s="166">
        <v>3</v>
      </c>
      <c r="B231" s="62">
        <v>3</v>
      </c>
      <c r="C231" s="169">
        <v>5</v>
      </c>
      <c r="D231" s="174">
        <v>17</v>
      </c>
      <c r="E231" s="175">
        <v>11</v>
      </c>
      <c r="F231" s="176">
        <v>12</v>
      </c>
      <c r="G231" s="172">
        <v>27</v>
      </c>
      <c r="H231" s="133">
        <v>10</v>
      </c>
      <c r="I231" s="173">
        <v>12</v>
      </c>
      <c r="J231" s="166">
        <v>37</v>
      </c>
      <c r="K231" s="62">
        <v>12</v>
      </c>
      <c r="L231" s="169">
        <v>13</v>
      </c>
      <c r="M231" s="39"/>
      <c r="N231" s="39"/>
    </row>
    <row r="232" spans="1:14" s="3" customFormat="1" ht="20.100000000000001" customHeight="1" x14ac:dyDescent="0.25">
      <c r="A232" s="166">
        <v>4</v>
      </c>
      <c r="B232" s="62">
        <v>5</v>
      </c>
      <c r="C232" s="169">
        <v>7</v>
      </c>
      <c r="D232" s="177">
        <v>18</v>
      </c>
      <c r="E232" s="178">
        <v>12</v>
      </c>
      <c r="F232" s="179">
        <v>15</v>
      </c>
      <c r="G232" s="172">
        <v>28</v>
      </c>
      <c r="H232" s="133">
        <v>12</v>
      </c>
      <c r="I232" s="173">
        <v>14</v>
      </c>
      <c r="J232" s="166">
        <v>38</v>
      </c>
      <c r="K232" s="62">
        <v>14</v>
      </c>
      <c r="L232" s="169">
        <v>15</v>
      </c>
      <c r="M232" s="39"/>
      <c r="N232" s="39"/>
    </row>
    <row r="233" spans="1:14" s="3" customFormat="1" ht="20.100000000000001" customHeight="1" x14ac:dyDescent="0.25">
      <c r="A233" s="166">
        <v>5</v>
      </c>
      <c r="B233" s="62">
        <v>7</v>
      </c>
      <c r="C233" s="169">
        <v>9</v>
      </c>
      <c r="D233" s="166">
        <v>19</v>
      </c>
      <c r="E233" s="170">
        <v>14</v>
      </c>
      <c r="F233" s="171">
        <v>17</v>
      </c>
      <c r="G233" s="172">
        <v>29</v>
      </c>
      <c r="H233" s="133">
        <v>14</v>
      </c>
      <c r="I233" s="173">
        <v>16</v>
      </c>
      <c r="J233" s="166">
        <v>39</v>
      </c>
      <c r="K233" s="62">
        <v>16</v>
      </c>
      <c r="L233" s="169">
        <v>17</v>
      </c>
      <c r="M233" s="39"/>
      <c r="N233" s="39"/>
    </row>
    <row r="234" spans="1:14" s="3" customFormat="1" ht="20.100000000000001" customHeight="1" x14ac:dyDescent="0.25">
      <c r="A234" s="166">
        <v>6</v>
      </c>
      <c r="B234" s="62">
        <v>9</v>
      </c>
      <c r="C234" s="169">
        <v>11</v>
      </c>
      <c r="D234" s="166">
        <v>20</v>
      </c>
      <c r="E234" s="170">
        <v>16</v>
      </c>
      <c r="F234" s="171">
        <v>19</v>
      </c>
      <c r="G234" s="172">
        <v>30</v>
      </c>
      <c r="H234" s="133">
        <v>16</v>
      </c>
      <c r="I234" s="173">
        <v>18</v>
      </c>
      <c r="J234" s="166">
        <v>40</v>
      </c>
      <c r="K234" s="62">
        <v>18</v>
      </c>
      <c r="L234" s="169">
        <v>19</v>
      </c>
      <c r="M234" s="39"/>
      <c r="N234" s="39"/>
    </row>
    <row r="235" spans="1:14" s="3" customFormat="1" ht="20.100000000000001" customHeight="1" thickBot="1" x14ac:dyDescent="0.3">
      <c r="A235" s="166">
        <v>7</v>
      </c>
      <c r="B235" s="62">
        <v>11</v>
      </c>
      <c r="C235" s="169">
        <v>13</v>
      </c>
      <c r="D235" s="166">
        <v>21</v>
      </c>
      <c r="E235" s="170">
        <v>18</v>
      </c>
      <c r="F235" s="171">
        <v>21</v>
      </c>
      <c r="G235" s="172">
        <v>31</v>
      </c>
      <c r="H235" s="133">
        <v>18</v>
      </c>
      <c r="I235" s="173">
        <v>20</v>
      </c>
      <c r="J235" s="174">
        <v>41</v>
      </c>
      <c r="K235" s="180">
        <v>20</v>
      </c>
      <c r="L235" s="181">
        <v>21</v>
      </c>
      <c r="M235" s="39"/>
      <c r="N235" s="39"/>
    </row>
    <row r="236" spans="1:14" s="3" customFormat="1" ht="20.100000000000001" customHeight="1" thickBot="1" x14ac:dyDescent="0.3">
      <c r="A236" s="166">
        <v>8</v>
      </c>
      <c r="B236" s="62">
        <v>13</v>
      </c>
      <c r="C236" s="169">
        <v>15</v>
      </c>
      <c r="D236" s="174">
        <v>22</v>
      </c>
      <c r="E236" s="175">
        <v>20</v>
      </c>
      <c r="F236" s="176">
        <v>23</v>
      </c>
      <c r="G236" s="182">
        <v>32</v>
      </c>
      <c r="H236" s="183">
        <v>20</v>
      </c>
      <c r="I236" s="184">
        <v>22</v>
      </c>
      <c r="J236" s="163" t="s">
        <v>113</v>
      </c>
      <c r="K236" s="164"/>
      <c r="L236" s="165"/>
      <c r="M236" s="39"/>
      <c r="N236" s="39"/>
    </row>
    <row r="237" spans="1:14" s="3" customFormat="1" ht="20.100000000000001" customHeight="1" x14ac:dyDescent="0.25">
      <c r="A237" s="166">
        <v>9</v>
      </c>
      <c r="B237" s="62">
        <v>15</v>
      </c>
      <c r="C237" s="169">
        <v>17</v>
      </c>
      <c r="D237" s="39"/>
      <c r="E237" s="39"/>
      <c r="F237" s="39"/>
      <c r="G237" s="39"/>
      <c r="H237" s="132"/>
      <c r="I237" s="39"/>
      <c r="J237" s="166" t="s">
        <v>93</v>
      </c>
      <c r="K237" s="62" t="s">
        <v>111</v>
      </c>
      <c r="L237" s="169" t="s">
        <v>112</v>
      </c>
      <c r="M237" s="39"/>
      <c r="N237" s="39"/>
    </row>
    <row r="238" spans="1:14" s="3" customFormat="1" ht="20.100000000000001" customHeight="1" x14ac:dyDescent="0.25">
      <c r="A238" s="166">
        <v>10</v>
      </c>
      <c r="B238" s="62">
        <v>17</v>
      </c>
      <c r="C238" s="169">
        <v>19</v>
      </c>
      <c r="D238" s="39"/>
      <c r="E238" s="39"/>
      <c r="F238" s="39"/>
      <c r="G238" s="39"/>
      <c r="H238" s="132"/>
      <c r="I238" s="39"/>
      <c r="J238" s="172">
        <v>42</v>
      </c>
      <c r="K238" s="133">
        <v>22</v>
      </c>
      <c r="L238" s="173">
        <v>23</v>
      </c>
      <c r="M238" s="39"/>
      <c r="N238" s="39"/>
    </row>
    <row r="239" spans="1:14" s="3" customFormat="1" ht="20.100000000000001" customHeight="1" thickBot="1" x14ac:dyDescent="0.3">
      <c r="A239" s="166">
        <v>11</v>
      </c>
      <c r="B239" s="62">
        <v>19</v>
      </c>
      <c r="C239" s="169">
        <v>21</v>
      </c>
      <c r="D239" s="39"/>
      <c r="E239" s="39"/>
      <c r="F239" s="39"/>
      <c r="G239" s="39"/>
      <c r="H239" s="132"/>
      <c r="I239" s="39"/>
      <c r="J239" s="182">
        <v>43</v>
      </c>
      <c r="K239" s="183">
        <v>22</v>
      </c>
      <c r="L239" s="185">
        <v>24</v>
      </c>
      <c r="M239" s="39"/>
      <c r="N239" s="39"/>
    </row>
    <row r="240" spans="1:14" s="3" customFormat="1" ht="20.100000000000001" customHeight="1" thickBot="1" x14ac:dyDescent="0.3">
      <c r="A240" s="174">
        <v>12</v>
      </c>
      <c r="B240" s="180">
        <v>21</v>
      </c>
      <c r="C240" s="181">
        <v>23</v>
      </c>
      <c r="D240" s="39"/>
      <c r="E240" s="39"/>
      <c r="F240" s="39"/>
      <c r="G240" s="39"/>
      <c r="H240" s="132"/>
      <c r="I240" s="39"/>
      <c r="J240" s="39"/>
      <c r="K240" s="39"/>
      <c r="L240" s="39"/>
      <c r="M240" s="39"/>
      <c r="N240" s="39"/>
    </row>
    <row r="241" spans="1:14" s="3" customFormat="1" ht="20.100000000000001" customHeight="1" x14ac:dyDescent="0.25">
      <c r="A241" s="129"/>
      <c r="B241" s="129"/>
      <c r="C241" s="129"/>
      <c r="D241" s="39"/>
      <c r="E241" s="39"/>
      <c r="F241" s="39"/>
      <c r="G241" s="39"/>
      <c r="H241" s="132"/>
      <c r="I241" s="186"/>
      <c r="J241" s="39"/>
      <c r="K241" s="39"/>
      <c r="L241" s="39"/>
      <c r="M241" s="132"/>
      <c r="N241" s="39"/>
    </row>
    <row r="242" spans="1:14" s="3" customFormat="1" ht="20.100000000000001" customHeight="1" x14ac:dyDescent="0.25">
      <c r="A242" s="39"/>
      <c r="B242" s="39"/>
      <c r="C242" s="39"/>
      <c r="D242" s="39"/>
      <c r="E242" s="39"/>
      <c r="F242" s="39"/>
      <c r="G242" s="39"/>
      <c r="H242" s="39"/>
      <c r="I242" s="186"/>
      <c r="J242" s="186"/>
      <c r="K242" s="186"/>
      <c r="L242" s="132"/>
      <c r="M242" s="132"/>
      <c r="N242" s="39"/>
    </row>
    <row r="243" spans="1:14" s="3" customFormat="1" ht="20.100000000000001" customHeight="1" x14ac:dyDescent="0.25">
      <c r="A243" s="39"/>
      <c r="B243" s="39"/>
      <c r="C243" s="39"/>
      <c r="D243" s="39"/>
      <c r="E243" s="39"/>
      <c r="F243" s="39"/>
      <c r="G243" s="39"/>
      <c r="H243" s="39"/>
      <c r="I243" s="186"/>
      <c r="J243" s="186"/>
      <c r="K243" s="186"/>
      <c r="L243" s="132"/>
      <c r="M243" s="132"/>
      <c r="N243" s="39"/>
    </row>
    <row r="244" spans="1:14" s="3" customFormat="1" ht="20.100000000000001" customHeight="1" x14ac:dyDescent="0.25">
      <c r="A244" s="39"/>
      <c r="B244" s="39"/>
      <c r="C244" s="39"/>
      <c r="D244" s="39"/>
      <c r="E244" s="39"/>
      <c r="F244" s="39"/>
      <c r="G244" s="39"/>
      <c r="H244" s="39"/>
      <c r="I244" s="186"/>
      <c r="J244" s="186"/>
      <c r="K244" s="186"/>
      <c r="L244" s="132"/>
      <c r="M244" s="132"/>
      <c r="N244" s="39"/>
    </row>
    <row r="245" spans="1:14" s="3" customFormat="1" ht="20.100000000000001" customHeight="1" x14ac:dyDescent="0.25">
      <c r="A245" s="39"/>
      <c r="B245" s="39"/>
      <c r="C245" s="39"/>
      <c r="D245" s="39"/>
      <c r="E245" s="39"/>
      <c r="F245" s="39"/>
      <c r="G245" s="39"/>
      <c r="H245" s="39"/>
      <c r="I245" s="186"/>
      <c r="J245" s="186"/>
      <c r="K245" s="186"/>
      <c r="L245" s="132"/>
      <c r="M245" s="132"/>
      <c r="N245" s="39"/>
    </row>
    <row r="246" spans="1:14" s="3" customFormat="1" ht="20.100000000000001" customHeight="1" x14ac:dyDescent="0.25">
      <c r="A246" s="39"/>
      <c r="B246" s="39"/>
      <c r="C246" s="39"/>
      <c r="D246" s="39"/>
      <c r="E246" s="39"/>
      <c r="F246" s="186"/>
      <c r="G246" s="186"/>
      <c r="H246" s="132"/>
      <c r="I246" s="186"/>
      <c r="J246" s="186"/>
      <c r="K246" s="186"/>
      <c r="L246" s="132"/>
      <c r="M246" s="132"/>
      <c r="N246" s="39"/>
    </row>
    <row r="247" spans="1:14" s="3" customFormat="1" ht="20.100000000000001" customHeight="1" x14ac:dyDescent="0.25">
      <c r="A247" s="39"/>
      <c r="B247" s="39"/>
      <c r="C247" s="39"/>
      <c r="D247" s="39"/>
      <c r="E247" s="39"/>
      <c r="F247" s="39"/>
      <c r="G247" s="39"/>
      <c r="H247" s="132"/>
      <c r="I247" s="186"/>
      <c r="J247" s="186"/>
      <c r="K247" s="186"/>
      <c r="L247" s="132"/>
      <c r="M247" s="132"/>
      <c r="N247" s="39"/>
    </row>
    <row r="248" spans="1:14" s="3" customFormat="1" ht="20.100000000000001" customHeight="1" x14ac:dyDescent="0.25">
      <c r="A248" s="39"/>
      <c r="B248" s="39"/>
      <c r="C248" s="39"/>
      <c r="D248" s="39"/>
      <c r="E248" s="129"/>
      <c r="F248" s="119"/>
      <c r="G248" s="119"/>
      <c r="H248" s="186"/>
      <c r="I248" s="186"/>
      <c r="J248" s="186"/>
      <c r="K248" s="186"/>
      <c r="L248" s="186"/>
      <c r="M248" s="186"/>
      <c r="N248" s="39"/>
    </row>
    <row r="249" spans="1:14" s="3" customFormat="1" ht="20.100000000000001" customHeight="1" x14ac:dyDescent="0.25">
      <c r="H249" s="9"/>
      <c r="I249" s="9"/>
      <c r="J249" s="9"/>
      <c r="K249" s="9"/>
      <c r="L249" s="9"/>
      <c r="M249" s="9"/>
    </row>
    <row r="250" spans="1:14" s="3" customFormat="1" ht="20.100000000000001" customHeight="1" x14ac:dyDescent="0.25">
      <c r="H250" s="9"/>
      <c r="I250" s="9"/>
      <c r="J250" s="9"/>
      <c r="K250" s="9"/>
      <c r="L250" s="9"/>
      <c r="M250" s="9"/>
    </row>
    <row r="251" spans="1:14" s="3" customFormat="1" ht="20.100000000000001" customHeight="1" x14ac:dyDescent="0.25">
      <c r="H251" s="9"/>
      <c r="I251" s="9"/>
      <c r="J251" s="9"/>
      <c r="K251" s="9"/>
      <c r="L251" s="9"/>
      <c r="M251" s="9"/>
    </row>
    <row r="252" spans="1:14" s="3" customFormat="1" ht="20.100000000000001" customHeight="1" x14ac:dyDescent="0.25">
      <c r="H252" s="9"/>
      <c r="I252" s="9"/>
      <c r="J252" s="9"/>
      <c r="K252" s="9"/>
      <c r="L252" s="9"/>
      <c r="M252" s="9"/>
    </row>
    <row r="253" spans="1:14" s="3" customFormat="1" ht="20.100000000000001" customHeight="1" x14ac:dyDescent="0.25">
      <c r="A253" s="36" t="s">
        <v>129</v>
      </c>
      <c r="H253" s="9"/>
      <c r="I253" s="9"/>
      <c r="J253" s="9"/>
      <c r="K253" s="9"/>
      <c r="L253" s="9"/>
      <c r="M253" s="9"/>
    </row>
    <row r="254" spans="1:14" s="3" customFormat="1" ht="20.100000000000001" customHeight="1" x14ac:dyDescent="0.25">
      <c r="F254" s="39" t="s">
        <v>28</v>
      </c>
      <c r="G254" s="25"/>
      <c r="H254" s="25"/>
      <c r="I254" s="9"/>
      <c r="J254" s="9"/>
      <c r="K254" s="9"/>
      <c r="L254" s="9"/>
      <c r="M254" s="9"/>
    </row>
    <row r="255" spans="1:14" ht="20.100000000000001" customHeight="1" x14ac:dyDescent="0.25">
      <c r="G255" s="187" t="s">
        <v>118</v>
      </c>
      <c r="H255" s="190">
        <f>G15</f>
        <v>4</v>
      </c>
      <c r="I255" s="25" t="s">
        <v>5</v>
      </c>
    </row>
    <row r="256" spans="1:14" ht="20.100000000000001" customHeight="1" x14ac:dyDescent="0.25">
      <c r="A256" s="3"/>
      <c r="G256" s="187" t="s">
        <v>57</v>
      </c>
      <c r="H256" s="190">
        <f>G14/2</f>
        <v>1</v>
      </c>
      <c r="I256" s="25" t="s">
        <v>5</v>
      </c>
    </row>
    <row r="257" spans="1:14" ht="20.100000000000001" customHeight="1" x14ac:dyDescent="0.25">
      <c r="A257" s="3"/>
      <c r="G257" s="25" t="s">
        <v>363</v>
      </c>
      <c r="H257" s="206">
        <f>I18</f>
        <v>20.781607090100472</v>
      </c>
      <c r="I257" s="25" t="s">
        <v>11</v>
      </c>
    </row>
    <row r="258" spans="1:14" ht="20.100000000000001" customHeight="1" x14ac:dyDescent="0.25">
      <c r="A258" s="3"/>
      <c r="F258" s="504" t="s">
        <v>379</v>
      </c>
      <c r="G258" s="504"/>
      <c r="H258" s="203">
        <f>(F6/2)/(SQRT(G12^2+(F6/2)^2))</f>
        <v>0.93478358058834898</v>
      </c>
      <c r="I258" s="25"/>
    </row>
    <row r="259" spans="1:14" ht="20.100000000000001" customHeight="1" x14ac:dyDescent="0.25">
      <c r="A259" s="3"/>
      <c r="F259" s="504" t="s">
        <v>364</v>
      </c>
      <c r="G259" s="504"/>
      <c r="H259" s="203">
        <f>G12/(SQRT(G12^2+(F6/2)^2))</f>
        <v>0.35521776062357258</v>
      </c>
      <c r="I259" s="16"/>
    </row>
    <row r="260" spans="1:14" ht="20.100000000000001" customHeight="1" x14ac:dyDescent="0.25">
      <c r="A260" s="3"/>
      <c r="F260" s="504" t="s">
        <v>365</v>
      </c>
      <c r="G260" s="504"/>
      <c r="H260" s="203">
        <f>G12/(F6/2)</f>
        <v>0.38</v>
      </c>
      <c r="K260" s="2"/>
    </row>
    <row r="261" spans="1:14" ht="20.100000000000001" customHeight="1" x14ac:dyDescent="0.25">
      <c r="A261" s="36" t="s">
        <v>130</v>
      </c>
      <c r="D261" s="25"/>
      <c r="E261" s="25"/>
      <c r="F261" s="25"/>
      <c r="G261" s="25"/>
      <c r="H261" s="35"/>
      <c r="I261" s="35"/>
      <c r="J261" s="35"/>
      <c r="K261" s="2"/>
      <c r="M261" s="35"/>
      <c r="N261" s="25"/>
    </row>
    <row r="262" spans="1:14" ht="20.100000000000001" customHeight="1" x14ac:dyDescent="0.25">
      <c r="G262" s="25"/>
      <c r="K262" s="35"/>
      <c r="L262" s="35"/>
      <c r="M262" s="35"/>
      <c r="N262" s="25"/>
    </row>
    <row r="263" spans="1:14" ht="20.100000000000001" customHeight="1" x14ac:dyDescent="0.25">
      <c r="A263" s="28" t="s">
        <v>380</v>
      </c>
      <c r="G263" s="25"/>
      <c r="K263" s="37" t="s">
        <v>124</v>
      </c>
      <c r="L263" s="68">
        <v>30</v>
      </c>
      <c r="M263" s="21" t="s">
        <v>370</v>
      </c>
      <c r="N263" s="25"/>
    </row>
    <row r="264" spans="1:14" ht="20.100000000000001" customHeight="1" x14ac:dyDescent="0.25">
      <c r="A264" s="39"/>
      <c r="B264" s="25"/>
      <c r="C264" s="25"/>
      <c r="D264" s="25"/>
      <c r="E264" s="25"/>
      <c r="F264" s="25"/>
      <c r="G264" s="25"/>
      <c r="H264" s="35"/>
      <c r="N264" s="25"/>
    </row>
    <row r="265" spans="1:14" ht="20.100000000000001" customHeight="1" x14ac:dyDescent="0.25">
      <c r="A265" s="207" t="s">
        <v>131</v>
      </c>
      <c r="B265" s="25"/>
      <c r="C265" s="25"/>
      <c r="D265" s="25"/>
      <c r="E265" s="25"/>
      <c r="F265" s="25"/>
      <c r="G265" s="25"/>
      <c r="H265" s="35"/>
      <c r="I265" s="35"/>
      <c r="J265" s="35"/>
      <c r="K265" s="35"/>
      <c r="L265" s="35"/>
      <c r="M265" s="35"/>
      <c r="N265" s="25"/>
    </row>
    <row r="266" spans="1:14" ht="20.100000000000001" customHeight="1" x14ac:dyDescent="0.25">
      <c r="A266" s="39" t="s">
        <v>367</v>
      </c>
      <c r="B266" s="25"/>
      <c r="C266" s="25"/>
      <c r="D266" s="25"/>
      <c r="E266" s="25"/>
      <c r="F266" s="203">
        <f>0.12*H260*100</f>
        <v>4.5600000000000005</v>
      </c>
      <c r="H266" s="39" t="s">
        <v>368</v>
      </c>
      <c r="I266" s="35"/>
      <c r="J266" s="192"/>
      <c r="K266" s="35"/>
      <c r="L266" s="25" t="s">
        <v>132</v>
      </c>
      <c r="M266" s="35"/>
      <c r="N266" s="25"/>
    </row>
    <row r="267" spans="1:14" ht="20.100000000000001" customHeight="1" x14ac:dyDescent="0.25">
      <c r="B267" s="25"/>
      <c r="C267" s="25"/>
      <c r="D267" s="25"/>
      <c r="F267" s="25"/>
      <c r="G267" s="25"/>
      <c r="H267" s="35"/>
      <c r="I267" s="35"/>
      <c r="J267" s="192"/>
      <c r="K267" s="35"/>
      <c r="L267" s="35"/>
      <c r="M267" s="35"/>
      <c r="N267" s="25"/>
    </row>
    <row r="268" spans="1:14" ht="20.100000000000001" customHeight="1" x14ac:dyDescent="0.25">
      <c r="A268" s="39" t="s">
        <v>377</v>
      </c>
      <c r="B268" s="25"/>
      <c r="C268" s="25"/>
      <c r="D268" s="25"/>
      <c r="E268" s="25"/>
      <c r="F268" s="25"/>
      <c r="G268" s="204">
        <f>H255*H256</f>
        <v>4</v>
      </c>
      <c r="H268" s="35" t="s">
        <v>369</v>
      </c>
      <c r="J268" s="35"/>
      <c r="K268" s="193">
        <v>1</v>
      </c>
      <c r="M268" s="35"/>
      <c r="N268" s="25"/>
    </row>
    <row r="269" spans="1:14" ht="20.100000000000001" customHeight="1" x14ac:dyDescent="0.25">
      <c r="A269" s="39"/>
      <c r="B269" s="25"/>
      <c r="C269" s="25"/>
      <c r="D269" s="25"/>
      <c r="E269" s="25"/>
      <c r="F269" s="25"/>
      <c r="G269" s="25"/>
      <c r="H269" s="192"/>
      <c r="I269" s="35"/>
      <c r="J269" s="35"/>
      <c r="K269" s="35"/>
      <c r="L269" s="194"/>
      <c r="M269" s="35"/>
      <c r="N269" s="25"/>
    </row>
    <row r="270" spans="1:14" ht="20.100000000000001" customHeight="1" x14ac:dyDescent="0.25">
      <c r="A270" s="39" t="s">
        <v>378</v>
      </c>
      <c r="B270" s="25"/>
      <c r="C270" s="25"/>
      <c r="D270" s="25"/>
      <c r="E270" s="25"/>
      <c r="F270" s="25"/>
      <c r="G270" s="25"/>
      <c r="H270" s="204">
        <f>1.2-0.05*F266</f>
        <v>0.97199999999999998</v>
      </c>
      <c r="J270" s="35"/>
      <c r="K270" s="37" t="s">
        <v>27</v>
      </c>
      <c r="L270" s="52">
        <f>0.96*K268*H270</f>
        <v>0.93311999999999995</v>
      </c>
      <c r="M270" s="21" t="s">
        <v>319</v>
      </c>
      <c r="N270" s="25"/>
    </row>
    <row r="271" spans="1:14" ht="20.100000000000001" customHeight="1" x14ac:dyDescent="0.25">
      <c r="A271" s="39"/>
      <c r="B271" s="25"/>
      <c r="C271" s="25"/>
      <c r="D271" s="25"/>
      <c r="E271" s="25"/>
      <c r="F271" s="25"/>
      <c r="G271" s="25"/>
      <c r="H271" s="25"/>
      <c r="I271" s="25"/>
      <c r="J271" s="25"/>
      <c r="K271" s="42" t="s">
        <v>27</v>
      </c>
      <c r="L271" s="53">
        <f>L270*100</f>
        <v>93.311999999999998</v>
      </c>
      <c r="M271" s="21" t="s">
        <v>370</v>
      </c>
      <c r="N271" s="25"/>
    </row>
    <row r="272" spans="1:14" ht="20.100000000000001" customHeight="1" x14ac:dyDescent="0.25">
      <c r="A272" s="25"/>
      <c r="B272" s="195"/>
      <c r="C272" s="35"/>
      <c r="D272" s="195"/>
      <c r="E272" s="35"/>
      <c r="F272" s="35"/>
      <c r="G272" s="25"/>
      <c r="H272" s="12"/>
      <c r="I272" s="12"/>
      <c r="J272" s="196"/>
      <c r="K272" s="50"/>
      <c r="L272" s="132"/>
      <c r="M272" s="35"/>
      <c r="N272" s="25"/>
    </row>
    <row r="273" spans="1:14" ht="20.100000000000001" customHeight="1" x14ac:dyDescent="0.25">
      <c r="A273" s="39" t="s">
        <v>371</v>
      </c>
      <c r="B273" s="25"/>
      <c r="C273" s="25"/>
      <c r="D273" s="25"/>
      <c r="E273" s="25"/>
      <c r="F273" s="25"/>
      <c r="G273" s="25"/>
      <c r="H273" s="12"/>
      <c r="I273" s="12"/>
      <c r="J273" s="196"/>
      <c r="K273" s="50"/>
      <c r="L273" s="132"/>
      <c r="M273" s="35"/>
      <c r="N273" s="25"/>
    </row>
    <row r="274" spans="1:14" ht="20.100000000000001" customHeight="1" x14ac:dyDescent="0.25">
      <c r="A274" s="39"/>
      <c r="B274" s="25"/>
      <c r="C274" s="25"/>
      <c r="D274" s="25"/>
      <c r="E274" s="25"/>
      <c r="F274" s="28"/>
      <c r="G274" s="28"/>
      <c r="H274" s="12"/>
      <c r="I274" s="12"/>
      <c r="J274" s="196"/>
      <c r="K274" s="50"/>
      <c r="L274" s="132"/>
      <c r="M274" s="35"/>
      <c r="N274" s="25"/>
    </row>
    <row r="275" spans="1:14" ht="20.100000000000001" customHeight="1" x14ac:dyDescent="0.25">
      <c r="A275" s="36" t="s">
        <v>382</v>
      </c>
      <c r="B275" s="25"/>
      <c r="C275" s="187"/>
      <c r="D275" s="197"/>
      <c r="E275" s="210">
        <f>MIN(D169:E176)</f>
        <v>-1054.7563412799998</v>
      </c>
      <c r="F275" s="12" t="s">
        <v>381</v>
      </c>
      <c r="G275" s="209">
        <f>E275/9.81</f>
        <v>-107.5184853496432</v>
      </c>
      <c r="H275" s="12" t="s">
        <v>366</v>
      </c>
      <c r="L275" s="132"/>
      <c r="M275" s="35"/>
      <c r="N275" s="25"/>
    </row>
    <row r="276" spans="1:14" ht="20.100000000000001" customHeight="1" x14ac:dyDescent="0.25">
      <c r="A276" s="39"/>
      <c r="B276" s="25"/>
      <c r="C276" s="25"/>
      <c r="D276" s="25"/>
      <c r="E276" s="25"/>
      <c r="F276" s="25"/>
      <c r="G276" s="25"/>
      <c r="H276" s="25"/>
      <c r="I276" s="25"/>
      <c r="J276" s="25"/>
      <c r="K276" s="35"/>
      <c r="L276" s="35"/>
      <c r="M276" s="35"/>
      <c r="N276" s="25"/>
    </row>
    <row r="277" spans="1:14" ht="20.100000000000001" customHeight="1" x14ac:dyDescent="0.25">
      <c r="A277" s="36" t="s">
        <v>406</v>
      </c>
      <c r="B277" s="25"/>
      <c r="C277" s="25"/>
      <c r="D277" s="25"/>
      <c r="E277" s="25"/>
      <c r="F277" s="25"/>
      <c r="G277" s="25"/>
      <c r="H277" s="35"/>
      <c r="I277" s="35"/>
      <c r="J277" s="35"/>
      <c r="K277" s="35"/>
      <c r="L277" s="35"/>
      <c r="M277" s="35"/>
      <c r="N277" s="25"/>
    </row>
    <row r="278" spans="1:14" ht="20.100000000000001" customHeight="1" x14ac:dyDescent="0.25">
      <c r="A278" s="39" t="s">
        <v>133</v>
      </c>
      <c r="B278" s="25"/>
      <c r="C278" s="197"/>
      <c r="D278" s="198"/>
      <c r="E278" s="197"/>
      <c r="F278" s="25"/>
      <c r="G278" s="25"/>
      <c r="H278" s="12"/>
      <c r="I278" s="35"/>
      <c r="J278" s="35">
        <f>1.4*L263</f>
        <v>42</v>
      </c>
      <c r="K278" s="35" t="s">
        <v>366</v>
      </c>
      <c r="L278" s="35"/>
      <c r="M278" s="35"/>
      <c r="N278" s="25"/>
    </row>
    <row r="279" spans="1:14" ht="20.100000000000001" customHeight="1" x14ac:dyDescent="0.25">
      <c r="A279" s="39" t="s">
        <v>372</v>
      </c>
      <c r="B279" s="25"/>
      <c r="C279" s="25"/>
      <c r="D279" s="199"/>
      <c r="E279" s="25"/>
      <c r="F279" s="25"/>
      <c r="G279" s="12"/>
      <c r="H279" s="25"/>
      <c r="I279" s="35"/>
      <c r="J279" s="35">
        <f>1.2*L263+N279*L271</f>
        <v>82.656000000000006</v>
      </c>
      <c r="K279" s="35" t="s">
        <v>366</v>
      </c>
      <c r="L279" s="35"/>
      <c r="M279" s="60" t="s">
        <v>373</v>
      </c>
      <c r="N279" s="200">
        <v>0.5</v>
      </c>
    </row>
    <row r="280" spans="1:14" ht="20.100000000000001" customHeight="1" x14ac:dyDescent="0.25">
      <c r="A280" s="39"/>
      <c r="B280" s="25"/>
      <c r="C280" s="25"/>
      <c r="D280" s="199"/>
      <c r="E280" s="25"/>
      <c r="F280" s="25"/>
      <c r="G280" s="12"/>
      <c r="H280" s="35">
        <f>1.2*L263</f>
        <v>36</v>
      </c>
      <c r="I280" s="25" t="s">
        <v>600</v>
      </c>
      <c r="J280" s="41"/>
      <c r="K280" s="41">
        <v>100</v>
      </c>
      <c r="L280" s="35" t="s">
        <v>120</v>
      </c>
      <c r="M280" s="60"/>
      <c r="N280" s="201"/>
    </row>
    <row r="281" spans="1:14" ht="20.100000000000001" customHeight="1" x14ac:dyDescent="0.25">
      <c r="A281" s="211" t="s">
        <v>374</v>
      </c>
      <c r="B281" s="46"/>
      <c r="C281" s="46"/>
      <c r="D281" s="46"/>
      <c r="E281" s="46"/>
      <c r="F281" s="46"/>
      <c r="G281" s="46"/>
      <c r="H281" s="47"/>
      <c r="I281" s="47"/>
      <c r="J281" s="353">
        <f>1.2*L263+1.6*L271</f>
        <v>185.29920000000001</v>
      </c>
      <c r="K281" s="212" t="s">
        <v>366</v>
      </c>
      <c r="L281" s="35"/>
      <c r="M281" s="35"/>
      <c r="N281" s="25"/>
    </row>
    <row r="282" spans="1:14" ht="20.100000000000001" customHeight="1" x14ac:dyDescent="0.25">
      <c r="A282" s="213" t="s">
        <v>375</v>
      </c>
      <c r="B282" s="214"/>
      <c r="C282" s="214"/>
      <c r="D282" s="214"/>
      <c r="E282" s="214"/>
      <c r="F282" s="214"/>
      <c r="G282" s="214"/>
      <c r="H282" s="215"/>
      <c r="I282" s="215"/>
      <c r="J282" s="215">
        <f>1.2*L263*H258+1.5*G275</f>
        <v>-127.62551912328425</v>
      </c>
      <c r="K282" s="216" t="s">
        <v>366</v>
      </c>
      <c r="L282" s="35"/>
      <c r="M282" s="35"/>
      <c r="N282" s="25"/>
    </row>
    <row r="283" spans="1:14" ht="20.100000000000001" customHeight="1" x14ac:dyDescent="0.25">
      <c r="A283" s="36" t="s">
        <v>135</v>
      </c>
      <c r="B283" s="25"/>
      <c r="C283" s="25"/>
      <c r="D283" s="25"/>
      <c r="E283" s="25"/>
      <c r="F283" s="25"/>
      <c r="G283" s="25"/>
      <c r="H283" s="35"/>
      <c r="I283" s="35"/>
      <c r="J283" s="35"/>
      <c r="K283" s="35"/>
      <c r="L283" s="35"/>
      <c r="M283" s="35"/>
      <c r="N283" s="25"/>
    </row>
    <row r="284" spans="1:14" ht="20.100000000000001" customHeight="1" x14ac:dyDescent="0.25">
      <c r="A284" s="39" t="s">
        <v>376</v>
      </c>
      <c r="B284" s="25"/>
      <c r="C284" s="25"/>
      <c r="D284" s="25"/>
      <c r="E284" s="25"/>
      <c r="F284" s="25"/>
      <c r="G284" s="25"/>
      <c r="H284" s="35"/>
      <c r="I284" s="35"/>
      <c r="J284" s="218">
        <f>1.2*L263+N279*L271</f>
        <v>82.656000000000006</v>
      </c>
      <c r="K284" s="35" t="s">
        <v>366</v>
      </c>
      <c r="L284" s="35"/>
      <c r="M284" s="35"/>
      <c r="N284" s="25"/>
    </row>
    <row r="285" spans="1:14" ht="20.100000000000001" customHeight="1" x14ac:dyDescent="0.25">
      <c r="A285" s="39" t="s">
        <v>134</v>
      </c>
      <c r="B285" s="25"/>
      <c r="C285" s="25"/>
      <c r="D285" s="25"/>
      <c r="E285" s="25"/>
      <c r="F285" s="25"/>
      <c r="G285" s="25"/>
      <c r="H285" s="35"/>
      <c r="I285" s="35"/>
      <c r="J285" s="218">
        <f>0.9*L263*H258+1.5*G275</f>
        <v>-136.03857134857938</v>
      </c>
      <c r="K285" s="35" t="s">
        <v>366</v>
      </c>
      <c r="L285" s="35"/>
      <c r="M285" s="35"/>
      <c r="N285" s="25"/>
    </row>
    <row r="286" spans="1:14" ht="20.100000000000001" customHeight="1" x14ac:dyDescent="0.25">
      <c r="A286" s="39"/>
      <c r="B286" s="25"/>
      <c r="C286" s="25"/>
      <c r="D286" s="25"/>
      <c r="E286" s="25"/>
      <c r="F286" s="25"/>
      <c r="G286" s="25"/>
      <c r="H286" s="35"/>
      <c r="I286" s="35"/>
      <c r="J286" s="35"/>
      <c r="K286" s="35"/>
      <c r="L286" s="35"/>
      <c r="M286" s="35"/>
      <c r="N286" s="25"/>
    </row>
    <row r="287" spans="1:14" ht="20.100000000000001" customHeight="1" x14ac:dyDescent="0.25">
      <c r="A287" s="39" t="s">
        <v>384</v>
      </c>
      <c r="B287" s="25"/>
      <c r="C287" s="25"/>
      <c r="D287" s="25"/>
      <c r="E287" s="25"/>
      <c r="F287" s="25"/>
      <c r="G287" s="25"/>
      <c r="H287" s="35"/>
      <c r="I287" s="35"/>
      <c r="J287" s="35"/>
      <c r="K287" s="35"/>
      <c r="L287" s="35"/>
      <c r="M287" s="35"/>
      <c r="N287" s="25"/>
    </row>
    <row r="288" spans="1:14" ht="20.100000000000001" customHeight="1" x14ac:dyDescent="0.25">
      <c r="A288" s="39" t="s">
        <v>383</v>
      </c>
      <c r="B288" s="25"/>
      <c r="C288" s="25"/>
      <c r="D288" s="25"/>
      <c r="E288" s="25"/>
      <c r="F288" s="25"/>
      <c r="G288" s="25"/>
      <c r="H288" s="35"/>
      <c r="I288" s="35"/>
      <c r="J288" s="35"/>
      <c r="K288" s="35"/>
      <c r="L288" s="35"/>
      <c r="M288" s="35"/>
      <c r="N288" s="25"/>
    </row>
    <row r="289" spans="1:11" ht="20.100000000000001" customHeight="1" x14ac:dyDescent="0.25">
      <c r="A289" s="36" t="s">
        <v>407</v>
      </c>
      <c r="B289" s="25"/>
      <c r="C289" s="25"/>
      <c r="D289" s="25"/>
      <c r="E289" s="25"/>
      <c r="F289" s="25"/>
      <c r="G289" s="25"/>
      <c r="H289" s="35"/>
      <c r="I289" s="35"/>
      <c r="J289" s="35"/>
      <c r="K289" s="35"/>
    </row>
    <row r="290" spans="1:11" ht="20.100000000000001" customHeight="1" x14ac:dyDescent="0.25">
      <c r="A290" s="39" t="s">
        <v>385</v>
      </c>
      <c r="B290" s="25"/>
      <c r="C290" s="25"/>
      <c r="D290" s="25"/>
      <c r="E290" s="25"/>
      <c r="F290" s="25"/>
      <c r="G290" s="25"/>
      <c r="H290" s="35"/>
      <c r="I290" s="35"/>
      <c r="J290" s="35">
        <f>L263+0.7*L271</f>
        <v>95.318399999999997</v>
      </c>
      <c r="K290" s="35" t="s">
        <v>366</v>
      </c>
    </row>
    <row r="291" spans="1:11" ht="20.100000000000001" customHeight="1" x14ac:dyDescent="0.25">
      <c r="A291" s="39"/>
      <c r="B291" s="25"/>
      <c r="C291" s="25"/>
      <c r="D291" s="25"/>
      <c r="E291" s="25"/>
      <c r="F291" s="25"/>
      <c r="G291" s="25"/>
      <c r="H291" s="35"/>
      <c r="I291" s="35"/>
      <c r="J291" s="35">
        <f>L263*H258+G275</f>
        <v>-79.474977931992726</v>
      </c>
      <c r="K291" s="35" t="s">
        <v>366</v>
      </c>
    </row>
    <row r="292" spans="1:11" ht="20.100000000000001" customHeight="1" x14ac:dyDescent="0.25">
      <c r="A292" s="39" t="s">
        <v>386</v>
      </c>
      <c r="B292" s="25"/>
      <c r="C292" s="25"/>
      <c r="D292" s="25"/>
      <c r="E292" s="25"/>
      <c r="F292" s="25"/>
      <c r="G292" s="25"/>
      <c r="H292" s="35"/>
      <c r="I292" s="35"/>
      <c r="J292" s="35">
        <f>(L263)*H258+0.7*G275</f>
        <v>-47.219432327099767</v>
      </c>
      <c r="K292" s="35" t="s">
        <v>366</v>
      </c>
    </row>
    <row r="293" spans="1:11" ht="20.100000000000001" customHeight="1" x14ac:dyDescent="0.25">
      <c r="A293" s="39" t="s">
        <v>387</v>
      </c>
      <c r="B293" s="25"/>
      <c r="C293" s="25"/>
      <c r="D293" s="25"/>
      <c r="E293" s="25"/>
      <c r="F293" s="25"/>
      <c r="G293" s="25"/>
      <c r="H293" s="35"/>
      <c r="I293" s="35"/>
      <c r="J293" s="35">
        <f>L263+0.6*L271</f>
        <v>85.987200000000001</v>
      </c>
      <c r="K293" s="35" t="s">
        <v>366</v>
      </c>
    </row>
    <row r="294" spans="1:11" ht="20.100000000000001" customHeight="1" x14ac:dyDescent="0.25">
      <c r="A294" s="39"/>
      <c r="B294" s="25"/>
      <c r="C294" s="25"/>
      <c r="D294" s="25"/>
      <c r="E294" s="25"/>
      <c r="F294" s="25"/>
      <c r="G294" s="25"/>
      <c r="H294" s="35"/>
      <c r="I294" s="35"/>
      <c r="J294" s="35"/>
      <c r="K294" s="35"/>
    </row>
    <row r="295" spans="1:11" ht="20.100000000000001" customHeight="1" x14ac:dyDescent="0.25">
      <c r="A295" s="3"/>
      <c r="B295" s="14" t="s">
        <v>152</v>
      </c>
      <c r="C295" s="14"/>
      <c r="D295" s="188" t="s">
        <v>162</v>
      </c>
      <c r="E295" s="188" t="s">
        <v>389</v>
      </c>
      <c r="F295" s="14" t="s">
        <v>390</v>
      </c>
      <c r="G295" s="25" t="s">
        <v>392</v>
      </c>
      <c r="H295" s="35"/>
      <c r="I295" s="35"/>
      <c r="J295" s="35"/>
      <c r="K295" s="35"/>
    </row>
    <row r="296" spans="1:11" ht="20.100000000000001" customHeight="1" x14ac:dyDescent="0.25">
      <c r="A296" s="3"/>
      <c r="C296" s="14" t="s">
        <v>153</v>
      </c>
      <c r="D296" s="221">
        <f>J278</f>
        <v>42</v>
      </c>
      <c r="E296" s="227">
        <f>D296*$H$258</f>
        <v>39.260910384710655</v>
      </c>
      <c r="F296" s="227">
        <f>D296*$H$259</f>
        <v>14.919145946190048</v>
      </c>
      <c r="G296" s="25" t="s">
        <v>163</v>
      </c>
      <c r="H296" s="35"/>
      <c r="I296" s="35"/>
      <c r="J296" s="35"/>
      <c r="K296" s="35"/>
    </row>
    <row r="297" spans="1:11" ht="20.100000000000001" customHeight="1" x14ac:dyDescent="0.25">
      <c r="A297" s="3"/>
      <c r="C297" s="14" t="s">
        <v>154</v>
      </c>
      <c r="D297" s="223">
        <f>J279</f>
        <v>82.656000000000006</v>
      </c>
      <c r="E297" s="227">
        <f t="shared" ref="E297:E299" si="13">D297*$H$258</f>
        <v>77.265471637110579</v>
      </c>
      <c r="F297" s="227">
        <f t="shared" ref="F297:F309" si="14">D297*$H$259</f>
        <v>29.360879222102017</v>
      </c>
      <c r="G297" s="25"/>
      <c r="H297" s="35"/>
      <c r="I297" s="35"/>
      <c r="J297" s="35"/>
      <c r="K297" s="35"/>
    </row>
    <row r="298" spans="1:11" ht="20.100000000000001" customHeight="1" x14ac:dyDescent="0.25">
      <c r="A298" s="3"/>
      <c r="C298" s="14"/>
      <c r="D298" s="221">
        <f>H280</f>
        <v>36</v>
      </c>
      <c r="E298" s="227">
        <f t="shared" si="13"/>
        <v>33.652208901180565</v>
      </c>
      <c r="F298" s="227">
        <f t="shared" si="14"/>
        <v>12.787839382448613</v>
      </c>
      <c r="G298" s="523" t="s">
        <v>388</v>
      </c>
      <c r="H298" s="527"/>
      <c r="I298" s="35"/>
      <c r="J298" s="35"/>
    </row>
    <row r="299" spans="1:11" ht="20.100000000000001" customHeight="1" x14ac:dyDescent="0.25">
      <c r="A299" s="3"/>
      <c r="C299" s="14" t="s">
        <v>155</v>
      </c>
      <c r="D299" s="223">
        <f>J281</f>
        <v>185.29920000000001</v>
      </c>
      <c r="E299" s="227">
        <f t="shared" si="13"/>
        <v>173.21464965615661</v>
      </c>
      <c r="F299" s="227">
        <f t="shared" si="14"/>
        <v>65.821566869339506</v>
      </c>
      <c r="G299" s="25"/>
      <c r="H299" s="35"/>
      <c r="I299" s="35"/>
      <c r="J299" s="35"/>
    </row>
    <row r="300" spans="1:11" ht="20.100000000000001" customHeight="1" x14ac:dyDescent="0.25">
      <c r="A300" s="28" t="s">
        <v>601</v>
      </c>
      <c r="C300" s="14" t="s">
        <v>156</v>
      </c>
      <c r="D300" s="224">
        <f>1.2*L263</f>
        <v>36</v>
      </c>
      <c r="E300" s="222">
        <f>J282</f>
        <v>-127.62551912328425</v>
      </c>
      <c r="F300" s="227">
        <f t="shared" si="14"/>
        <v>12.787839382448613</v>
      </c>
      <c r="G300" s="25"/>
      <c r="H300" s="226">
        <f>D300</f>
        <v>36</v>
      </c>
      <c r="I300" s="35" t="s">
        <v>391</v>
      </c>
      <c r="J300" s="35"/>
    </row>
    <row r="301" spans="1:11" ht="20.100000000000001" customHeight="1" x14ac:dyDescent="0.25">
      <c r="A301" s="3"/>
      <c r="C301" s="14" t="s">
        <v>157</v>
      </c>
      <c r="D301" s="223">
        <f>J284</f>
        <v>82.656000000000006</v>
      </c>
      <c r="E301" s="227">
        <f>D301*H258</f>
        <v>77.265471637110579</v>
      </c>
      <c r="F301" s="227">
        <f t="shared" si="14"/>
        <v>29.360879222102017</v>
      </c>
      <c r="G301" s="25"/>
      <c r="H301" s="35"/>
      <c r="I301" s="35"/>
      <c r="J301" s="35"/>
    </row>
    <row r="302" spans="1:11" ht="20.100000000000001" customHeight="1" thickBot="1" x14ac:dyDescent="0.3">
      <c r="A302" s="3"/>
      <c r="C302" s="229" t="s">
        <v>158</v>
      </c>
      <c r="D302" s="236">
        <f>0.9*L263</f>
        <v>27</v>
      </c>
      <c r="E302" s="230">
        <f>J285</f>
        <v>-136.03857134857938</v>
      </c>
      <c r="F302" s="231">
        <f t="shared" si="14"/>
        <v>9.590879536836459</v>
      </c>
      <c r="G302" s="25"/>
      <c r="H302" s="35" t="s">
        <v>393</v>
      </c>
      <c r="I302" s="35"/>
      <c r="J302" s="35"/>
    </row>
    <row r="303" spans="1:11" ht="20.100000000000001" customHeight="1" x14ac:dyDescent="0.25">
      <c r="A303" s="3"/>
      <c r="B303" s="162" t="s">
        <v>404</v>
      </c>
      <c r="C303" s="237"/>
      <c r="D303" s="238"/>
      <c r="E303" s="239">
        <f>IF(MAX(E296:E302)&gt;0,MAX(E296:E302),0)</f>
        <v>173.21464965615661</v>
      </c>
      <c r="F303" s="240">
        <f>IF(MAX(F296:F302)&gt;0,MAX(F296:F302),0)</f>
        <v>65.821566869339506</v>
      </c>
      <c r="G303" s="25"/>
      <c r="H303" s="35"/>
      <c r="I303" s="35"/>
      <c r="J303" s="35"/>
    </row>
    <row r="304" spans="1:11" ht="20.100000000000001" customHeight="1" thickBot="1" x14ac:dyDescent="0.3">
      <c r="A304" s="3"/>
      <c r="B304" s="241" t="s">
        <v>405</v>
      </c>
      <c r="C304" s="242"/>
      <c r="D304" s="243"/>
      <c r="E304" s="244">
        <f>IF(MIN(E296:E302)&lt;0,MIN(E296:E302),0)</f>
        <v>-136.03857134857938</v>
      </c>
      <c r="F304" s="245">
        <f>IF(MIN(F296:F302)&lt;0,MIN(F296:F302),0)</f>
        <v>0</v>
      </c>
      <c r="G304" s="25"/>
      <c r="H304" s="35"/>
      <c r="I304" s="35"/>
      <c r="J304" s="35"/>
    </row>
    <row r="305" spans="1:13" ht="20.100000000000001" customHeight="1" x14ac:dyDescent="0.25">
      <c r="A305" s="3"/>
      <c r="C305" s="232"/>
      <c r="D305" s="233"/>
      <c r="E305" s="234"/>
      <c r="F305" s="235"/>
      <c r="G305" s="25"/>
      <c r="H305" s="35"/>
      <c r="I305" s="35"/>
      <c r="J305" s="35"/>
    </row>
    <row r="306" spans="1:13" ht="20.100000000000001" customHeight="1" x14ac:dyDescent="0.25">
      <c r="A306" s="3"/>
      <c r="C306" s="14" t="s">
        <v>159</v>
      </c>
      <c r="D306" s="222">
        <f>J290</f>
        <v>95.318399999999997</v>
      </c>
      <c r="E306" s="227">
        <f>D306*H258</f>
        <v>89.102075247952484</v>
      </c>
      <c r="F306" s="227">
        <f t="shared" si="14"/>
        <v>33.858788594221942</v>
      </c>
      <c r="G306" s="25"/>
      <c r="H306" s="119" t="s">
        <v>394</v>
      </c>
      <c r="I306" s="50"/>
      <c r="J306" s="50"/>
      <c r="K306" s="228" t="s">
        <v>396</v>
      </c>
      <c r="L306" s="205">
        <f>H258</f>
        <v>0.93478358058834898</v>
      </c>
    </row>
    <row r="307" spans="1:13" ht="20.100000000000001" customHeight="1" x14ac:dyDescent="0.25">
      <c r="A307" s="3"/>
      <c r="C307" s="14"/>
      <c r="D307" s="224">
        <f>L263</f>
        <v>30</v>
      </c>
      <c r="E307" s="222">
        <f>J291</f>
        <v>-79.474977931992726</v>
      </c>
      <c r="F307" s="227">
        <f t="shared" si="14"/>
        <v>10.656532818707177</v>
      </c>
      <c r="G307" s="25"/>
      <c r="H307" s="119" t="s">
        <v>395</v>
      </c>
      <c r="I307" s="50"/>
      <c r="J307" s="50"/>
      <c r="K307" s="228" t="s">
        <v>397</v>
      </c>
      <c r="L307" s="205">
        <f>H259</f>
        <v>0.35521776062357258</v>
      </c>
    </row>
    <row r="308" spans="1:13" ht="20.100000000000001" customHeight="1" x14ac:dyDescent="0.25">
      <c r="A308" s="3"/>
      <c r="B308" s="516" t="s">
        <v>160</v>
      </c>
      <c r="C308" s="517"/>
      <c r="D308" s="225">
        <f>(L263)</f>
        <v>30</v>
      </c>
      <c r="E308" s="222">
        <f>J292</f>
        <v>-47.219432327099767</v>
      </c>
      <c r="F308" s="227">
        <f t="shared" si="14"/>
        <v>10.656532818707177</v>
      </c>
      <c r="G308" s="25"/>
      <c r="H308" s="35"/>
      <c r="I308" s="35"/>
      <c r="J308" s="35"/>
    </row>
    <row r="309" spans="1:13" ht="20.100000000000001" customHeight="1" thickBot="1" x14ac:dyDescent="0.3">
      <c r="A309" s="3"/>
      <c r="B309" s="516" t="s">
        <v>161</v>
      </c>
      <c r="C309" s="517"/>
      <c r="D309" s="222">
        <f>J293</f>
        <v>85.987200000000001</v>
      </c>
      <c r="E309" s="227">
        <f>D309*H258</f>
        <v>80.379422700766483</v>
      </c>
      <c r="F309" s="227">
        <f t="shared" si="14"/>
        <v>30.544180626291261</v>
      </c>
      <c r="G309" s="25"/>
      <c r="H309" s="35"/>
      <c r="I309" s="35"/>
      <c r="J309" s="35"/>
    </row>
    <row r="310" spans="1:13" ht="20.100000000000001" customHeight="1" x14ac:dyDescent="0.25">
      <c r="A310" s="3"/>
      <c r="B310" s="162" t="s">
        <v>404</v>
      </c>
      <c r="C310" s="237"/>
      <c r="D310" s="238"/>
      <c r="E310" s="239">
        <f>IF(MAX(E306:E309)&gt;0,MAX(E306:E309),0)</f>
        <v>89.102075247952484</v>
      </c>
      <c r="F310" s="240">
        <f>IF(MAX(F306:F309)&gt;0,MAX(F306:F309),0)</f>
        <v>33.858788594221942</v>
      </c>
      <c r="G310" s="25"/>
      <c r="I310" s="35"/>
      <c r="J310" s="35"/>
    </row>
    <row r="311" spans="1:13" ht="20.100000000000001" customHeight="1" thickBot="1" x14ac:dyDescent="0.3">
      <c r="A311" s="3"/>
      <c r="B311" s="241" t="s">
        <v>405</v>
      </c>
      <c r="C311" s="242"/>
      <c r="D311" s="243"/>
      <c r="E311" s="244">
        <f>IF(MIN(E306:E309)&lt;0,MIN(E306:E309),0)</f>
        <v>-79.474977931992726</v>
      </c>
      <c r="F311" s="245">
        <f>IF(MIN(F306:F309)&lt;0,MIN(F306:F309),0)</f>
        <v>0</v>
      </c>
    </row>
    <row r="312" spans="1:13" ht="20.100000000000001" customHeight="1" x14ac:dyDescent="0.25">
      <c r="A312" s="3"/>
    </row>
    <row r="313" spans="1:13" ht="20.100000000000001" customHeight="1" x14ac:dyDescent="0.25">
      <c r="A313" s="36" t="s">
        <v>136</v>
      </c>
      <c r="B313" s="25"/>
      <c r="C313" s="25"/>
      <c r="D313" s="25"/>
      <c r="E313" s="25"/>
      <c r="F313" s="25"/>
      <c r="G313" s="25"/>
      <c r="H313" s="35"/>
      <c r="I313" s="35"/>
      <c r="J313" s="35"/>
      <c r="K313" s="35"/>
      <c r="L313" s="35"/>
      <c r="M313" s="35"/>
    </row>
    <row r="314" spans="1:13" ht="20.100000000000001" customHeight="1" x14ac:dyDescent="0.25">
      <c r="A314" s="36" t="s">
        <v>137</v>
      </c>
      <c r="B314" s="25"/>
      <c r="C314" s="25"/>
      <c r="D314" s="25"/>
      <c r="E314" s="25"/>
      <c r="F314" s="25" t="s">
        <v>138</v>
      </c>
      <c r="G314" s="190">
        <f>G15</f>
        <v>4</v>
      </c>
      <c r="H314" s="35" t="s">
        <v>5</v>
      </c>
      <c r="I314" s="35"/>
      <c r="J314" s="35"/>
      <c r="K314" s="204"/>
      <c r="L314" s="35"/>
    </row>
    <row r="315" spans="1:13" ht="20.100000000000001" customHeight="1" x14ac:dyDescent="0.25">
      <c r="A315" s="36"/>
      <c r="B315" s="28"/>
      <c r="C315" s="28"/>
      <c r="D315" s="28"/>
      <c r="E315" s="25"/>
      <c r="F315" s="187" t="s">
        <v>57</v>
      </c>
      <c r="G315" s="25" t="s">
        <v>602</v>
      </c>
      <c r="I315" s="35"/>
      <c r="J315" s="35"/>
      <c r="K315" s="35"/>
      <c r="L315" s="35"/>
      <c r="M315" s="35"/>
    </row>
    <row r="316" spans="1:13" ht="20.100000000000001" customHeight="1" x14ac:dyDescent="0.25">
      <c r="A316" s="119" t="s">
        <v>408</v>
      </c>
      <c r="B316" s="209">
        <f>IF(E303&gt;-E304,E303,E304)</f>
        <v>173.21464965615661</v>
      </c>
      <c r="C316" s="12" t="s">
        <v>123</v>
      </c>
      <c r="D316" s="129"/>
      <c r="E316" s="10"/>
      <c r="F316" s="12"/>
      <c r="G316" s="12"/>
      <c r="H316" s="35"/>
      <c r="I316" s="35"/>
      <c r="J316" s="35"/>
      <c r="K316" s="35"/>
      <c r="L316" s="35"/>
      <c r="M316" s="35"/>
    </row>
    <row r="317" spans="1:13" ht="20.100000000000001" customHeight="1" x14ac:dyDescent="0.25">
      <c r="A317" s="119" t="s">
        <v>399</v>
      </c>
      <c r="B317" s="12"/>
      <c r="C317" s="12"/>
      <c r="D317" s="12"/>
      <c r="E317" s="12"/>
      <c r="F317" s="246">
        <f>B316*G314/2</f>
        <v>346.42929931231322</v>
      </c>
      <c r="G317" s="49" t="s">
        <v>122</v>
      </c>
      <c r="H317" s="35"/>
      <c r="I317" s="35"/>
      <c r="J317" s="35"/>
      <c r="K317" s="35"/>
      <c r="L317" s="35"/>
      <c r="M317" s="35"/>
    </row>
    <row r="318" spans="1:13" ht="20.100000000000001" customHeight="1" x14ac:dyDescent="0.25">
      <c r="A318" s="119" t="s">
        <v>400</v>
      </c>
      <c r="B318" s="12"/>
      <c r="C318" s="12"/>
      <c r="D318" s="246">
        <f>B316*G314^2/8</f>
        <v>346.42929931231322</v>
      </c>
      <c r="E318" s="49" t="s">
        <v>139</v>
      </c>
      <c r="F318" s="12"/>
      <c r="G318" s="12"/>
      <c r="H318" s="35"/>
      <c r="I318" s="35"/>
      <c r="J318" s="35"/>
      <c r="K318" s="35"/>
      <c r="L318" s="35"/>
      <c r="M318" s="35"/>
    </row>
    <row r="319" spans="1:13" ht="20.100000000000001" customHeight="1" x14ac:dyDescent="0.25">
      <c r="H319" s="35"/>
      <c r="I319" s="35"/>
      <c r="J319" s="35"/>
      <c r="K319" s="35"/>
      <c r="L319" s="35"/>
      <c r="M319" s="35"/>
    </row>
    <row r="320" spans="1:13" ht="20.100000000000001" customHeight="1" x14ac:dyDescent="0.25">
      <c r="A320" s="119" t="s">
        <v>409</v>
      </c>
      <c r="B320" s="209">
        <f>IF(F303&gt;-F304,F303,F304)</f>
        <v>65.821566869339506</v>
      </c>
      <c r="C320" s="12" t="s">
        <v>123</v>
      </c>
      <c r="D320" s="129"/>
      <c r="E320" s="10"/>
      <c r="F320" s="12"/>
      <c r="G320" s="50"/>
      <c r="H320" s="35"/>
      <c r="I320" s="35"/>
      <c r="J320" s="35"/>
      <c r="K320" s="35"/>
      <c r="L320" s="35"/>
      <c r="M320" s="35"/>
    </row>
    <row r="321" spans="1:13" ht="20.100000000000001" customHeight="1" x14ac:dyDescent="0.25">
      <c r="A321" s="119" t="s">
        <v>402</v>
      </c>
      <c r="B321" s="50"/>
      <c r="C321" s="50"/>
      <c r="D321" s="50"/>
      <c r="E321" s="50"/>
      <c r="F321" s="247">
        <f>B320*G314/2</f>
        <v>131.64313373867901</v>
      </c>
      <c r="G321" s="49" t="s">
        <v>122</v>
      </c>
      <c r="H321" s="35"/>
      <c r="I321" s="35"/>
      <c r="J321" s="35"/>
      <c r="K321" s="35"/>
      <c r="L321" s="35"/>
      <c r="M321" s="35"/>
    </row>
    <row r="322" spans="1:13" ht="20.100000000000001" customHeight="1" x14ac:dyDescent="0.25">
      <c r="A322" s="119" t="s">
        <v>403</v>
      </c>
      <c r="B322" s="50"/>
      <c r="C322" s="50"/>
      <c r="D322" s="247">
        <f>B320*G314^2/8</f>
        <v>131.64313373867901</v>
      </c>
      <c r="E322" s="48" t="s">
        <v>123</v>
      </c>
      <c r="F322" s="50"/>
      <c r="G322" s="12"/>
      <c r="H322" s="35"/>
      <c r="I322" s="35"/>
      <c r="J322" s="35"/>
      <c r="K322" s="35"/>
      <c r="L322" s="35"/>
      <c r="M322" s="35"/>
    </row>
    <row r="323" spans="1:13" ht="20.100000000000001" customHeight="1" x14ac:dyDescent="0.25">
      <c r="A323" s="248"/>
      <c r="B323" s="49"/>
      <c r="C323" s="49"/>
      <c r="D323" s="49"/>
      <c r="E323" s="12"/>
      <c r="F323" s="12"/>
      <c r="G323" s="12"/>
      <c r="H323" s="35"/>
      <c r="I323" s="35"/>
      <c r="J323" s="35"/>
      <c r="K323" s="35"/>
      <c r="L323" s="35"/>
      <c r="M323" s="35"/>
    </row>
    <row r="324" spans="1:13" ht="20.100000000000001" customHeight="1" x14ac:dyDescent="0.25">
      <c r="A324" s="119"/>
      <c r="B324" s="12"/>
      <c r="C324" s="12"/>
      <c r="D324" s="129"/>
      <c r="E324" s="12"/>
      <c r="F324" s="12"/>
      <c r="G324" s="12"/>
      <c r="H324" s="35"/>
      <c r="I324" s="35"/>
      <c r="J324" s="35"/>
      <c r="K324" s="35"/>
      <c r="L324" s="35"/>
      <c r="M324" s="35"/>
    </row>
    <row r="325" spans="1:13" ht="20.100000000000001" customHeight="1" x14ac:dyDescent="0.25">
      <c r="A325" s="119" t="s">
        <v>410</v>
      </c>
      <c r="B325" s="12"/>
      <c r="C325" s="12"/>
      <c r="D325" s="12"/>
      <c r="E325" s="12"/>
      <c r="F325" s="12"/>
      <c r="G325" s="12"/>
      <c r="H325" s="60" t="s">
        <v>150</v>
      </c>
      <c r="I325" s="41">
        <f>D298</f>
        <v>36</v>
      </c>
      <c r="J325" s="35" t="s">
        <v>120</v>
      </c>
      <c r="K325" s="60" t="s">
        <v>140</v>
      </c>
      <c r="L325" s="193">
        <v>100</v>
      </c>
      <c r="M325" s="35" t="s">
        <v>120</v>
      </c>
    </row>
    <row r="326" spans="1:13" ht="20.100000000000001" customHeight="1" x14ac:dyDescent="0.25">
      <c r="A326" s="36"/>
      <c r="B326" s="28"/>
      <c r="C326" s="28"/>
      <c r="D326" s="28"/>
      <c r="E326" s="43"/>
      <c r="F326" s="28"/>
      <c r="G326" s="28"/>
      <c r="H326" s="28"/>
      <c r="I326" s="35"/>
      <c r="J326" s="35"/>
      <c r="K326" s="35"/>
      <c r="L326" s="35"/>
      <c r="M326" s="35"/>
    </row>
    <row r="327" spans="1:13" ht="20.100000000000001" customHeight="1" x14ac:dyDescent="0.25">
      <c r="A327" s="119" t="s">
        <v>398</v>
      </c>
      <c r="B327" s="12"/>
      <c r="C327" s="12"/>
      <c r="D327" s="209">
        <f>I325*L306</f>
        <v>33.652208901180565</v>
      </c>
      <c r="E327" s="12" t="s">
        <v>123</v>
      </c>
      <c r="F327" s="12"/>
      <c r="G327" s="12"/>
      <c r="H327" s="50"/>
      <c r="I327" s="35"/>
      <c r="J327" s="35"/>
      <c r="K327" s="35"/>
      <c r="L327" s="35"/>
      <c r="M327" s="35"/>
    </row>
    <row r="328" spans="1:13" ht="20.100000000000001" customHeight="1" x14ac:dyDescent="0.25">
      <c r="A328" s="119" t="s">
        <v>411</v>
      </c>
      <c r="B328" s="12"/>
      <c r="C328" s="12"/>
      <c r="D328" s="209">
        <f>L325*L306</f>
        <v>93.4783580588349</v>
      </c>
      <c r="E328" s="12" t="s">
        <v>122</v>
      </c>
      <c r="F328" s="12"/>
      <c r="G328" s="12"/>
      <c r="H328" s="50"/>
      <c r="I328" s="35"/>
      <c r="J328" s="35"/>
      <c r="K328" s="35"/>
      <c r="L328" s="35"/>
      <c r="M328" s="35"/>
    </row>
    <row r="329" spans="1:13" ht="20.100000000000001" customHeight="1" x14ac:dyDescent="0.25">
      <c r="A329" s="119" t="s">
        <v>412</v>
      </c>
      <c r="B329" s="12"/>
      <c r="C329" s="12"/>
      <c r="D329" s="12"/>
      <c r="E329" s="12"/>
      <c r="F329" s="12"/>
      <c r="G329" s="189">
        <f>(D327*$G$314/2)+(D328/2)</f>
        <v>114.04359683177859</v>
      </c>
      <c r="H329" s="49" t="s">
        <v>122</v>
      </c>
      <c r="I329" s="35"/>
      <c r="J329" s="35"/>
      <c r="K329" s="35"/>
      <c r="L329" s="35"/>
      <c r="M329" s="35"/>
    </row>
    <row r="330" spans="1:13" ht="20.100000000000001" customHeight="1" x14ac:dyDescent="0.25">
      <c r="A330" s="119" t="s">
        <v>413</v>
      </c>
      <c r="B330" s="12"/>
      <c r="C330" s="12"/>
      <c r="D330" s="12"/>
      <c r="E330" s="12"/>
      <c r="F330" s="246">
        <f>(D327*($G$314^2)/8)+(D328*$G$314/4)</f>
        <v>160.78277586119603</v>
      </c>
      <c r="G330" s="49" t="s">
        <v>139</v>
      </c>
      <c r="H330" s="12"/>
      <c r="I330" s="35"/>
      <c r="J330" s="35"/>
      <c r="K330" s="35"/>
      <c r="L330" s="35"/>
      <c r="M330" s="35"/>
    </row>
    <row r="331" spans="1:13" ht="20.100000000000001" customHeight="1" x14ac:dyDescent="0.25">
      <c r="A331" s="25"/>
      <c r="B331" s="25"/>
      <c r="C331" s="25"/>
      <c r="D331" s="25"/>
      <c r="E331" s="25"/>
      <c r="F331" s="25"/>
      <c r="G331" s="25"/>
      <c r="H331" s="35"/>
      <c r="I331" s="35"/>
      <c r="J331" s="35"/>
      <c r="K331" s="35"/>
      <c r="L331" s="35"/>
      <c r="M331" s="35"/>
    </row>
    <row r="332" spans="1:13" ht="20.100000000000001" customHeight="1" x14ac:dyDescent="0.25">
      <c r="A332" s="119" t="s">
        <v>401</v>
      </c>
      <c r="B332" s="12"/>
      <c r="C332" s="12"/>
      <c r="D332" s="209">
        <f>I325*L307</f>
        <v>12.787839382448613</v>
      </c>
      <c r="E332" s="12" t="s">
        <v>123</v>
      </c>
      <c r="F332" s="12"/>
      <c r="G332" s="50"/>
      <c r="H332" s="50"/>
      <c r="I332" s="35"/>
      <c r="J332" s="35"/>
      <c r="K332" s="35"/>
      <c r="L332" s="35"/>
      <c r="M332" s="35"/>
    </row>
    <row r="333" spans="1:13" ht="20.100000000000001" customHeight="1" x14ac:dyDescent="0.25">
      <c r="A333" s="119" t="s">
        <v>414</v>
      </c>
      <c r="B333" s="12"/>
      <c r="C333" s="12"/>
      <c r="D333" s="209">
        <f>L325*L307</f>
        <v>35.521776062357254</v>
      </c>
      <c r="E333" s="12" t="s">
        <v>122</v>
      </c>
      <c r="F333" s="12"/>
      <c r="G333" s="50"/>
      <c r="H333" s="50"/>
      <c r="I333" s="35"/>
      <c r="J333" s="35"/>
      <c r="K333" s="35"/>
      <c r="L333" s="35"/>
      <c r="M333" s="35"/>
    </row>
    <row r="334" spans="1:13" ht="20.100000000000001" customHeight="1" x14ac:dyDescent="0.25">
      <c r="A334" s="119" t="s">
        <v>415</v>
      </c>
      <c r="B334" s="50"/>
      <c r="C334" s="50"/>
      <c r="D334" s="50"/>
      <c r="E334" s="50"/>
      <c r="F334" s="12"/>
      <c r="G334" s="247">
        <f>(D332*$G$314/2)+D333/2</f>
        <v>43.336566796075857</v>
      </c>
      <c r="H334" s="49" t="s">
        <v>122</v>
      </c>
      <c r="I334" s="35"/>
      <c r="J334" s="35"/>
      <c r="K334" s="35"/>
      <c r="L334" s="35"/>
      <c r="M334" s="35"/>
    </row>
    <row r="335" spans="1:13" ht="20.100000000000001" customHeight="1" x14ac:dyDescent="0.25">
      <c r="A335" s="119" t="s">
        <v>416</v>
      </c>
      <c r="B335" s="50"/>
      <c r="C335" s="50"/>
      <c r="D335" s="12"/>
      <c r="E335" s="12"/>
      <c r="F335" s="247">
        <f>(D332*$G$314^2/8)+(D333*$G$314/4)</f>
        <v>61.097454827254481</v>
      </c>
      <c r="G335" s="48" t="s">
        <v>123</v>
      </c>
      <c r="H335" s="50"/>
      <c r="I335" s="35"/>
      <c r="J335" s="35"/>
      <c r="K335" s="35"/>
      <c r="L335" s="35"/>
      <c r="M335" s="35"/>
    </row>
    <row r="336" spans="1:13" ht="20.100000000000001" customHeight="1" x14ac:dyDescent="0.25">
      <c r="A336" s="10"/>
      <c r="B336" s="10"/>
      <c r="C336" s="10"/>
      <c r="D336" s="10"/>
      <c r="E336" s="10"/>
      <c r="F336" s="10"/>
      <c r="G336" s="10"/>
      <c r="H336" s="8"/>
    </row>
    <row r="337" spans="1:14" ht="20.100000000000001" customHeight="1" x14ac:dyDescent="0.25">
      <c r="A337" s="249" t="s">
        <v>141</v>
      </c>
      <c r="B337" s="25"/>
      <c r="C337" s="25"/>
      <c r="D337" s="25"/>
      <c r="E337" s="25"/>
      <c r="F337" s="187" t="s">
        <v>254</v>
      </c>
      <c r="G337" s="204">
        <f>G15</f>
        <v>4</v>
      </c>
      <c r="H337" s="35" t="s">
        <v>5</v>
      </c>
      <c r="I337" s="35"/>
      <c r="J337" s="35"/>
      <c r="K337" s="35"/>
      <c r="L337" s="35"/>
      <c r="M337" s="35"/>
      <c r="N337" s="25"/>
    </row>
    <row r="338" spans="1:14" ht="20.100000000000001" customHeight="1" x14ac:dyDescent="0.25">
      <c r="A338" s="36"/>
      <c r="B338" s="28"/>
      <c r="C338" s="28"/>
      <c r="D338" s="28"/>
      <c r="E338" s="25"/>
      <c r="F338" s="187" t="s">
        <v>57</v>
      </c>
      <c r="G338" s="190" t="s">
        <v>602</v>
      </c>
      <c r="H338" s="35"/>
      <c r="I338" s="35"/>
      <c r="J338" s="35"/>
      <c r="K338" s="35"/>
      <c r="L338" s="35"/>
      <c r="M338" s="35"/>
      <c r="N338" s="25"/>
    </row>
    <row r="339" spans="1:14" ht="20.100000000000001" customHeight="1" x14ac:dyDescent="0.25">
      <c r="A339" s="128" t="s">
        <v>408</v>
      </c>
      <c r="B339" s="131">
        <f>IF(E310&gt;-E311,E310,E311)</f>
        <v>89.102075247952484</v>
      </c>
      <c r="C339" s="12" t="s">
        <v>123</v>
      </c>
      <c r="D339" s="129"/>
      <c r="E339" s="12"/>
      <c r="F339" s="12"/>
      <c r="G339" s="12"/>
      <c r="H339" s="35"/>
      <c r="I339" s="35"/>
      <c r="J339" s="35"/>
      <c r="K339" s="35"/>
      <c r="L339" s="35"/>
      <c r="M339" s="35"/>
      <c r="N339" s="25"/>
    </row>
    <row r="340" spans="1:14" ht="20.100000000000001" customHeight="1" x14ac:dyDescent="0.25">
      <c r="A340" s="119" t="s">
        <v>399</v>
      </c>
      <c r="B340" s="12"/>
      <c r="C340" s="12"/>
      <c r="D340" s="12"/>
      <c r="E340" s="12"/>
      <c r="F340" s="246">
        <f>B339*G337/2</f>
        <v>178.20415049590497</v>
      </c>
      <c r="G340" s="49" t="s">
        <v>122</v>
      </c>
      <c r="H340" s="35"/>
      <c r="I340" s="35"/>
      <c r="J340" s="35"/>
      <c r="K340" s="35"/>
      <c r="L340" s="35"/>
      <c r="M340" s="35"/>
      <c r="N340" s="25"/>
    </row>
    <row r="341" spans="1:14" ht="20.100000000000001" customHeight="1" x14ac:dyDescent="0.25">
      <c r="A341" s="119" t="s">
        <v>400</v>
      </c>
      <c r="B341" s="12"/>
      <c r="C341" s="12"/>
      <c r="D341" s="246">
        <f>B339*G337^2/8</f>
        <v>178.20415049590497</v>
      </c>
      <c r="E341" s="49" t="s">
        <v>139</v>
      </c>
      <c r="F341" s="12"/>
      <c r="G341" s="12"/>
      <c r="H341" s="35"/>
      <c r="I341" s="35"/>
      <c r="J341" s="35"/>
      <c r="K341" s="35"/>
      <c r="L341" s="35"/>
      <c r="M341" s="35"/>
      <c r="N341" s="25"/>
    </row>
    <row r="342" spans="1:14" ht="20.100000000000001" customHeight="1" x14ac:dyDescent="0.25">
      <c r="A342" s="119"/>
      <c r="B342" s="12"/>
      <c r="C342" s="12"/>
      <c r="D342" s="246"/>
      <c r="E342" s="49"/>
      <c r="F342" s="12"/>
      <c r="G342" s="12"/>
      <c r="H342" s="35"/>
      <c r="I342" s="35"/>
      <c r="J342" s="35"/>
      <c r="K342" s="35"/>
      <c r="L342" s="35"/>
      <c r="M342" s="35"/>
      <c r="N342" s="25"/>
    </row>
    <row r="343" spans="1:14" ht="20.100000000000001" customHeight="1" x14ac:dyDescent="0.25">
      <c r="A343" s="119" t="s">
        <v>409</v>
      </c>
      <c r="B343" s="131">
        <f>IF(F310&gt;-F311,F310,F311)</f>
        <v>33.858788594221942</v>
      </c>
      <c r="C343" s="12" t="s">
        <v>123</v>
      </c>
      <c r="D343" s="129"/>
      <c r="F343" s="12"/>
      <c r="G343" s="50"/>
      <c r="H343" s="35"/>
      <c r="I343" s="35"/>
      <c r="J343" s="35"/>
      <c r="K343" s="35"/>
      <c r="L343" s="35"/>
      <c r="M343" s="35"/>
      <c r="N343" s="25"/>
    </row>
    <row r="344" spans="1:14" ht="20.100000000000001" customHeight="1" x14ac:dyDescent="0.25">
      <c r="A344" s="119" t="s">
        <v>402</v>
      </c>
      <c r="B344" s="50"/>
      <c r="C344" s="50"/>
      <c r="D344" s="50"/>
      <c r="E344" s="50"/>
      <c r="F344" s="247">
        <f>B343*G337/2</f>
        <v>67.717577188443883</v>
      </c>
      <c r="G344" s="49" t="s">
        <v>122</v>
      </c>
      <c r="H344" s="35"/>
      <c r="I344" s="35"/>
      <c r="J344" s="35"/>
      <c r="K344" s="35"/>
      <c r="L344" s="35"/>
      <c r="M344" s="35"/>
      <c r="N344" s="25"/>
    </row>
    <row r="345" spans="1:14" ht="20.100000000000001" customHeight="1" x14ac:dyDescent="0.25">
      <c r="A345" s="119" t="s">
        <v>403</v>
      </c>
      <c r="B345" s="50"/>
      <c r="C345" s="50"/>
      <c r="D345" s="247">
        <f>B343*G337^2/8</f>
        <v>67.717577188443883</v>
      </c>
      <c r="E345" s="48" t="s">
        <v>123</v>
      </c>
      <c r="F345" s="50"/>
      <c r="G345" s="12"/>
      <c r="H345" s="35"/>
      <c r="I345" s="35"/>
      <c r="J345" s="35"/>
      <c r="K345" s="35"/>
      <c r="L345" s="35"/>
      <c r="M345" s="35"/>
      <c r="N345" s="25"/>
    </row>
    <row r="346" spans="1:14" ht="20.100000000000001" customHeight="1" x14ac:dyDescent="0.25">
      <c r="A346" s="25"/>
      <c r="B346" s="25"/>
      <c r="C346" s="25"/>
      <c r="D346" s="25"/>
      <c r="E346" s="25"/>
      <c r="F346" s="25"/>
      <c r="G346" s="25"/>
      <c r="H346" s="35"/>
      <c r="I346" s="35"/>
      <c r="J346" s="35"/>
      <c r="K346" s="35"/>
      <c r="L346" s="35"/>
      <c r="M346" s="35"/>
      <c r="N346" s="25"/>
    </row>
    <row r="347" spans="1:14" ht="20.100000000000001" customHeight="1" x14ac:dyDescent="0.25">
      <c r="A347" s="28" t="s">
        <v>142</v>
      </c>
      <c r="B347" s="25"/>
      <c r="C347" s="25"/>
      <c r="D347" s="25"/>
      <c r="E347" s="25"/>
      <c r="F347" s="25"/>
      <c r="G347" s="25"/>
      <c r="H347" s="35"/>
      <c r="I347" s="35"/>
      <c r="J347" s="35" t="s">
        <v>422</v>
      </c>
      <c r="K347" s="44">
        <v>2400</v>
      </c>
      <c r="L347" s="35" t="s">
        <v>420</v>
      </c>
      <c r="M347" s="35"/>
      <c r="N347" s="25"/>
    </row>
    <row r="348" spans="1:14" ht="20.100000000000001" customHeight="1" x14ac:dyDescent="0.25">
      <c r="A348" s="25" t="s">
        <v>440</v>
      </c>
      <c r="B348" s="130">
        <f>IF(MAX(D318,F330,D341)&gt;-MIN(D318,F330,D341),MAX(D318,F330,D341),MIN(D318,F330,D341))</f>
        <v>346.42929931231322</v>
      </c>
      <c r="C348" s="25" t="s">
        <v>139</v>
      </c>
      <c r="E348" s="25"/>
      <c r="F348" s="25"/>
      <c r="G348" s="25"/>
      <c r="H348" s="25"/>
      <c r="I348" s="25"/>
      <c r="J348" s="35" t="s">
        <v>424</v>
      </c>
      <c r="K348" s="44">
        <v>1.6</v>
      </c>
      <c r="L348" s="35"/>
      <c r="M348" s="35"/>
      <c r="N348" s="25"/>
    </row>
    <row r="349" spans="1:14" ht="20.100000000000001" customHeight="1" x14ac:dyDescent="0.25">
      <c r="A349" s="25" t="s">
        <v>441</v>
      </c>
      <c r="B349" s="130">
        <f>IF(MAX(D322,F335,D345)&gt;-MIN(D322,F335,D345),MAX(D322,F335,D345),MIN(D322,F335,D345))</f>
        <v>131.64313373867901</v>
      </c>
      <c r="C349" s="25" t="s">
        <v>139</v>
      </c>
      <c r="E349" s="25"/>
      <c r="F349" s="25"/>
      <c r="G349" s="25"/>
      <c r="H349" s="25"/>
      <c r="I349" s="25"/>
      <c r="J349" s="35" t="s">
        <v>144</v>
      </c>
      <c r="K349" s="497">
        <v>2100000</v>
      </c>
      <c r="L349" s="497"/>
      <c r="M349" s="35" t="s">
        <v>420</v>
      </c>
      <c r="N349" s="25"/>
    </row>
    <row r="350" spans="1:14" ht="20.100000000000001" customHeight="1" x14ac:dyDescent="0.25">
      <c r="A350" s="25"/>
      <c r="B350" s="130"/>
      <c r="C350" s="25"/>
      <c r="E350" s="25"/>
      <c r="F350" s="25"/>
      <c r="G350" s="25"/>
      <c r="H350" s="25" t="s">
        <v>442</v>
      </c>
      <c r="I350" s="25"/>
      <c r="J350" s="35"/>
      <c r="K350" s="35"/>
      <c r="L350" s="35"/>
      <c r="M350" s="257">
        <v>150</v>
      </c>
      <c r="N350" s="25"/>
    </row>
    <row r="351" spans="1:14" ht="20.100000000000001" customHeight="1" x14ac:dyDescent="0.25">
      <c r="A351" s="35" t="s">
        <v>419</v>
      </c>
      <c r="B351" s="35"/>
      <c r="C351" s="35"/>
      <c r="D351" s="35">
        <f>K347/K348</f>
        <v>1500</v>
      </c>
      <c r="E351" s="35" t="s">
        <v>420</v>
      </c>
      <c r="F351" s="35"/>
      <c r="G351" s="25"/>
      <c r="N351" s="25"/>
    </row>
    <row r="352" spans="1:14" ht="20.100000000000001" customHeight="1" x14ac:dyDescent="0.25">
      <c r="A352" s="25" t="s">
        <v>417</v>
      </c>
      <c r="B352" s="25"/>
      <c r="C352" s="25"/>
      <c r="D352" s="25"/>
      <c r="E352" s="191">
        <f>B348*100/D351</f>
        <v>23.095286620820882</v>
      </c>
      <c r="F352" s="25" t="s">
        <v>418</v>
      </c>
      <c r="G352" s="25"/>
      <c r="N352" s="25"/>
    </row>
    <row r="353" spans="1:25" ht="20.100000000000001" customHeight="1" x14ac:dyDescent="0.25">
      <c r="A353" s="25" t="s">
        <v>421</v>
      </c>
      <c r="B353" s="25"/>
      <c r="C353" s="25"/>
      <c r="D353" s="25"/>
      <c r="E353" s="191">
        <f>B349*100/D351</f>
        <v>8.7762089159119334</v>
      </c>
      <c r="F353" s="25" t="s">
        <v>418</v>
      </c>
      <c r="G353" s="25"/>
      <c r="H353" s="35"/>
      <c r="I353" s="35"/>
      <c r="N353" s="25"/>
    </row>
    <row r="354" spans="1:25" ht="20.100000000000001" customHeight="1" x14ac:dyDescent="0.25">
      <c r="A354" s="25"/>
      <c r="B354" s="25"/>
      <c r="C354" s="25"/>
      <c r="D354" s="25"/>
      <c r="E354" s="191"/>
      <c r="F354" s="25"/>
      <c r="G354" s="25"/>
      <c r="H354" s="35"/>
      <c r="I354" s="35"/>
      <c r="N354" s="25"/>
    </row>
    <row r="355" spans="1:25" ht="20.100000000000001" customHeight="1" x14ac:dyDescent="0.25">
      <c r="A355" s="25" t="s">
        <v>423</v>
      </c>
      <c r="B355" s="25"/>
      <c r="C355" s="25"/>
      <c r="D355" s="191">
        <f>G337*100/M350</f>
        <v>2.6666666666666665</v>
      </c>
      <c r="E355" s="25" t="s">
        <v>143</v>
      </c>
      <c r="F355" s="25"/>
      <c r="G355" s="25"/>
      <c r="H355" s="35"/>
      <c r="I355" s="35"/>
      <c r="N355" s="25"/>
    </row>
    <row r="356" spans="1:25" ht="20.25" customHeight="1" x14ac:dyDescent="0.25">
      <c r="A356" s="25" t="s">
        <v>425</v>
      </c>
      <c r="B356" s="25"/>
      <c r="C356" s="25"/>
      <c r="D356" s="25"/>
      <c r="E356" s="25"/>
      <c r="F356" s="130">
        <f>(5/48)*(B348*100)*(G337*100)^2/(K349*D355)</f>
        <v>103.10395812866466</v>
      </c>
      <c r="G356" s="25" t="s">
        <v>426</v>
      </c>
      <c r="H356" s="35"/>
      <c r="I356" s="35"/>
      <c r="J356" s="35"/>
      <c r="K356" s="35"/>
      <c r="L356" s="35"/>
      <c r="M356" s="35"/>
      <c r="N356" s="25"/>
    </row>
    <row r="357" spans="1:25" ht="20.100000000000001" customHeight="1" x14ac:dyDescent="0.25">
      <c r="A357" s="25" t="s">
        <v>427</v>
      </c>
      <c r="B357" s="25"/>
      <c r="C357" s="25"/>
      <c r="D357" s="25"/>
      <c r="E357" s="25"/>
      <c r="F357" s="130">
        <f>(5/48)*(B349*100)*(G337*100)^2/(K349*D355)</f>
        <v>39.179504088892557</v>
      </c>
      <c r="G357" s="25" t="s">
        <v>426</v>
      </c>
      <c r="H357" s="35"/>
      <c r="I357" s="35"/>
      <c r="J357" s="35"/>
      <c r="K357" s="35"/>
      <c r="L357" s="35"/>
      <c r="M357" s="35"/>
      <c r="N357" s="25"/>
    </row>
    <row r="358" spans="1:25" ht="20.25" customHeight="1" x14ac:dyDescent="0.25">
      <c r="A358" s="25"/>
      <c r="B358" s="25"/>
      <c r="C358" s="25"/>
      <c r="D358" s="25"/>
      <c r="E358" s="25"/>
      <c r="F358" s="25"/>
      <c r="G358" s="25"/>
      <c r="H358" s="35"/>
      <c r="I358" s="35"/>
      <c r="J358" s="35"/>
      <c r="K358" s="35"/>
      <c r="L358" s="35"/>
      <c r="M358" s="35"/>
      <c r="N358" s="25"/>
    </row>
    <row r="359" spans="1:25" ht="20.25" customHeight="1" x14ac:dyDescent="0.25">
      <c r="A359" s="25"/>
      <c r="B359" s="25"/>
      <c r="C359" s="25"/>
      <c r="D359" s="25"/>
      <c r="E359" s="25"/>
      <c r="F359" s="25"/>
      <c r="G359" s="25"/>
      <c r="H359" s="35"/>
      <c r="I359" s="35"/>
      <c r="J359" s="35"/>
      <c r="K359" s="35"/>
      <c r="L359" s="35"/>
      <c r="M359" s="35"/>
      <c r="N359" s="25"/>
    </row>
    <row r="360" spans="1:25" ht="20.25" customHeight="1" x14ac:dyDescent="0.25">
      <c r="A360" s="25"/>
      <c r="B360" s="25"/>
      <c r="C360" s="25"/>
      <c r="D360" s="25"/>
      <c r="E360" s="25"/>
      <c r="F360" s="25"/>
      <c r="G360" s="25"/>
      <c r="H360" s="35"/>
      <c r="I360" s="35"/>
      <c r="J360" s="35"/>
      <c r="K360" s="35"/>
      <c r="L360" s="35"/>
      <c r="M360" s="35"/>
      <c r="N360" s="25"/>
    </row>
    <row r="361" spans="1:25" ht="20.100000000000001" customHeight="1" x14ac:dyDescent="0.25">
      <c r="A361" s="25" t="s">
        <v>146</v>
      </c>
      <c r="B361" s="25"/>
      <c r="C361" s="25"/>
      <c r="D361" s="25"/>
      <c r="E361" s="25"/>
      <c r="F361" s="25"/>
      <c r="G361" s="25"/>
      <c r="H361" s="35"/>
      <c r="I361" s="35"/>
      <c r="J361" s="35"/>
      <c r="K361" s="35"/>
      <c r="L361" s="35"/>
      <c r="M361" s="35"/>
      <c r="N361" s="25"/>
    </row>
    <row r="362" spans="1:25" ht="20.100000000000001" customHeight="1" x14ac:dyDescent="0.25">
      <c r="A362" s="25" t="s">
        <v>145</v>
      </c>
      <c r="B362" s="25"/>
      <c r="C362" s="25"/>
      <c r="D362" s="25"/>
      <c r="E362" s="25"/>
      <c r="F362" s="25"/>
      <c r="G362" s="25"/>
      <c r="H362" s="35"/>
      <c r="I362" s="35"/>
      <c r="J362" s="35"/>
      <c r="K362" s="35"/>
      <c r="L362" s="35"/>
      <c r="M362" s="35"/>
      <c r="N362" s="25"/>
    </row>
    <row r="363" spans="1:25" ht="20.100000000000001" customHeight="1" x14ac:dyDescent="0.25">
      <c r="A363" s="25" t="s">
        <v>147</v>
      </c>
      <c r="B363" s="25"/>
      <c r="C363" s="25"/>
      <c r="D363" s="25"/>
      <c r="E363" s="25"/>
      <c r="F363" s="25"/>
      <c r="G363" s="25"/>
      <c r="H363" s="35"/>
      <c r="I363" s="35"/>
      <c r="J363" s="35"/>
      <c r="K363" s="35"/>
      <c r="L363" s="35"/>
      <c r="M363" s="35"/>
      <c r="N363" s="25"/>
    </row>
    <row r="364" spans="1:25" ht="20.100000000000001" customHeight="1" x14ac:dyDescent="0.25">
      <c r="A364" s="25" t="s">
        <v>148</v>
      </c>
      <c r="B364" s="25"/>
      <c r="C364" s="25"/>
      <c r="D364" s="25"/>
      <c r="E364" s="25"/>
      <c r="F364" s="25"/>
      <c r="G364" s="25"/>
      <c r="H364" s="35"/>
      <c r="I364" s="35"/>
      <c r="J364" s="35"/>
      <c r="K364" s="35"/>
      <c r="L364" s="35"/>
      <c r="M364" s="35"/>
      <c r="N364" s="25"/>
    </row>
    <row r="365" spans="1:25" ht="20.100000000000001" customHeight="1" x14ac:dyDescent="0.25">
      <c r="A365" s="25" t="s">
        <v>149</v>
      </c>
      <c r="B365" s="25"/>
      <c r="C365" s="25"/>
      <c r="D365" s="25"/>
      <c r="E365" s="25"/>
      <c r="F365" s="25"/>
      <c r="G365" s="25"/>
      <c r="H365" s="35"/>
      <c r="I365" s="35"/>
      <c r="J365" s="35"/>
      <c r="K365" s="35"/>
      <c r="L365" s="35"/>
      <c r="M365" s="35"/>
      <c r="N365" s="25"/>
      <c r="Y365" s="25" t="s">
        <v>428</v>
      </c>
    </row>
    <row r="366" spans="1:25" ht="20.100000000000001" customHeight="1" x14ac:dyDescent="0.25">
      <c r="A366" s="197" t="s">
        <v>443</v>
      </c>
      <c r="B366" s="210">
        <f>IF(MAX(B320,D332,B343)&gt;-MIN(B320,D332,B343),MAX(B320,D332,B343),MIN(B320,D332,B343))</f>
        <v>65.821566869339506</v>
      </c>
      <c r="C366" s="25" t="s">
        <v>123</v>
      </c>
      <c r="D366" s="25"/>
      <c r="E366" s="25"/>
      <c r="F366" s="25"/>
      <c r="G366" s="25"/>
      <c r="H366" s="35"/>
      <c r="I366" s="35"/>
      <c r="J366" s="35"/>
      <c r="K366" s="35"/>
      <c r="L366" s="35"/>
      <c r="M366" s="35"/>
      <c r="N366" s="25"/>
      <c r="Y366" s="25" t="s">
        <v>429</v>
      </c>
    </row>
    <row r="367" spans="1:25" ht="20.100000000000001" customHeight="1" x14ac:dyDescent="0.25">
      <c r="A367" s="25" t="s">
        <v>617</v>
      </c>
      <c r="B367" s="25"/>
      <c r="C367" s="25"/>
      <c r="D367" s="210">
        <f>9*B366*(G337^2)/512</f>
        <v>18.512315682001734</v>
      </c>
      <c r="E367" s="25" t="s">
        <v>139</v>
      </c>
      <c r="G367" s="25"/>
      <c r="H367" s="35"/>
      <c r="I367" s="35"/>
      <c r="J367" s="35"/>
      <c r="K367" s="35"/>
      <c r="L367" s="35"/>
      <c r="M367" s="35"/>
      <c r="N367" s="25"/>
      <c r="Y367" s="25" t="s">
        <v>430</v>
      </c>
    </row>
    <row r="368" spans="1:25" ht="20.100000000000001" customHeight="1" x14ac:dyDescent="0.25">
      <c r="A368" s="25" t="s">
        <v>618</v>
      </c>
      <c r="B368" s="25"/>
      <c r="C368" s="25"/>
      <c r="D368" s="210">
        <f>B366*(G337^2)/32</f>
        <v>32.910783434669753</v>
      </c>
      <c r="E368" s="25" t="s">
        <v>139</v>
      </c>
      <c r="G368" s="25"/>
      <c r="H368" s="35"/>
      <c r="I368" s="35"/>
      <c r="J368" s="35"/>
      <c r="K368" s="35"/>
      <c r="L368" s="35"/>
      <c r="M368" s="35"/>
      <c r="N368" s="25"/>
      <c r="Y368" s="25" t="s">
        <v>431</v>
      </c>
    </row>
    <row r="369" spans="1:25" ht="20.100000000000001" customHeight="1" x14ac:dyDescent="0.25">
      <c r="A369" s="25"/>
      <c r="B369" s="25"/>
      <c r="C369" s="25"/>
      <c r="D369" s="210"/>
      <c r="E369" s="25"/>
      <c r="G369" s="25"/>
      <c r="H369" s="35"/>
      <c r="I369" s="35"/>
      <c r="J369" s="35"/>
      <c r="K369" s="35"/>
      <c r="L369" s="35"/>
      <c r="M369" s="35"/>
      <c r="N369" s="25"/>
      <c r="Y369" s="25" t="s">
        <v>432</v>
      </c>
    </row>
    <row r="370" spans="1:25" ht="20.100000000000001" customHeight="1" x14ac:dyDescent="0.25">
      <c r="A370" s="25" t="s">
        <v>619</v>
      </c>
      <c r="B370" s="25"/>
      <c r="C370" s="25"/>
      <c r="D370" s="25"/>
      <c r="E370" s="210">
        <f>3*B366*G337/16</f>
        <v>49.366175152004629</v>
      </c>
      <c r="F370" s="25" t="s">
        <v>122</v>
      </c>
      <c r="H370" s="35"/>
      <c r="I370" s="35"/>
      <c r="J370" s="35"/>
      <c r="K370" s="35"/>
      <c r="L370" s="35"/>
      <c r="M370" s="35"/>
      <c r="N370" s="25"/>
    </row>
    <row r="371" spans="1:25" ht="20.100000000000001" customHeight="1" x14ac:dyDescent="0.25">
      <c r="A371" s="25" t="s">
        <v>620</v>
      </c>
      <c r="B371" s="25"/>
      <c r="C371" s="25"/>
      <c r="D371" s="25"/>
      <c r="E371" s="210">
        <f>10*B366*G337/16</f>
        <v>164.55391717334876</v>
      </c>
      <c r="F371" s="25" t="s">
        <v>122</v>
      </c>
      <c r="H371" s="35"/>
      <c r="I371" s="28" t="s">
        <v>151</v>
      </c>
      <c r="J371" s="35"/>
      <c r="K371" s="35"/>
      <c r="L371" s="250">
        <v>100</v>
      </c>
      <c r="M371" s="35"/>
      <c r="N371" s="25"/>
    </row>
    <row r="372" spans="1:25" ht="20.100000000000001" customHeight="1" x14ac:dyDescent="0.25">
      <c r="A372" s="25"/>
      <c r="B372" s="25"/>
      <c r="C372" s="25"/>
      <c r="D372" s="25"/>
      <c r="E372" s="30"/>
      <c r="F372" s="25"/>
      <c r="G372" s="25"/>
      <c r="H372" s="35"/>
      <c r="I372" s="35"/>
      <c r="J372" s="35"/>
      <c r="K372" s="60" t="s">
        <v>6</v>
      </c>
      <c r="L372" s="251">
        <v>10.6</v>
      </c>
      <c r="M372" s="35" t="s">
        <v>433</v>
      </c>
      <c r="N372" s="25"/>
    </row>
    <row r="373" spans="1:25" ht="20.100000000000001" customHeight="1" x14ac:dyDescent="0.25">
      <c r="A373" s="25" t="s">
        <v>444</v>
      </c>
      <c r="B373" s="25"/>
      <c r="C373" s="191">
        <f>E352</f>
        <v>23.095286620820882</v>
      </c>
      <c r="D373" s="25" t="s">
        <v>418</v>
      </c>
      <c r="E373" s="30"/>
      <c r="F373" s="25"/>
      <c r="G373" s="25"/>
      <c r="H373" s="35"/>
      <c r="I373" s="35"/>
      <c r="J373" s="35"/>
      <c r="K373" s="60" t="s">
        <v>435</v>
      </c>
      <c r="L373" s="252">
        <v>171</v>
      </c>
      <c r="M373" s="35" t="s">
        <v>426</v>
      </c>
      <c r="N373" s="28" t="str">
        <f>IF(C376&lt;L373,"BC","MC")</f>
        <v>BC</v>
      </c>
    </row>
    <row r="374" spans="1:25" ht="20.100000000000001" customHeight="1" x14ac:dyDescent="0.25">
      <c r="A374" s="25" t="s">
        <v>434</v>
      </c>
      <c r="B374" s="25"/>
      <c r="C374" s="25"/>
      <c r="D374" s="25"/>
      <c r="E374" s="190">
        <f>MAX(D367:D369)*100/D351</f>
        <v>2.1940522289779834</v>
      </c>
      <c r="F374" s="25" t="s">
        <v>418</v>
      </c>
      <c r="G374" s="25"/>
      <c r="H374" s="35"/>
      <c r="I374" s="35"/>
      <c r="J374" s="35"/>
      <c r="K374" s="60" t="s">
        <v>164</v>
      </c>
      <c r="L374" s="251">
        <v>12.2</v>
      </c>
      <c r="M374" s="35" t="s">
        <v>426</v>
      </c>
      <c r="N374" s="28" t="str">
        <f>IF(F377&lt;L374,"BC","MC")</f>
        <v>BC</v>
      </c>
    </row>
    <row r="375" spans="1:25" ht="20.100000000000001" customHeight="1" x14ac:dyDescent="0.25">
      <c r="A375" s="25"/>
      <c r="B375" s="25"/>
      <c r="C375" s="25"/>
      <c r="D375" s="25"/>
      <c r="E375" s="30"/>
      <c r="F375" s="25"/>
      <c r="G375" s="25"/>
      <c r="H375" s="35"/>
      <c r="I375" s="35"/>
      <c r="J375" s="35"/>
      <c r="K375" s="60" t="s">
        <v>436</v>
      </c>
      <c r="L375" s="251">
        <v>34.200000000000003</v>
      </c>
      <c r="M375" s="35" t="s">
        <v>418</v>
      </c>
      <c r="N375" s="28" t="str">
        <f>IF(C373&lt;L375,"BC","MC")</f>
        <v>BC</v>
      </c>
    </row>
    <row r="376" spans="1:25" ht="20.100000000000001" customHeight="1" x14ac:dyDescent="0.25">
      <c r="A376" s="25" t="s">
        <v>445</v>
      </c>
      <c r="B376" s="25"/>
      <c r="C376" s="130">
        <f>F356</f>
        <v>103.10395812866466</v>
      </c>
      <c r="D376" s="25" t="s">
        <v>426</v>
      </c>
      <c r="E376" s="30"/>
      <c r="F376" s="25"/>
      <c r="G376" s="25"/>
      <c r="H376" s="35"/>
      <c r="I376" s="35"/>
      <c r="J376" s="35"/>
      <c r="K376" s="60" t="s">
        <v>437</v>
      </c>
      <c r="L376" s="253">
        <v>4.88</v>
      </c>
      <c r="M376" s="35" t="s">
        <v>418</v>
      </c>
      <c r="N376" s="28" t="str">
        <f>IF(E374&lt;L376,"BC","MC")</f>
        <v>BC</v>
      </c>
    </row>
    <row r="377" spans="1:25" ht="20.100000000000001" customHeight="1" x14ac:dyDescent="0.25">
      <c r="A377" s="25" t="s">
        <v>621</v>
      </c>
      <c r="B377" s="25"/>
      <c r="C377" s="25"/>
      <c r="D377" s="25"/>
      <c r="E377" s="25"/>
      <c r="F377" s="311">
        <f>5*B366*(G337*100/2)^4/(384*K349*D355*100)</f>
        <v>2.4487190055557853</v>
      </c>
      <c r="G377" s="25" t="s">
        <v>426</v>
      </c>
      <c r="H377" s="35"/>
      <c r="I377" s="35"/>
      <c r="J377" s="35"/>
      <c r="K377" s="60" t="s">
        <v>167</v>
      </c>
      <c r="L377" s="44">
        <v>5</v>
      </c>
      <c r="M377" s="254" t="s">
        <v>143</v>
      </c>
      <c r="N377" s="25"/>
    </row>
    <row r="378" spans="1:25" ht="20.100000000000001" customHeight="1" x14ac:dyDescent="0.25">
      <c r="B378" s="25"/>
      <c r="C378" s="25"/>
      <c r="D378" s="25"/>
      <c r="E378" s="30"/>
      <c r="H378" s="35"/>
      <c r="I378" s="35"/>
      <c r="J378" s="35"/>
      <c r="K378" s="60" t="s">
        <v>439</v>
      </c>
      <c r="L378" s="255">
        <v>0.68</v>
      </c>
      <c r="M378" s="254" t="s">
        <v>143</v>
      </c>
      <c r="N378" s="25"/>
    </row>
    <row r="379" spans="1:25" ht="20.100000000000001" customHeight="1" x14ac:dyDescent="0.25">
      <c r="A379" s="25" t="s">
        <v>438</v>
      </c>
      <c r="B379" s="25"/>
      <c r="C379" s="25"/>
      <c r="D379" s="25"/>
      <c r="E379" s="130">
        <f>((B348/L375)+(D368/L376))*100</f>
        <v>1687.3524674706366</v>
      </c>
      <c r="F379" s="25" t="s">
        <v>420</v>
      </c>
      <c r="H379" s="35"/>
      <c r="I379" s="35" t="s">
        <v>474</v>
      </c>
      <c r="J379" s="35"/>
      <c r="K379" s="60" t="s">
        <v>171</v>
      </c>
      <c r="L379" s="256">
        <v>19.899999999999999</v>
      </c>
      <c r="M379" s="35" t="s">
        <v>418</v>
      </c>
      <c r="N379" s="25"/>
    </row>
    <row r="380" spans="1:25" ht="20.100000000000001" customHeight="1" x14ac:dyDescent="0.25">
      <c r="B380" s="25"/>
      <c r="C380" s="25"/>
      <c r="D380" s="25"/>
      <c r="E380" s="25"/>
      <c r="F380" s="25"/>
      <c r="G380" s="25"/>
      <c r="H380" s="35"/>
      <c r="I380" s="35"/>
      <c r="J380" s="35"/>
      <c r="K380" s="60" t="s">
        <v>173</v>
      </c>
      <c r="L380" s="44">
        <v>10</v>
      </c>
      <c r="M380" s="35" t="s">
        <v>143</v>
      </c>
      <c r="N380" s="25"/>
    </row>
    <row r="381" spans="1:25" ht="20.100000000000001" customHeight="1" x14ac:dyDescent="0.25">
      <c r="B381" s="25"/>
      <c r="C381" s="25"/>
      <c r="D381" s="25"/>
      <c r="E381" s="25"/>
      <c r="F381" s="25"/>
      <c r="G381" s="25"/>
      <c r="H381" s="35"/>
      <c r="I381" s="35"/>
      <c r="J381" s="35"/>
      <c r="K381" s="60" t="s">
        <v>174</v>
      </c>
      <c r="L381" s="44">
        <v>0.45</v>
      </c>
      <c r="M381" s="35" t="s">
        <v>143</v>
      </c>
      <c r="N381" s="25"/>
    </row>
    <row r="382" spans="1:25" ht="20.100000000000001" customHeight="1" x14ac:dyDescent="0.25">
      <c r="A382" s="25" t="s">
        <v>144</v>
      </c>
      <c r="B382" s="501">
        <v>200000</v>
      </c>
      <c r="C382" s="501"/>
      <c r="D382" s="25" t="s">
        <v>168</v>
      </c>
      <c r="E382" s="25"/>
      <c r="F382" s="25"/>
      <c r="G382" s="25"/>
      <c r="H382" s="35"/>
    </row>
    <row r="383" spans="1:25" ht="20.100000000000001" customHeight="1" x14ac:dyDescent="0.25">
      <c r="A383" s="25" t="s">
        <v>169</v>
      </c>
      <c r="B383" s="501">
        <v>235</v>
      </c>
      <c r="C383" s="501"/>
      <c r="D383" s="25" t="s">
        <v>168</v>
      </c>
      <c r="E383" s="25"/>
      <c r="F383" s="25"/>
      <c r="G383" s="25"/>
      <c r="H383" s="35"/>
    </row>
    <row r="384" spans="1:25" ht="20.100000000000001" customHeight="1" x14ac:dyDescent="0.25">
      <c r="A384" s="25"/>
      <c r="B384" s="258"/>
      <c r="C384" s="258"/>
      <c r="D384" s="30"/>
      <c r="E384" s="25"/>
      <c r="F384" s="25"/>
      <c r="G384" s="25"/>
      <c r="H384" s="35"/>
    </row>
    <row r="385" spans="1:14" ht="20.100000000000001" customHeight="1" x14ac:dyDescent="0.25">
      <c r="A385" s="28" t="s">
        <v>165</v>
      </c>
      <c r="B385" s="25"/>
      <c r="C385" s="25"/>
      <c r="D385" s="25"/>
      <c r="E385" s="25"/>
      <c r="F385" s="25"/>
      <c r="G385" s="25"/>
      <c r="H385" s="35"/>
      <c r="I385" s="35"/>
      <c r="J385" s="35"/>
      <c r="K385" s="35"/>
      <c r="L385" s="35"/>
      <c r="M385" s="35"/>
      <c r="N385" s="25"/>
    </row>
    <row r="386" spans="1:14" ht="20.100000000000001" customHeight="1" x14ac:dyDescent="0.25">
      <c r="A386" s="25" t="s">
        <v>166</v>
      </c>
      <c r="B386" s="25"/>
      <c r="C386" s="25"/>
      <c r="D386" s="25" t="s">
        <v>446</v>
      </c>
      <c r="E386" s="191">
        <f>L377/(2*L378)</f>
        <v>3.6764705882352939</v>
      </c>
      <c r="F386" s="25"/>
      <c r="G386" s="25"/>
      <c r="H386" s="35"/>
      <c r="I386" s="35"/>
      <c r="J386" s="35"/>
      <c r="K386" s="35"/>
      <c r="L386" s="35"/>
      <c r="M386" s="35"/>
      <c r="N386" s="25"/>
    </row>
    <row r="387" spans="1:14" ht="20.100000000000001" customHeight="1" x14ac:dyDescent="0.25">
      <c r="A387" s="25"/>
      <c r="B387" s="502" t="s">
        <v>447</v>
      </c>
      <c r="C387" s="502"/>
      <c r="D387" s="502"/>
      <c r="E387" s="502"/>
      <c r="F387" s="191">
        <f>0.38*SQRT(B382/B383)</f>
        <v>11.085739353839987</v>
      </c>
      <c r="G387" s="25"/>
      <c r="H387" s="265" t="str">
        <f>IF(E386&lt;F387,"&gt; b/2t   Sección Compacta","&lt; b/2t  Sección No compacta")</f>
        <v>&gt; b/2t   Sección Compacta</v>
      </c>
      <c r="I387" s="266"/>
      <c r="J387" s="266"/>
      <c r="K387" s="266"/>
      <c r="L387" s="266"/>
      <c r="M387" s="35"/>
      <c r="N387" s="25"/>
    </row>
    <row r="388" spans="1:14" ht="20.100000000000001" customHeight="1" x14ac:dyDescent="0.25">
      <c r="A388" s="25"/>
      <c r="B388" s="25"/>
      <c r="C388" s="25"/>
      <c r="D388" s="25"/>
      <c r="E388" s="25"/>
      <c r="F388" s="25"/>
      <c r="G388" s="25"/>
      <c r="H388" s="35"/>
      <c r="I388" s="35"/>
      <c r="J388" s="35"/>
      <c r="K388" s="35"/>
      <c r="L388" s="35"/>
      <c r="M388" s="35"/>
      <c r="N388" s="25"/>
    </row>
    <row r="389" spans="1:14" ht="20.100000000000001" customHeight="1" x14ac:dyDescent="0.25">
      <c r="A389" s="28" t="s">
        <v>170</v>
      </c>
      <c r="B389" s="25"/>
      <c r="C389" s="25"/>
      <c r="D389" s="25"/>
      <c r="E389" s="25"/>
      <c r="F389" s="25"/>
      <c r="G389" s="25"/>
      <c r="H389" s="35"/>
      <c r="I389" s="35"/>
      <c r="J389" s="35"/>
      <c r="K389" s="35"/>
      <c r="L389" s="35"/>
      <c r="M389" s="35"/>
      <c r="N389" s="25"/>
    </row>
    <row r="390" spans="1:14" ht="20.100000000000001" customHeight="1" x14ac:dyDescent="0.25">
      <c r="A390" s="25" t="s">
        <v>448</v>
      </c>
      <c r="B390" s="25"/>
      <c r="C390" s="25"/>
      <c r="D390" s="25"/>
      <c r="E390" s="25"/>
      <c r="F390" s="25"/>
      <c r="G390" s="25"/>
      <c r="H390" s="35"/>
      <c r="I390" s="35"/>
      <c r="J390" s="35"/>
      <c r="K390" s="35"/>
      <c r="L390" s="35"/>
      <c r="M390" s="35"/>
      <c r="N390" s="25"/>
    </row>
    <row r="391" spans="1:14" ht="20.100000000000001" customHeight="1" x14ac:dyDescent="0.25">
      <c r="A391" s="25"/>
      <c r="B391" s="25"/>
      <c r="C391" s="25"/>
      <c r="D391" s="25"/>
      <c r="E391" s="25"/>
      <c r="F391" s="25"/>
      <c r="G391" s="25"/>
      <c r="H391" s="35"/>
      <c r="I391" s="35"/>
      <c r="J391" s="35"/>
      <c r="K391" s="35"/>
      <c r="L391" s="35"/>
      <c r="M391" s="35"/>
      <c r="N391" s="25"/>
    </row>
    <row r="392" spans="1:14" ht="20.100000000000001" customHeight="1" x14ac:dyDescent="0.25">
      <c r="A392" s="25" t="s">
        <v>449</v>
      </c>
      <c r="B392" s="25"/>
      <c r="C392" s="25"/>
      <c r="D392" s="25"/>
      <c r="E392" s="25"/>
      <c r="F392" s="25"/>
      <c r="G392" s="25"/>
      <c r="H392" s="35"/>
      <c r="I392" s="35"/>
      <c r="J392" s="35"/>
      <c r="K392" s="35"/>
      <c r="L392" s="35"/>
      <c r="M392" s="35"/>
      <c r="N392" s="25"/>
    </row>
    <row r="393" spans="1:14" ht="20.100000000000001" customHeight="1" x14ac:dyDescent="0.25">
      <c r="A393" s="25" t="s">
        <v>176</v>
      </c>
      <c r="B393" s="25"/>
      <c r="C393" s="25"/>
      <c r="D393" s="25"/>
      <c r="E393" s="25"/>
      <c r="F393" s="25"/>
      <c r="G393" s="25"/>
      <c r="H393" s="35"/>
      <c r="I393" s="35"/>
      <c r="J393" s="35"/>
      <c r="K393" s="35"/>
      <c r="L393" s="35"/>
      <c r="M393" s="35"/>
      <c r="N393" s="25"/>
    </row>
    <row r="394" spans="1:14" ht="20.100000000000001" customHeight="1" x14ac:dyDescent="0.25">
      <c r="A394" s="25" t="s">
        <v>175</v>
      </c>
      <c r="B394" s="191"/>
      <c r="C394" s="25"/>
      <c r="D394" s="25">
        <f>L379*2</f>
        <v>39.799999999999997</v>
      </c>
      <c r="E394" s="25" t="s">
        <v>418</v>
      </c>
      <c r="F394" s="25"/>
      <c r="G394" s="25" t="s">
        <v>450</v>
      </c>
      <c r="H394" s="35"/>
      <c r="I394" s="35"/>
      <c r="J394" s="217">
        <f>(L378*(L377^2)/3)+(L380*(L381^2)/6)</f>
        <v>6.0041666666666673</v>
      </c>
      <c r="K394" s="35" t="s">
        <v>418</v>
      </c>
      <c r="L394" s="35"/>
      <c r="M394" s="35"/>
      <c r="N394" s="25"/>
    </row>
    <row r="395" spans="1:14" ht="20.100000000000001" customHeight="1" x14ac:dyDescent="0.25">
      <c r="A395" s="25"/>
      <c r="B395" s="25"/>
      <c r="C395" s="25" t="s">
        <v>172</v>
      </c>
      <c r="D395" s="191">
        <f>L375</f>
        <v>34.200000000000003</v>
      </c>
      <c r="E395" s="25" t="s">
        <v>418</v>
      </c>
      <c r="F395" s="25"/>
      <c r="G395" s="25"/>
      <c r="H395" s="35"/>
      <c r="I395" s="25" t="s">
        <v>178</v>
      </c>
      <c r="J395" s="192">
        <f>L376</f>
        <v>4.88</v>
      </c>
      <c r="K395" s="35" t="s">
        <v>418</v>
      </c>
      <c r="L395" s="35"/>
      <c r="M395" s="35"/>
      <c r="N395" s="25"/>
    </row>
    <row r="396" spans="1:14" ht="20.100000000000001" customHeight="1" x14ac:dyDescent="0.25">
      <c r="I396" s="16"/>
    </row>
    <row r="397" spans="1:14" ht="20.100000000000001" customHeight="1" x14ac:dyDescent="0.25">
      <c r="B397" s="25"/>
      <c r="C397" s="25" t="s">
        <v>451</v>
      </c>
      <c r="D397" s="25"/>
      <c r="E397" s="25"/>
      <c r="F397" s="191">
        <f>B383*D394/10^3</f>
        <v>9.3529999999999998</v>
      </c>
      <c r="G397" s="25" t="s">
        <v>179</v>
      </c>
      <c r="H397" s="35"/>
      <c r="I397" s="35"/>
      <c r="J397" s="35"/>
      <c r="K397" s="35"/>
      <c r="L397" s="35"/>
      <c r="M397" s="35"/>
      <c r="N397" s="25"/>
    </row>
    <row r="398" spans="1:14" ht="20.100000000000001" customHeight="1" x14ac:dyDescent="0.25">
      <c r="B398" s="25"/>
      <c r="C398" s="214" t="s">
        <v>452</v>
      </c>
      <c r="D398" s="214"/>
      <c r="E398" s="214"/>
      <c r="F398" s="261">
        <f>B383*D395/10^3</f>
        <v>8.0370000000000008</v>
      </c>
      <c r="G398" s="261" t="s">
        <v>179</v>
      </c>
      <c r="H398" s="35"/>
      <c r="I398" s="35"/>
      <c r="J398" s="35"/>
      <c r="K398" s="35"/>
      <c r="L398" s="35"/>
      <c r="M398" s="35"/>
      <c r="N398" s="25"/>
    </row>
    <row r="399" spans="1:14" ht="20.100000000000001" customHeight="1" x14ac:dyDescent="0.25">
      <c r="B399" s="25"/>
      <c r="C399" s="25"/>
      <c r="D399" s="25" t="s">
        <v>635</v>
      </c>
      <c r="E399" s="25"/>
      <c r="F399" s="191">
        <f>F397/F398</f>
        <v>1.1637426900584793</v>
      </c>
      <c r="G399" s="25"/>
      <c r="H399" s="35"/>
      <c r="I399" s="35"/>
      <c r="J399" s="35" t="s">
        <v>177</v>
      </c>
      <c r="K399" s="35"/>
      <c r="L399" s="35"/>
      <c r="M399" s="281" t="str">
        <f>IF(D394&lt;1.5*D395,"BC","MC")</f>
        <v>BC</v>
      </c>
      <c r="N399" s="25"/>
    </row>
    <row r="400" spans="1:14" ht="20.100000000000001" customHeight="1" x14ac:dyDescent="0.25">
      <c r="A400" s="25"/>
      <c r="B400" s="25"/>
      <c r="C400" s="25"/>
      <c r="D400" s="25"/>
      <c r="E400" s="25"/>
      <c r="F400" s="25"/>
      <c r="G400" s="25"/>
      <c r="H400" s="35"/>
      <c r="I400" s="35"/>
      <c r="J400" s="35"/>
      <c r="K400" s="35"/>
      <c r="L400" s="35"/>
      <c r="M400" s="41"/>
      <c r="N400" s="25"/>
    </row>
    <row r="401" spans="1:17" ht="20.100000000000001" customHeight="1" x14ac:dyDescent="0.25">
      <c r="A401" s="25"/>
      <c r="B401" s="25"/>
      <c r="C401" s="25" t="s">
        <v>461</v>
      </c>
      <c r="D401" s="25"/>
      <c r="E401" s="25"/>
      <c r="F401" s="191">
        <f>B383*J394/10^3</f>
        <v>1.4109791666666667</v>
      </c>
      <c r="G401" s="25" t="s">
        <v>179</v>
      </c>
      <c r="H401" s="35"/>
      <c r="I401" s="35"/>
      <c r="J401" s="35"/>
      <c r="K401" s="35"/>
      <c r="L401" s="35"/>
      <c r="M401" s="41"/>
      <c r="N401" s="25"/>
    </row>
    <row r="402" spans="1:17" ht="20.100000000000001" customHeight="1" x14ac:dyDescent="0.25">
      <c r="A402" s="25"/>
      <c r="B402" s="25"/>
      <c r="C402" s="214" t="s">
        <v>462</v>
      </c>
      <c r="D402" s="214"/>
      <c r="E402" s="214"/>
      <c r="F402" s="261">
        <f>B383*J395/10^3</f>
        <v>1.1468</v>
      </c>
      <c r="G402" s="214" t="s">
        <v>179</v>
      </c>
      <c r="H402" s="35"/>
      <c r="I402" s="35"/>
      <c r="J402" s="35"/>
      <c r="K402" s="35"/>
      <c r="L402" s="35"/>
      <c r="M402" s="41"/>
      <c r="N402" s="25"/>
    </row>
    <row r="403" spans="1:17" ht="20.100000000000001" customHeight="1" x14ac:dyDescent="0.25">
      <c r="A403" s="25"/>
      <c r="B403" s="25"/>
      <c r="C403" s="25"/>
      <c r="D403" s="25" t="s">
        <v>636</v>
      </c>
      <c r="E403" s="25"/>
      <c r="F403" s="191">
        <f>F401/F402</f>
        <v>1.2303620218579234</v>
      </c>
      <c r="G403" s="25" t="s">
        <v>179</v>
      </c>
      <c r="H403" s="35"/>
      <c r="I403" s="35"/>
      <c r="J403" s="35" t="s">
        <v>180</v>
      </c>
      <c r="K403" s="35"/>
      <c r="L403" s="35"/>
      <c r="M403" s="281" t="str">
        <f>IF(J394&lt;1.5*J395,"BC","MC")</f>
        <v>BC</v>
      </c>
      <c r="N403" s="25"/>
    </row>
    <row r="404" spans="1:17" ht="20.100000000000001" customHeight="1" x14ac:dyDescent="0.25">
      <c r="A404" s="25"/>
      <c r="B404" s="25"/>
      <c r="C404" s="25"/>
      <c r="D404" s="25"/>
      <c r="E404" s="25"/>
      <c r="F404" s="25"/>
      <c r="G404" s="25"/>
      <c r="H404" s="35"/>
      <c r="I404" s="35"/>
      <c r="J404" s="35"/>
      <c r="K404" s="35"/>
      <c r="L404" s="35"/>
      <c r="M404" s="35"/>
      <c r="N404" s="25"/>
    </row>
    <row r="405" spans="1:17" ht="20.100000000000001" customHeight="1" x14ac:dyDescent="0.25">
      <c r="A405" s="25"/>
      <c r="B405" s="25"/>
      <c r="C405" s="25"/>
      <c r="D405" s="25" t="s">
        <v>181</v>
      </c>
      <c r="E405" s="191">
        <f>F397</f>
        <v>9.3529999999999998</v>
      </c>
      <c r="F405" s="25" t="s">
        <v>179</v>
      </c>
      <c r="G405" s="25"/>
      <c r="H405" s="35"/>
      <c r="I405" s="35"/>
      <c r="J405" s="35"/>
      <c r="K405" s="35"/>
      <c r="L405" s="35"/>
      <c r="M405" s="35"/>
      <c r="N405" s="25"/>
    </row>
    <row r="406" spans="1:17" ht="20.100000000000001" customHeight="1" x14ac:dyDescent="0.25">
      <c r="A406" s="25"/>
      <c r="B406" s="25"/>
      <c r="C406" s="25"/>
      <c r="D406" s="25" t="s">
        <v>182</v>
      </c>
      <c r="E406" s="191">
        <f>F401</f>
        <v>1.4109791666666667</v>
      </c>
      <c r="F406" s="25" t="s">
        <v>179</v>
      </c>
      <c r="G406" s="25"/>
      <c r="H406" s="35"/>
      <c r="I406" s="35"/>
      <c r="J406" s="35"/>
      <c r="K406" s="35"/>
      <c r="L406" s="35"/>
      <c r="M406" s="35"/>
      <c r="N406" s="25"/>
    </row>
    <row r="407" spans="1:17" ht="20.100000000000001" customHeight="1" x14ac:dyDescent="0.25">
      <c r="A407" s="25"/>
      <c r="B407" s="25" t="s">
        <v>465</v>
      </c>
      <c r="C407" s="25">
        <f>L377/L380</f>
        <v>0.5</v>
      </c>
      <c r="D407" s="25"/>
      <c r="E407" s="25" t="s">
        <v>472</v>
      </c>
      <c r="F407" s="25"/>
      <c r="G407" s="39">
        <v>1</v>
      </c>
      <c r="H407" s="35"/>
      <c r="I407" s="35"/>
      <c r="J407" s="35"/>
      <c r="K407" s="35"/>
      <c r="L407" s="35"/>
      <c r="M407" s="35"/>
      <c r="N407" s="25"/>
    </row>
    <row r="408" spans="1:17" ht="20.100000000000001" customHeight="1" x14ac:dyDescent="0.25">
      <c r="A408" s="25" t="s">
        <v>463</v>
      </c>
      <c r="B408" s="25"/>
      <c r="C408" s="197">
        <f>C407</f>
        <v>0.5</v>
      </c>
      <c r="D408" s="25" t="str">
        <f>IF(C408&lt;1,"&lt; 1", "&gt;1")</f>
        <v>&lt; 1</v>
      </c>
      <c r="E408" s="25" t="s">
        <v>464</v>
      </c>
      <c r="F408" s="187"/>
      <c r="G408" s="41">
        <f>C407+0.4</f>
        <v>0.9</v>
      </c>
      <c r="H408" s="35" t="str">
        <f>IF(G408&gt;1,"&gt; 1","&lt; 1")</f>
        <v>&lt; 1</v>
      </c>
      <c r="J408" s="35" t="s">
        <v>186</v>
      </c>
      <c r="K408" s="35"/>
      <c r="L408" s="259">
        <v>1</v>
      </c>
      <c r="N408" s="25"/>
    </row>
    <row r="409" spans="1:17" ht="20.100000000000001" customHeight="1" x14ac:dyDescent="0.25">
      <c r="A409" s="28" t="s">
        <v>466</v>
      </c>
      <c r="B409" s="25"/>
      <c r="C409" s="25"/>
      <c r="D409" s="25"/>
      <c r="E409" s="25"/>
      <c r="F409" s="25"/>
      <c r="G409" s="25"/>
      <c r="H409" s="35"/>
      <c r="I409" s="35"/>
      <c r="J409" s="35"/>
      <c r="K409" s="35"/>
      <c r="L409" s="35"/>
      <c r="M409" s="35"/>
      <c r="N409" s="25"/>
      <c r="Q409" s="17"/>
    </row>
    <row r="410" spans="1:17" ht="20.100000000000001" customHeight="1" x14ac:dyDescent="0.25">
      <c r="A410" s="25" t="s">
        <v>469</v>
      </c>
      <c r="B410" s="25"/>
      <c r="C410" s="25"/>
      <c r="D410" s="25"/>
      <c r="E410" s="25"/>
      <c r="F410" s="260"/>
      <c r="G410" s="319">
        <f>(D411/(H412*E405))^G407+(D412/(H412*E406))^G407</f>
        <v>0.65796935554671765</v>
      </c>
      <c r="H410" s="320" t="str">
        <f>IF(G410&lt;1,"&lt; 1","  MC         ver Norma")</f>
        <v>&lt; 1</v>
      </c>
      <c r="I410" s="35"/>
      <c r="L410" s="35"/>
      <c r="M410" s="35"/>
      <c r="N410" s="25"/>
    </row>
    <row r="411" spans="1:17" ht="20.100000000000001" customHeight="1" x14ac:dyDescent="0.25">
      <c r="A411" s="25" t="s">
        <v>470</v>
      </c>
      <c r="B411" s="210">
        <f>B348</f>
        <v>346.42929931231322</v>
      </c>
      <c r="C411" s="25" t="s">
        <v>468</v>
      </c>
      <c r="D411" s="71">
        <f>B411*9.81/1000</f>
        <v>3.3984714262537929</v>
      </c>
      <c r="E411" s="39" t="s">
        <v>179</v>
      </c>
      <c r="F411" s="25"/>
      <c r="G411" s="25"/>
      <c r="H411" s="35"/>
      <c r="I411" s="35"/>
      <c r="J411" s="35"/>
      <c r="K411" s="35"/>
      <c r="L411" s="35"/>
      <c r="M411" s="35"/>
      <c r="N411" s="25"/>
    </row>
    <row r="412" spans="1:17" ht="20.100000000000001" customHeight="1" x14ac:dyDescent="0.25">
      <c r="A412" s="25" t="s">
        <v>471</v>
      </c>
      <c r="B412" s="210">
        <f>D368</f>
        <v>32.910783434669753</v>
      </c>
      <c r="C412" s="25" t="s">
        <v>468</v>
      </c>
      <c r="D412" s="71">
        <f>B412*9.81/1000</f>
        <v>0.32285478549411029</v>
      </c>
      <c r="E412" s="39" t="s">
        <v>179</v>
      </c>
      <c r="F412" s="25"/>
      <c r="G412" s="35" t="s">
        <v>455</v>
      </c>
      <c r="H412" s="193">
        <v>0.9</v>
      </c>
      <c r="I412" s="35"/>
      <c r="J412" s="21"/>
      <c r="K412" s="35"/>
      <c r="L412" s="35"/>
      <c r="M412" s="35"/>
      <c r="N412" s="25"/>
    </row>
    <row r="413" spans="1:17" ht="20.100000000000001" customHeight="1" x14ac:dyDescent="0.25">
      <c r="A413" s="25"/>
      <c r="B413" s="25"/>
      <c r="C413" s="25"/>
      <c r="D413" s="25"/>
      <c r="E413" s="25"/>
      <c r="F413" s="25"/>
      <c r="G413" s="25"/>
      <c r="H413" s="35"/>
      <c r="I413" s="35"/>
      <c r="J413" s="35"/>
      <c r="K413" s="35"/>
      <c r="L413" s="35"/>
      <c r="M413" s="35"/>
      <c r="N413" s="25"/>
    </row>
    <row r="414" spans="1:17" ht="20.100000000000001" customHeight="1" x14ac:dyDescent="0.25">
      <c r="A414" s="28" t="s">
        <v>190</v>
      </c>
      <c r="B414" s="25"/>
      <c r="C414" s="25"/>
      <c r="D414" s="25"/>
      <c r="E414" s="25"/>
      <c r="F414" s="25"/>
      <c r="G414" s="25"/>
      <c r="H414" s="35"/>
      <c r="I414" s="35"/>
      <c r="J414" s="35"/>
      <c r="K414" s="35"/>
      <c r="L414" s="35"/>
      <c r="M414" s="35"/>
      <c r="N414" s="25"/>
    </row>
    <row r="415" spans="1:17" ht="20.100000000000001" customHeight="1" x14ac:dyDescent="0.25">
      <c r="A415" s="25" t="s">
        <v>191</v>
      </c>
      <c r="B415" s="25"/>
      <c r="C415" s="25"/>
      <c r="D415" s="25"/>
      <c r="E415" s="197">
        <f>L377*L378</f>
        <v>3.4000000000000004</v>
      </c>
      <c r="F415" s="25" t="s">
        <v>433</v>
      </c>
      <c r="G415" s="25"/>
      <c r="H415" s="35"/>
      <c r="I415" s="35"/>
      <c r="J415" s="35"/>
      <c r="K415" s="35"/>
      <c r="L415" s="35"/>
      <c r="M415" s="35"/>
      <c r="N415" s="25"/>
    </row>
    <row r="416" spans="1:17" ht="20.100000000000001" customHeight="1" x14ac:dyDescent="0.25">
      <c r="A416" s="25"/>
      <c r="B416" s="25" t="s">
        <v>192</v>
      </c>
      <c r="C416" s="25"/>
      <c r="D416" s="25"/>
      <c r="E416" s="210">
        <f>L380/L381</f>
        <v>22.222222222222221</v>
      </c>
      <c r="F416" s="265" t="str">
        <f>IF(E416&lt;260,"&lt; 260 BC","&gt; 260 MC")</f>
        <v>&lt; 260 BC</v>
      </c>
      <c r="G416" s="264"/>
      <c r="H416" s="35"/>
      <c r="I416" s="35"/>
      <c r="J416" s="35"/>
      <c r="K416" s="35"/>
      <c r="L416" s="35"/>
      <c r="M416" s="35"/>
      <c r="N416" s="25"/>
    </row>
    <row r="417" spans="1:14" ht="20.100000000000001" customHeight="1" x14ac:dyDescent="0.25">
      <c r="A417" s="25"/>
      <c r="B417" s="25"/>
      <c r="C417" s="25"/>
      <c r="D417" s="25"/>
      <c r="E417" s="25"/>
      <c r="F417" s="25"/>
      <c r="G417" s="25"/>
      <c r="H417" s="35"/>
      <c r="I417" s="35"/>
      <c r="J417" s="35"/>
      <c r="K417" s="35"/>
      <c r="L417" s="35"/>
      <c r="M417" s="35"/>
      <c r="N417" s="25"/>
    </row>
    <row r="418" spans="1:14" ht="20.100000000000001" customHeight="1" x14ac:dyDescent="0.25">
      <c r="A418" s="28" t="s">
        <v>193</v>
      </c>
      <c r="B418" s="25"/>
      <c r="C418" s="25"/>
      <c r="D418" s="25"/>
      <c r="E418" s="25"/>
      <c r="F418" s="25"/>
      <c r="G418" s="25"/>
      <c r="H418" s="35"/>
      <c r="I418" s="35"/>
      <c r="J418" s="35"/>
      <c r="K418" s="35"/>
      <c r="L418" s="35"/>
      <c r="M418" s="35"/>
      <c r="N418" s="25"/>
    </row>
    <row r="419" spans="1:14" ht="20.100000000000001" customHeight="1" x14ac:dyDescent="0.25">
      <c r="A419" s="25" t="s">
        <v>456</v>
      </c>
      <c r="B419" s="25"/>
      <c r="C419" s="25"/>
      <c r="D419" s="210">
        <f>2.45*SQRT(B382/B383)</f>
        <v>71.47384583396834</v>
      </c>
      <c r="E419" s="25" t="str">
        <f>IF(D419&gt;E416,"&gt; h/s se aplica","&lt; h/s ver norma")</f>
        <v>&gt; h/s se aplica</v>
      </c>
      <c r="F419" s="25"/>
      <c r="G419" s="25"/>
      <c r="H419" s="35" t="s">
        <v>457</v>
      </c>
      <c r="I419" s="35"/>
      <c r="J419" s="35"/>
      <c r="K419" s="35"/>
      <c r="L419" s="35"/>
      <c r="M419" s="35"/>
      <c r="N419" s="25"/>
    </row>
    <row r="420" spans="1:14" ht="20.100000000000001" customHeight="1" x14ac:dyDescent="0.25">
      <c r="A420" s="25"/>
      <c r="B420" s="25"/>
      <c r="C420" s="25"/>
      <c r="D420" s="25"/>
      <c r="E420" s="25"/>
      <c r="F420" s="25"/>
      <c r="G420" s="25"/>
      <c r="H420" s="60" t="s">
        <v>194</v>
      </c>
      <c r="I420" s="218">
        <f>0.6*B383*E415/10</f>
        <v>47.940000000000005</v>
      </c>
      <c r="J420" s="35" t="s">
        <v>195</v>
      </c>
      <c r="K420" s="35"/>
      <c r="L420" s="35"/>
      <c r="M420" s="35"/>
      <c r="N420" s="25"/>
    </row>
    <row r="421" spans="1:14" ht="20.100000000000001" customHeight="1" x14ac:dyDescent="0.25">
      <c r="A421" s="25"/>
      <c r="B421" s="25"/>
      <c r="C421" s="25"/>
      <c r="D421" s="25"/>
      <c r="E421" s="25"/>
      <c r="F421" s="25"/>
      <c r="G421" s="25"/>
      <c r="H421" s="60" t="s">
        <v>458</v>
      </c>
      <c r="I421" s="35">
        <v>0.9</v>
      </c>
      <c r="J421" s="35"/>
      <c r="K421" s="35"/>
      <c r="L421" s="35"/>
      <c r="M421" s="35"/>
      <c r="N421" s="25"/>
    </row>
    <row r="422" spans="1:14" ht="20.100000000000001" customHeight="1" x14ac:dyDescent="0.25">
      <c r="A422" s="25"/>
      <c r="B422" s="25"/>
      <c r="C422" s="25"/>
      <c r="D422" s="25" t="s">
        <v>473</v>
      </c>
      <c r="E422" s="25"/>
      <c r="F422" s="71">
        <f>I421*I420</f>
        <v>43.146000000000008</v>
      </c>
      <c r="G422" s="25" t="s">
        <v>195</v>
      </c>
      <c r="H422" s="41" t="str">
        <f>IF(F422&gt;I422,"&gt;","&lt;")</f>
        <v>&gt;</v>
      </c>
      <c r="I422" s="204">
        <f>K422/9.81</f>
        <v>35.313893915628256</v>
      </c>
      <c r="J422" s="35" t="s">
        <v>196</v>
      </c>
      <c r="K422" s="55">
        <f>MAX(F317,G329,F340)</f>
        <v>346.42929931231322</v>
      </c>
      <c r="L422" s="35" t="s">
        <v>122</v>
      </c>
      <c r="M422" s="263" t="str">
        <f>IF(F422&gt;I422,"BC !!!","MC")</f>
        <v>BC !!!</v>
      </c>
      <c r="N422" s="264"/>
    </row>
    <row r="423" spans="1:14" ht="20.100000000000001" customHeight="1" x14ac:dyDescent="0.25">
      <c r="A423" s="25"/>
      <c r="B423" s="25"/>
      <c r="C423" s="25"/>
      <c r="D423" s="25"/>
      <c r="E423" s="25"/>
      <c r="F423" s="25"/>
      <c r="G423" s="25"/>
      <c r="H423" s="35"/>
      <c r="I423" s="35"/>
      <c r="J423" s="35"/>
      <c r="K423" s="35"/>
      <c r="L423" s="35"/>
      <c r="M423" s="35"/>
      <c r="N423" s="25"/>
    </row>
    <row r="424" spans="1:14" ht="20.100000000000001" customHeight="1" x14ac:dyDescent="0.25">
      <c r="A424" s="25" t="s">
        <v>197</v>
      </c>
      <c r="B424" s="25"/>
      <c r="C424" s="25"/>
      <c r="D424" s="25"/>
      <c r="E424" s="25"/>
      <c r="F424" s="25"/>
      <c r="G424" s="25"/>
      <c r="H424" s="35"/>
      <c r="I424" s="35"/>
      <c r="J424" s="35"/>
      <c r="K424" s="35"/>
      <c r="L424" s="35"/>
      <c r="M424" s="35"/>
      <c r="N424" s="25"/>
    </row>
    <row r="425" spans="1:14" ht="20.100000000000001" customHeight="1" x14ac:dyDescent="0.25">
      <c r="A425" s="25" t="s">
        <v>459</v>
      </c>
      <c r="B425" s="25"/>
      <c r="C425" s="197">
        <f>M350</f>
        <v>150</v>
      </c>
      <c r="D425" s="25" t="s">
        <v>189</v>
      </c>
      <c r="E425" s="191">
        <f>D355</f>
        <v>2.6666666666666665</v>
      </c>
      <c r="F425" s="25" t="s">
        <v>143</v>
      </c>
      <c r="G425" s="25"/>
      <c r="H425" s="60" t="s">
        <v>144</v>
      </c>
      <c r="I425" s="503">
        <f>B382*10/0.981</f>
        <v>2038735.9836901121</v>
      </c>
      <c r="J425" s="503"/>
      <c r="K425" s="35" t="s">
        <v>420</v>
      </c>
      <c r="L425" s="35"/>
      <c r="M425" s="35"/>
      <c r="N425" s="25"/>
    </row>
    <row r="426" spans="1:14" ht="20.100000000000001" customHeight="1" x14ac:dyDescent="0.25">
      <c r="A426" s="25"/>
      <c r="B426" s="25"/>
      <c r="C426" s="25"/>
      <c r="D426" s="25"/>
      <c r="E426" s="25"/>
      <c r="F426" s="25"/>
      <c r="G426" s="25"/>
      <c r="H426" s="35"/>
      <c r="I426" s="35"/>
      <c r="J426" s="35"/>
      <c r="K426" s="35"/>
      <c r="L426" s="35"/>
      <c r="M426" s="35"/>
      <c r="N426" s="25"/>
    </row>
    <row r="427" spans="1:14" ht="20.100000000000001" customHeight="1" x14ac:dyDescent="0.25">
      <c r="A427" s="25" t="s">
        <v>460</v>
      </c>
      <c r="B427" s="25"/>
      <c r="C427" s="25"/>
      <c r="D427" s="25"/>
      <c r="E427" s="190">
        <f>(5*MAX(D368,-H348)*100*(G337*100)^2)/(48*I425*L373)</f>
        <v>0.15733664010434226</v>
      </c>
      <c r="F427" s="25" t="s">
        <v>143</v>
      </c>
      <c r="G427" s="265" t="str">
        <f>IF(E427&lt;E425,"BC","MC")</f>
        <v>BC</v>
      </c>
      <c r="H427" s="35"/>
      <c r="I427" s="35"/>
      <c r="J427" s="35"/>
      <c r="K427" s="35"/>
      <c r="L427" s="35"/>
      <c r="M427" s="35"/>
      <c r="N427" s="25"/>
    </row>
    <row r="428" spans="1:14" ht="20.100000000000001" customHeight="1" x14ac:dyDescent="0.25">
      <c r="A428" s="25"/>
      <c r="B428" s="25"/>
      <c r="C428" s="25"/>
      <c r="D428" s="25"/>
      <c r="E428" s="25"/>
      <c r="F428" s="25"/>
      <c r="G428" s="25"/>
      <c r="H428" s="35"/>
      <c r="I428" s="35"/>
      <c r="J428" s="35"/>
      <c r="K428" s="35"/>
      <c r="L428" s="35"/>
      <c r="M428" s="35"/>
      <c r="N428" s="25"/>
    </row>
    <row r="429" spans="1:14" ht="20.100000000000001" customHeight="1" x14ac:dyDescent="0.25">
      <c r="A429" s="25"/>
      <c r="B429" s="25"/>
      <c r="C429" s="25"/>
      <c r="D429" s="25"/>
      <c r="E429" s="25"/>
      <c r="F429" s="25"/>
      <c r="G429" s="25"/>
      <c r="H429" s="35"/>
      <c r="I429" s="35"/>
      <c r="J429" s="35"/>
      <c r="K429" s="35"/>
      <c r="L429" s="35"/>
      <c r="M429" s="35"/>
      <c r="N429" s="25"/>
    </row>
    <row r="430" spans="1:14" ht="20.100000000000001" customHeight="1" x14ac:dyDescent="0.25">
      <c r="A430" s="25"/>
      <c r="B430" s="25"/>
      <c r="C430" s="25"/>
      <c r="D430" s="25"/>
      <c r="E430" s="25"/>
      <c r="F430" s="25"/>
      <c r="G430" s="25"/>
      <c r="H430" s="35"/>
      <c r="I430" s="35"/>
      <c r="J430" s="35"/>
      <c r="K430" s="35"/>
      <c r="L430" s="35"/>
      <c r="M430" s="35"/>
      <c r="N430" s="25"/>
    </row>
    <row r="431" spans="1:14" ht="20.100000000000001" customHeight="1" x14ac:dyDescent="0.25">
      <c r="A431" s="25"/>
      <c r="B431" s="25"/>
      <c r="C431" s="25"/>
      <c r="D431" s="25"/>
      <c r="E431" s="25"/>
      <c r="F431" s="25"/>
      <c r="G431" s="25"/>
      <c r="H431" s="35"/>
      <c r="I431" s="35"/>
      <c r="J431" s="35"/>
      <c r="K431" s="35"/>
      <c r="L431" s="35"/>
      <c r="M431" s="35"/>
      <c r="N431" s="25"/>
    </row>
    <row r="432" spans="1:14" ht="20.100000000000001" customHeight="1" x14ac:dyDescent="0.25">
      <c r="A432" s="25"/>
      <c r="B432" s="25"/>
      <c r="C432" s="25"/>
      <c r="D432" s="25"/>
      <c r="E432" s="25"/>
      <c r="F432" s="25"/>
      <c r="G432" s="25"/>
      <c r="H432" s="35"/>
      <c r="I432" s="35"/>
      <c r="J432" s="35"/>
      <c r="K432" s="35"/>
      <c r="L432" s="35"/>
      <c r="M432" s="35"/>
      <c r="N432" s="25"/>
    </row>
    <row r="433" spans="1:14" ht="20.100000000000001" customHeight="1" x14ac:dyDescent="0.25">
      <c r="A433" s="28" t="s">
        <v>198</v>
      </c>
    </row>
    <row r="434" spans="1:14" ht="20.100000000000001" customHeight="1" x14ac:dyDescent="0.25">
      <c r="A434" s="25" t="s">
        <v>199</v>
      </c>
      <c r="B434" s="25"/>
      <c r="C434" s="25"/>
      <c r="D434" s="25"/>
      <c r="E434" s="25"/>
      <c r="F434" s="25"/>
      <c r="G434" s="25"/>
      <c r="H434" s="35"/>
      <c r="I434" s="35"/>
      <c r="J434" s="35"/>
      <c r="K434" s="35"/>
      <c r="L434" s="35"/>
      <c r="M434" s="35"/>
      <c r="N434" s="25"/>
    </row>
    <row r="435" spans="1:14" ht="20.100000000000001" customHeight="1" x14ac:dyDescent="0.25">
      <c r="A435" s="25"/>
      <c r="B435" s="25"/>
      <c r="C435" s="14"/>
      <c r="D435" s="14" t="s">
        <v>203</v>
      </c>
      <c r="E435" s="14" t="s">
        <v>204</v>
      </c>
      <c r="G435" s="25"/>
      <c r="H435" s="35"/>
      <c r="I435" s="35"/>
      <c r="J435" s="35"/>
      <c r="K435" s="35"/>
      <c r="L435" s="35"/>
      <c r="M435" s="35"/>
      <c r="N435" s="25"/>
    </row>
    <row r="436" spans="1:14" ht="20.100000000000001" customHeight="1" x14ac:dyDescent="0.25">
      <c r="A436" s="25"/>
      <c r="B436" s="25"/>
      <c r="C436" s="188" t="s">
        <v>200</v>
      </c>
      <c r="D436" s="227">
        <f>'[1]TABLA FINAL'!V6</f>
        <v>23569.109999999993</v>
      </c>
      <c r="E436" s="227">
        <f>-'[1]TABLA FINAL'!W6</f>
        <v>47557.8</v>
      </c>
      <c r="G436" s="12"/>
      <c r="H436" s="35"/>
      <c r="I436" s="35"/>
      <c r="J436" s="35"/>
      <c r="K436" s="35"/>
      <c r="L436" s="35"/>
      <c r="M436" s="35"/>
      <c r="N436" s="25"/>
    </row>
    <row r="437" spans="1:14" ht="20.100000000000001" customHeight="1" x14ac:dyDescent="0.25">
      <c r="A437" s="25"/>
      <c r="B437" s="25"/>
      <c r="C437" s="188" t="s">
        <v>201</v>
      </c>
      <c r="D437" s="227">
        <f>'[1]TABLA FINAL'!V16</f>
        <v>47504.97</v>
      </c>
      <c r="E437" s="227">
        <f>-'[1]TABLA FINAL'!W16</f>
        <v>21860.52</v>
      </c>
      <c r="G437" s="25"/>
      <c r="H437" s="35"/>
      <c r="I437" s="35"/>
      <c r="J437" s="35"/>
      <c r="K437" s="35"/>
      <c r="L437" s="35"/>
      <c r="M437" s="35"/>
      <c r="N437" s="25"/>
    </row>
    <row r="438" spans="1:14" ht="20.100000000000001" customHeight="1" x14ac:dyDescent="0.25">
      <c r="A438" s="25"/>
      <c r="B438" s="25"/>
      <c r="C438" s="188" t="s">
        <v>202</v>
      </c>
      <c r="D438" s="227">
        <f>'[1]TABLA FINAL'!V36</f>
        <v>10585.539999999999</v>
      </c>
      <c r="E438" s="227">
        <f>-'[1]TABLA FINAL'!W36</f>
        <v>20232.280000000002</v>
      </c>
      <c r="G438" s="25"/>
      <c r="H438" s="35"/>
      <c r="I438" s="35"/>
      <c r="J438" s="35"/>
      <c r="K438" s="35"/>
      <c r="L438" s="35"/>
      <c r="M438" s="35"/>
      <c r="N438" s="25"/>
    </row>
    <row r="439" spans="1:14" ht="20.100000000000001" customHeight="1" x14ac:dyDescent="0.25">
      <c r="A439" s="25"/>
      <c r="B439" s="25"/>
      <c r="C439" s="188" t="s">
        <v>106</v>
      </c>
      <c r="D439" s="227">
        <f>'[1]TABLA FINAL'!V26</f>
        <v>18359.52</v>
      </c>
      <c r="E439" s="227">
        <f>-'[1]TABLA FINAL'!W26</f>
        <v>10170.750000000002</v>
      </c>
      <c r="G439" s="25"/>
      <c r="H439" s="35"/>
      <c r="I439" s="35"/>
      <c r="J439" s="35"/>
      <c r="K439" s="35"/>
      <c r="L439" s="35"/>
      <c r="M439" s="35"/>
      <c r="N439" s="25"/>
    </row>
    <row r="440" spans="1:14" ht="20.100000000000001" customHeight="1" x14ac:dyDescent="0.25">
      <c r="A440" s="25"/>
      <c r="B440" s="25"/>
      <c r="C440" s="25"/>
      <c r="D440" s="25" t="s">
        <v>205</v>
      </c>
      <c r="E440" s="25"/>
      <c r="F440" s="25"/>
      <c r="G440" s="25"/>
      <c r="H440" s="35"/>
      <c r="I440" s="35"/>
      <c r="J440" s="35"/>
      <c r="K440" s="35"/>
      <c r="L440" s="35"/>
      <c r="M440" s="35"/>
      <c r="N440" s="25"/>
    </row>
    <row r="441" spans="1:14" ht="20.100000000000001" customHeight="1" x14ac:dyDescent="0.25">
      <c r="A441" s="28" t="s">
        <v>206</v>
      </c>
      <c r="B441" s="25"/>
      <c r="C441" s="25"/>
      <c r="D441" s="25"/>
      <c r="E441" s="25"/>
      <c r="F441" s="25" t="s">
        <v>144</v>
      </c>
      <c r="G441" s="515">
        <v>200000</v>
      </c>
      <c r="H441" s="515"/>
      <c r="I441" s="35" t="s">
        <v>168</v>
      </c>
      <c r="J441" s="35"/>
      <c r="K441" s="35"/>
      <c r="L441" s="35"/>
      <c r="M441" s="35"/>
      <c r="N441" s="25"/>
    </row>
    <row r="442" spans="1:14" ht="20.100000000000001" customHeight="1" x14ac:dyDescent="0.25">
      <c r="A442" s="25"/>
      <c r="B442" s="25" t="s">
        <v>207</v>
      </c>
      <c r="C442" s="25"/>
      <c r="D442" s="25"/>
      <c r="E442" s="25"/>
      <c r="F442" s="25" t="s">
        <v>169</v>
      </c>
      <c r="G442" s="515">
        <v>235</v>
      </c>
      <c r="H442" s="515"/>
      <c r="I442" s="35" t="s">
        <v>168</v>
      </c>
      <c r="J442" s="35"/>
      <c r="K442" s="35"/>
      <c r="L442" s="35"/>
      <c r="M442" s="35"/>
      <c r="N442" s="25"/>
    </row>
    <row r="443" spans="1:14" ht="20.100000000000001" customHeight="1" x14ac:dyDescent="0.25">
      <c r="A443" s="25"/>
      <c r="B443" s="25"/>
      <c r="C443" s="25" t="s">
        <v>209</v>
      </c>
      <c r="D443" s="25"/>
      <c r="E443" s="25"/>
      <c r="F443" s="25" t="s">
        <v>118</v>
      </c>
      <c r="G443" s="525">
        <f>D436</f>
        <v>23569.109999999993</v>
      </c>
      <c r="H443" s="525"/>
      <c r="I443" s="35" t="s">
        <v>545</v>
      </c>
      <c r="J443" s="262">
        <f>G443/100</f>
        <v>235.69109999999992</v>
      </c>
      <c r="K443" s="35" t="s">
        <v>195</v>
      </c>
      <c r="M443" s="35"/>
      <c r="N443" s="25"/>
    </row>
    <row r="444" spans="1:14" ht="20.100000000000001" customHeight="1" x14ac:dyDescent="0.25">
      <c r="A444" s="25"/>
      <c r="B444" s="25"/>
      <c r="C444" s="25" t="s">
        <v>208</v>
      </c>
      <c r="D444" s="25"/>
      <c r="E444" s="25"/>
      <c r="F444" s="25" t="s">
        <v>118</v>
      </c>
      <c r="G444" s="525">
        <f>E436</f>
        <v>47557.8</v>
      </c>
      <c r="H444" s="525"/>
      <c r="I444" s="35" t="s">
        <v>545</v>
      </c>
      <c r="J444" s="262">
        <f>G444/100</f>
        <v>475.57800000000003</v>
      </c>
      <c r="K444" s="35" t="s">
        <v>195</v>
      </c>
      <c r="M444" s="35"/>
      <c r="N444" s="25"/>
    </row>
    <row r="445" spans="1:14" ht="20.100000000000001" customHeight="1" x14ac:dyDescent="0.25">
      <c r="A445" s="25" t="s">
        <v>210</v>
      </c>
      <c r="B445" s="25"/>
      <c r="C445" s="25" t="s">
        <v>475</v>
      </c>
      <c r="D445" s="267">
        <f>F22</f>
        <v>2.1395326592506132</v>
      </c>
      <c r="E445" s="25" t="s">
        <v>5</v>
      </c>
      <c r="F445" s="25"/>
      <c r="G445" s="25"/>
      <c r="H445" s="35"/>
      <c r="I445" s="35"/>
      <c r="J445" s="35"/>
      <c r="K445" s="35"/>
      <c r="L445" s="35"/>
      <c r="M445" s="35"/>
      <c r="N445" s="25"/>
    </row>
    <row r="446" spans="1:14" ht="20.100000000000001" customHeight="1" x14ac:dyDescent="0.25">
      <c r="A446" s="25"/>
      <c r="B446" s="25"/>
      <c r="C446" s="25"/>
      <c r="D446" s="25"/>
      <c r="E446" s="25"/>
      <c r="F446" s="25"/>
      <c r="G446" s="25"/>
      <c r="H446" s="35"/>
      <c r="I446" s="35"/>
      <c r="J446" s="35"/>
      <c r="K446" s="35"/>
      <c r="L446" s="35"/>
      <c r="M446" s="35"/>
      <c r="N446" s="25"/>
    </row>
    <row r="447" spans="1:14" ht="20.100000000000001" customHeight="1" x14ac:dyDescent="0.25">
      <c r="A447" s="25" t="s">
        <v>213</v>
      </c>
      <c r="B447" s="25"/>
      <c r="C447" s="25"/>
      <c r="D447" s="25"/>
      <c r="E447" s="25"/>
      <c r="F447" s="25"/>
      <c r="G447" s="25"/>
      <c r="H447" s="35"/>
      <c r="I447" s="35"/>
      <c r="J447" s="35"/>
      <c r="K447" s="35"/>
      <c r="L447" s="35"/>
      <c r="M447" s="35"/>
      <c r="N447" s="25"/>
    </row>
    <row r="448" spans="1:14" ht="20.100000000000001" customHeight="1" x14ac:dyDescent="0.25">
      <c r="A448" s="25" t="s">
        <v>211</v>
      </c>
      <c r="B448" s="26">
        <v>1</v>
      </c>
      <c r="C448" s="25"/>
      <c r="D448" s="25"/>
      <c r="E448" s="25" t="s">
        <v>214</v>
      </c>
      <c r="F448" s="130">
        <f>B448*D445*100</f>
        <v>213.95326592506132</v>
      </c>
      <c r="G448" s="25" t="s">
        <v>143</v>
      </c>
      <c r="H448" s="35"/>
      <c r="I448" s="35"/>
      <c r="J448" s="35"/>
      <c r="K448" s="35"/>
      <c r="L448" s="35"/>
      <c r="M448" s="35"/>
      <c r="N448" s="25"/>
    </row>
    <row r="449" spans="1:15" ht="20.100000000000001" customHeight="1" x14ac:dyDescent="0.25">
      <c r="A449" s="25" t="s">
        <v>212</v>
      </c>
      <c r="B449" s="26">
        <v>0.5</v>
      </c>
      <c r="C449" s="25"/>
      <c r="D449" s="25"/>
      <c r="E449" s="25" t="s">
        <v>215</v>
      </c>
      <c r="F449" s="130">
        <f>D445*B449*100</f>
        <v>106.97663296253066</v>
      </c>
      <c r="G449" s="25" t="s">
        <v>143</v>
      </c>
      <c r="H449" s="35"/>
      <c r="I449" s="35"/>
      <c r="J449" s="35"/>
      <c r="K449" s="35"/>
      <c r="L449" s="35"/>
      <c r="M449" s="35"/>
      <c r="N449" s="25"/>
    </row>
    <row r="450" spans="1:15" ht="20.100000000000001" customHeight="1" x14ac:dyDescent="0.25">
      <c r="A450" s="25"/>
      <c r="B450" s="25"/>
      <c r="C450" s="25"/>
      <c r="D450" s="25"/>
      <c r="E450" s="25"/>
      <c r="F450" s="25"/>
      <c r="G450" s="25"/>
      <c r="H450" s="35"/>
      <c r="I450" s="35"/>
      <c r="J450" s="35"/>
      <c r="K450" s="35"/>
      <c r="L450" s="35"/>
      <c r="M450" s="35"/>
      <c r="N450" s="25"/>
    </row>
    <row r="451" spans="1:15" ht="20.100000000000001" customHeight="1" x14ac:dyDescent="0.25">
      <c r="A451" s="25" t="s">
        <v>476</v>
      </c>
      <c r="B451" s="25"/>
      <c r="C451" s="25"/>
      <c r="D451" s="25"/>
      <c r="E451" s="25"/>
      <c r="F451" s="25"/>
      <c r="G451" s="25"/>
      <c r="H451" s="44">
        <v>100</v>
      </c>
      <c r="J451" s="35" t="s">
        <v>217</v>
      </c>
      <c r="K451" s="35"/>
      <c r="L451" s="35"/>
      <c r="M451" s="35"/>
      <c r="N451" s="25"/>
    </row>
    <row r="452" spans="1:15" ht="20.100000000000001" customHeight="1" x14ac:dyDescent="0.25">
      <c r="A452" s="25"/>
      <c r="B452" s="25"/>
      <c r="C452" s="25"/>
      <c r="D452" s="25"/>
      <c r="E452" s="25"/>
      <c r="F452" s="25"/>
      <c r="G452" s="25"/>
      <c r="H452" s="35"/>
      <c r="I452" s="35"/>
      <c r="J452" s="35" t="s">
        <v>216</v>
      </c>
      <c r="K452" s="35"/>
      <c r="L452" s="35"/>
      <c r="M452" s="35"/>
      <c r="N452" s="25"/>
    </row>
    <row r="453" spans="1:15" ht="20.100000000000001" customHeight="1" x14ac:dyDescent="0.25">
      <c r="A453" s="25" t="s">
        <v>218</v>
      </c>
      <c r="B453" s="25"/>
      <c r="C453" s="25"/>
      <c r="D453" s="25"/>
      <c r="E453" s="25"/>
      <c r="F453" s="25"/>
      <c r="G453" s="25"/>
      <c r="H453" s="35"/>
      <c r="I453" s="35"/>
      <c r="J453" s="35"/>
      <c r="K453" s="35"/>
      <c r="L453" s="35"/>
      <c r="M453" s="35"/>
      <c r="N453" s="25"/>
    </row>
    <row r="454" spans="1:15" ht="20.100000000000001" customHeight="1" x14ac:dyDescent="0.25">
      <c r="A454" s="25"/>
      <c r="B454" s="25"/>
      <c r="C454" s="25"/>
      <c r="D454" s="25" t="s">
        <v>477</v>
      </c>
      <c r="E454" s="25"/>
      <c r="F454" s="191">
        <f>F448/H451</f>
        <v>2.1395326592506132</v>
      </c>
      <c r="G454" s="25" t="s">
        <v>143</v>
      </c>
      <c r="H454" s="35"/>
      <c r="I454" s="35"/>
      <c r="J454" s="35"/>
      <c r="K454" s="35"/>
      <c r="L454" s="35"/>
      <c r="M454" s="35"/>
      <c r="N454" s="25"/>
    </row>
    <row r="455" spans="1:15" ht="20.100000000000001" customHeight="1" x14ac:dyDescent="0.25">
      <c r="A455" s="25" t="s">
        <v>219</v>
      </c>
      <c r="B455" s="25"/>
      <c r="C455" s="25"/>
      <c r="D455" s="25"/>
      <c r="E455" s="25"/>
      <c r="F455" s="25"/>
      <c r="G455" s="25"/>
      <c r="H455" s="35"/>
      <c r="I455" s="35"/>
      <c r="J455" s="35"/>
      <c r="K455" s="35"/>
      <c r="L455" s="35"/>
      <c r="M455" s="35"/>
      <c r="N455" s="25"/>
    </row>
    <row r="456" spans="1:15" ht="20.100000000000001" customHeight="1" x14ac:dyDescent="0.25">
      <c r="A456" s="25" t="s">
        <v>478</v>
      </c>
      <c r="B456" s="25"/>
      <c r="C456" s="25"/>
      <c r="D456" s="25"/>
      <c r="E456" s="202">
        <f>F448*SQRT(G442/G441)/(3.14*F454)</f>
        <v>1.0916647452867905</v>
      </c>
      <c r="G456" s="25"/>
      <c r="H456" s="35" t="s">
        <v>479</v>
      </c>
      <c r="I456" s="35"/>
      <c r="J456" s="35"/>
      <c r="K456" s="35"/>
      <c r="L456" s="35"/>
      <c r="M456" s="35"/>
      <c r="N456" s="25"/>
    </row>
    <row r="457" spans="1:15" ht="20.100000000000001" customHeight="1" x14ac:dyDescent="0.25">
      <c r="A457" s="25"/>
      <c r="B457" s="25"/>
      <c r="C457" s="25"/>
      <c r="D457" s="25"/>
      <c r="E457" s="25"/>
      <c r="F457" s="25"/>
      <c r="G457" s="25"/>
      <c r="H457" s="35"/>
      <c r="I457" s="35"/>
      <c r="J457" s="35"/>
      <c r="K457" s="35"/>
      <c r="L457" s="35"/>
      <c r="M457" s="35"/>
      <c r="N457" s="25"/>
    </row>
    <row r="458" spans="1:15" ht="20.100000000000001" customHeight="1" x14ac:dyDescent="0.25">
      <c r="A458" s="25"/>
      <c r="B458" s="25"/>
      <c r="C458" s="25"/>
      <c r="D458" s="25"/>
      <c r="E458" s="25" t="s">
        <v>480</v>
      </c>
      <c r="F458" s="25"/>
      <c r="G458" s="25"/>
      <c r="H458" s="218">
        <f>(0.658^(E456^2))*G442</f>
        <v>142.70587677287426</v>
      </c>
      <c r="I458" s="35" t="s">
        <v>168</v>
      </c>
      <c r="J458" s="35"/>
      <c r="K458" s="35"/>
      <c r="L458" s="35"/>
      <c r="M458" s="35"/>
      <c r="N458" s="25"/>
      <c r="O458" s="25"/>
    </row>
    <row r="459" spans="1:15" ht="20.100000000000001" customHeight="1" x14ac:dyDescent="0.25">
      <c r="A459" s="25"/>
      <c r="B459" s="25"/>
      <c r="C459" s="25"/>
      <c r="D459" s="25"/>
      <c r="E459" s="25"/>
      <c r="F459" s="25"/>
      <c r="G459" s="25"/>
      <c r="H459" s="35"/>
      <c r="I459" s="35"/>
      <c r="J459" s="35"/>
      <c r="K459" s="35"/>
      <c r="L459" s="35"/>
      <c r="M459" s="194"/>
      <c r="N459" s="25"/>
      <c r="O459" s="25"/>
    </row>
    <row r="460" spans="1:15" ht="20.100000000000001" customHeight="1" x14ac:dyDescent="0.25">
      <c r="A460" s="25" t="s">
        <v>482</v>
      </c>
      <c r="B460" s="25"/>
      <c r="C460" s="25"/>
      <c r="D460" s="25" t="s">
        <v>483</v>
      </c>
      <c r="E460" s="25"/>
      <c r="F460" s="25"/>
      <c r="G460" s="25" t="s">
        <v>484</v>
      </c>
      <c r="H460" s="35"/>
      <c r="I460" s="35"/>
      <c r="J460" s="35"/>
      <c r="K460" s="60" t="s">
        <v>481</v>
      </c>
      <c r="L460" s="193">
        <v>0.85</v>
      </c>
      <c r="M460" s="35"/>
      <c r="N460" s="25"/>
      <c r="O460" s="25"/>
    </row>
    <row r="461" spans="1:15" ht="20.100000000000001" customHeight="1" x14ac:dyDescent="0.25">
      <c r="A461" s="25"/>
      <c r="B461" s="25"/>
      <c r="C461" s="25"/>
      <c r="D461" s="25"/>
      <c r="E461" s="25"/>
      <c r="F461" s="25"/>
      <c r="G461" s="25"/>
      <c r="H461" s="35"/>
      <c r="I461" s="35"/>
      <c r="J461" s="35"/>
      <c r="K461" s="35"/>
      <c r="L461" s="35"/>
      <c r="M461" s="35"/>
      <c r="N461" s="25"/>
      <c r="O461" s="25"/>
    </row>
    <row r="462" spans="1:15" ht="20.100000000000001" customHeight="1" x14ac:dyDescent="0.25">
      <c r="A462" s="25" t="s">
        <v>221</v>
      </c>
      <c r="B462" s="514">
        <f>G444</f>
        <v>47557.8</v>
      </c>
      <c r="C462" s="507"/>
      <c r="D462" s="25" t="s">
        <v>490</v>
      </c>
      <c r="E462" s="130">
        <f>B462/100</f>
        <v>475.57800000000003</v>
      </c>
      <c r="F462" s="25" t="s">
        <v>195</v>
      </c>
      <c r="G462" s="25"/>
      <c r="H462" s="35" t="s">
        <v>532</v>
      </c>
      <c r="I462" s="35"/>
      <c r="J462" s="35"/>
      <c r="K462" s="40">
        <f>10*E462/(L460*H458)</f>
        <v>39.206761631985998</v>
      </c>
      <c r="L462" s="35" t="s">
        <v>433</v>
      </c>
      <c r="M462" s="35"/>
      <c r="N462" s="25"/>
      <c r="O462" s="25"/>
    </row>
    <row r="463" spans="1:15" ht="20.100000000000001" customHeight="1" x14ac:dyDescent="0.25">
      <c r="A463" s="25"/>
      <c r="B463" s="25"/>
      <c r="C463" s="25"/>
      <c r="D463" s="25"/>
      <c r="E463" s="25"/>
      <c r="F463" s="25"/>
      <c r="G463" s="25"/>
      <c r="H463" s="35"/>
      <c r="I463" s="35"/>
      <c r="J463" s="35"/>
      <c r="K463" s="35"/>
      <c r="L463" s="35"/>
      <c r="M463" s="35"/>
      <c r="N463" s="25"/>
      <c r="O463" s="25"/>
    </row>
    <row r="464" spans="1:15" ht="20.100000000000001" customHeight="1" x14ac:dyDescent="0.25">
      <c r="F464" s="28" t="s">
        <v>222</v>
      </c>
      <c r="G464" s="25"/>
      <c r="H464" s="35"/>
      <c r="I464" s="35"/>
      <c r="J464" s="35"/>
      <c r="K464" s="35"/>
      <c r="L464" s="497" t="s">
        <v>952</v>
      </c>
      <c r="M464" s="497"/>
      <c r="N464" s="25"/>
      <c r="O464" s="25"/>
    </row>
    <row r="465" spans="1:15" ht="20.100000000000001" customHeight="1" x14ac:dyDescent="0.25">
      <c r="A465" s="35" t="s">
        <v>623</v>
      </c>
      <c r="B465" s="35"/>
      <c r="C465" s="35"/>
      <c r="D465" s="55"/>
      <c r="E465" s="35"/>
      <c r="F465" s="25"/>
      <c r="G465" s="25" t="s">
        <v>486</v>
      </c>
      <c r="H465" s="268">
        <v>18.63</v>
      </c>
      <c r="I465" s="35" t="s">
        <v>433</v>
      </c>
      <c r="J465" s="21" t="str">
        <f>IF(H465*2&gt;K462,"BC","MC")</f>
        <v>MC</v>
      </c>
      <c r="K465" s="35"/>
      <c r="L465" s="35" t="s">
        <v>167</v>
      </c>
      <c r="M465" s="44">
        <v>10.16</v>
      </c>
      <c r="N465" s="35" t="s">
        <v>143</v>
      </c>
      <c r="O465" s="25"/>
    </row>
    <row r="466" spans="1:15" ht="20.100000000000001" customHeight="1" x14ac:dyDescent="0.25">
      <c r="A466" s="25" t="s">
        <v>624</v>
      </c>
      <c r="B466" s="25"/>
      <c r="C466" s="25"/>
      <c r="D466" s="25"/>
      <c r="E466" s="25"/>
      <c r="F466" s="25"/>
      <c r="G466" s="25" t="s">
        <v>487</v>
      </c>
      <c r="H466" s="269">
        <v>179.81</v>
      </c>
      <c r="I466" s="35" t="s">
        <v>426</v>
      </c>
      <c r="J466" s="35"/>
      <c r="K466" s="35"/>
      <c r="L466" s="35" t="s">
        <v>224</v>
      </c>
      <c r="M466" s="44">
        <v>0.95</v>
      </c>
      <c r="N466" s="35" t="s">
        <v>143</v>
      </c>
      <c r="O466" s="25"/>
    </row>
    <row r="467" spans="1:15" ht="20.100000000000001" customHeight="1" x14ac:dyDescent="0.25">
      <c r="A467" s="25" t="s">
        <v>625</v>
      </c>
      <c r="B467" s="25"/>
      <c r="C467" s="25"/>
      <c r="D467" s="25"/>
      <c r="E467" s="25"/>
      <c r="F467" s="25"/>
      <c r="G467" s="25" t="s">
        <v>488</v>
      </c>
      <c r="H467" s="267">
        <v>3.11</v>
      </c>
      <c r="I467" s="35" t="s">
        <v>143</v>
      </c>
      <c r="J467" s="21" t="str">
        <f>IF(H467&gt;F454,"BC","MC")</f>
        <v>BC</v>
      </c>
      <c r="K467" s="35" t="s">
        <v>225</v>
      </c>
      <c r="L467" s="35"/>
      <c r="M467" s="60" t="s">
        <v>223</v>
      </c>
      <c r="N467" s="270">
        <v>1</v>
      </c>
      <c r="O467" s="25"/>
    </row>
    <row r="468" spans="1:15" ht="20.100000000000001" customHeight="1" x14ac:dyDescent="0.25">
      <c r="A468" s="25"/>
      <c r="B468" s="25"/>
      <c r="C468" s="25"/>
      <c r="D468" s="25"/>
      <c r="E468" s="25"/>
      <c r="F468" s="25"/>
      <c r="G468" s="25" t="s">
        <v>489</v>
      </c>
      <c r="H468" s="267">
        <v>2.85</v>
      </c>
      <c r="I468" s="35" t="s">
        <v>143</v>
      </c>
      <c r="J468" s="35"/>
      <c r="K468" s="35"/>
      <c r="L468" s="35"/>
      <c r="M468" s="35"/>
      <c r="N468" s="25"/>
      <c r="O468" s="25"/>
    </row>
    <row r="469" spans="1:15" ht="20.100000000000001" customHeight="1" x14ac:dyDescent="0.25">
      <c r="A469" s="25" t="s">
        <v>521</v>
      </c>
      <c r="B469" s="25"/>
      <c r="C469" s="25"/>
      <c r="D469" s="25"/>
      <c r="E469" s="210">
        <f>M465/M466</f>
        <v>10.694736842105264</v>
      </c>
      <c r="F469" s="25"/>
      <c r="G469" s="25"/>
      <c r="H469" s="25" t="s">
        <v>491</v>
      </c>
      <c r="I469" s="35"/>
      <c r="J469" s="35"/>
      <c r="K469" s="192">
        <f>200/SQRT(G442)</f>
        <v>13.046561461068844</v>
      </c>
      <c r="L469" s="35"/>
      <c r="M469" s="35"/>
      <c r="N469" s="25"/>
      <c r="O469" s="25"/>
    </row>
    <row r="470" spans="1:15" ht="20.100000000000001" customHeight="1" x14ac:dyDescent="0.25">
      <c r="A470" s="25"/>
      <c r="C470" s="273" t="s">
        <v>522</v>
      </c>
      <c r="D470" s="35"/>
      <c r="E470" s="210">
        <f>F448/H467</f>
        <v>68.795262355325178</v>
      </c>
      <c r="F470" s="25"/>
      <c r="G470" s="25"/>
      <c r="H470" s="25" t="s">
        <v>492</v>
      </c>
      <c r="I470" s="35"/>
      <c r="J470" s="35"/>
      <c r="K470" s="35"/>
      <c r="L470" s="35"/>
      <c r="M470" s="35"/>
      <c r="N470" s="25"/>
      <c r="O470" s="25"/>
    </row>
    <row r="471" spans="1:15" ht="20.100000000000001" customHeight="1" x14ac:dyDescent="0.25">
      <c r="A471" s="25"/>
      <c r="B471" s="25"/>
      <c r="C471" s="25"/>
      <c r="D471" s="25"/>
      <c r="E471" s="25"/>
      <c r="F471" s="25"/>
      <c r="G471" s="25"/>
      <c r="H471" s="35"/>
      <c r="I471" s="35"/>
      <c r="J471" s="35"/>
      <c r="K471" s="35"/>
      <c r="L471" s="35"/>
      <c r="M471" s="35"/>
      <c r="N471" s="25"/>
    </row>
    <row r="472" spans="1:15" ht="20.100000000000001" customHeight="1" x14ac:dyDescent="0.25">
      <c r="A472" s="25" t="s">
        <v>226</v>
      </c>
      <c r="B472" s="25"/>
      <c r="C472" s="25"/>
      <c r="D472" s="25"/>
      <c r="E472" s="25"/>
      <c r="F472" s="25"/>
      <c r="G472" s="25"/>
      <c r="H472" s="35"/>
      <c r="I472" s="35"/>
      <c r="J472" s="35" t="s">
        <v>494</v>
      </c>
      <c r="K472" s="35"/>
      <c r="L472" s="271">
        <v>1</v>
      </c>
      <c r="M472" s="35" t="s">
        <v>143</v>
      </c>
      <c r="N472" s="25"/>
    </row>
    <row r="473" spans="1:15" ht="20.100000000000001" customHeight="1" x14ac:dyDescent="0.25">
      <c r="A473" s="25"/>
      <c r="B473" s="25"/>
      <c r="C473" s="25"/>
      <c r="D473" s="25"/>
      <c r="E473" s="25"/>
      <c r="F473" s="25"/>
      <c r="G473" s="25"/>
      <c r="H473" s="35"/>
      <c r="I473" s="35"/>
      <c r="J473" s="35"/>
      <c r="K473" s="35"/>
      <c r="L473" s="277"/>
      <c r="M473" s="35"/>
      <c r="N473" s="25"/>
    </row>
    <row r="474" spans="1:15" ht="20.100000000000001" customHeight="1" x14ac:dyDescent="0.25">
      <c r="A474" s="25"/>
      <c r="B474" s="25"/>
      <c r="C474" s="25"/>
      <c r="D474" s="25"/>
      <c r="E474" s="25"/>
      <c r="F474" s="25" t="s">
        <v>495</v>
      </c>
      <c r="G474" s="25"/>
      <c r="H474" s="35"/>
      <c r="I474" s="35"/>
      <c r="J474" s="262">
        <f>2*(H466+H465*(H468+(L472/2))^2)</f>
        <v>777.77035000000001</v>
      </c>
      <c r="K474" s="35" t="s">
        <v>426</v>
      </c>
      <c r="M474" s="35"/>
      <c r="N474" s="25"/>
    </row>
    <row r="475" spans="1:15" ht="20.100000000000001" customHeight="1" x14ac:dyDescent="0.25">
      <c r="A475" s="25"/>
      <c r="B475" s="25"/>
      <c r="C475" s="25"/>
      <c r="D475" s="25"/>
      <c r="E475" s="25"/>
      <c r="F475" s="25"/>
      <c r="G475" s="25"/>
      <c r="H475" s="35"/>
      <c r="I475" s="35"/>
      <c r="J475" s="35"/>
      <c r="K475" s="35"/>
      <c r="L475" s="35"/>
      <c r="M475" s="35"/>
      <c r="N475" s="25"/>
    </row>
    <row r="476" spans="1:15" ht="20.100000000000001" customHeight="1" x14ac:dyDescent="0.25">
      <c r="A476" s="25"/>
      <c r="B476" s="25"/>
      <c r="C476" s="25"/>
      <c r="D476" s="25"/>
      <c r="E476" s="25"/>
      <c r="F476" s="25" t="s">
        <v>496</v>
      </c>
      <c r="G476" s="25"/>
      <c r="H476" s="35"/>
      <c r="I476" s="217">
        <f>SQRT(J474/(H465*2))</f>
        <v>4.5688222929318192</v>
      </c>
      <c r="J476" s="35" t="s">
        <v>143</v>
      </c>
      <c r="K476" s="35"/>
      <c r="L476" s="35"/>
      <c r="M476" s="35"/>
      <c r="N476" s="25"/>
    </row>
    <row r="477" spans="1:15" ht="20.100000000000001" customHeight="1" x14ac:dyDescent="0.25">
      <c r="A477" s="25"/>
      <c r="B477" s="25"/>
      <c r="C477" s="25"/>
      <c r="D477" s="25"/>
      <c r="E477" s="25"/>
      <c r="F477" s="25"/>
      <c r="G477" s="25"/>
      <c r="H477" s="35"/>
      <c r="I477" s="35"/>
      <c r="J477" s="35"/>
      <c r="K477" s="35"/>
      <c r="L477" s="35"/>
      <c r="M477" s="35"/>
      <c r="N477" s="25"/>
    </row>
    <row r="478" spans="1:15" ht="20.100000000000001" customHeight="1" x14ac:dyDescent="0.25">
      <c r="A478" s="25"/>
      <c r="B478" s="25"/>
      <c r="C478" s="25"/>
      <c r="D478" s="25"/>
      <c r="E478" s="25"/>
      <c r="F478" s="25" t="s">
        <v>497</v>
      </c>
      <c r="G478" s="25"/>
      <c r="H478" s="35"/>
      <c r="I478" s="35">
        <f>2*H468+L472</f>
        <v>6.7</v>
      </c>
      <c r="J478" s="35" t="s">
        <v>143</v>
      </c>
      <c r="K478" s="35"/>
      <c r="L478" s="35" t="s">
        <v>498</v>
      </c>
      <c r="M478" s="35"/>
      <c r="N478" s="25"/>
    </row>
    <row r="479" spans="1:15" ht="20.100000000000001" customHeight="1" x14ac:dyDescent="0.25">
      <c r="A479" s="25" t="s">
        <v>523</v>
      </c>
      <c r="B479" s="25"/>
      <c r="C479" s="190">
        <f>(M465-H468)/H468</f>
        <v>2.5649122807017544</v>
      </c>
      <c r="D479" s="25"/>
      <c r="E479" s="25"/>
      <c r="F479" s="25" t="s">
        <v>499</v>
      </c>
      <c r="G479" s="25"/>
      <c r="H479" s="35"/>
      <c r="I479" s="35"/>
      <c r="J479" s="35"/>
      <c r="K479" s="35"/>
      <c r="L479" s="274">
        <f>I478/(2*H467)</f>
        <v>1.077170418006431</v>
      </c>
      <c r="M479" s="35"/>
      <c r="N479" s="25"/>
    </row>
    <row r="480" spans="1:15" ht="20.100000000000001" customHeight="1" x14ac:dyDescent="0.25">
      <c r="E480" s="25"/>
      <c r="F480" s="25"/>
      <c r="G480" s="25"/>
      <c r="H480" s="35"/>
      <c r="I480" s="35"/>
      <c r="J480" s="35"/>
      <c r="K480" s="35"/>
      <c r="L480" s="35"/>
      <c r="M480" s="35"/>
      <c r="N480" s="25"/>
    </row>
    <row r="481" spans="1:14" ht="20.100000000000001" customHeight="1" x14ac:dyDescent="0.25">
      <c r="A481" s="25" t="s">
        <v>501</v>
      </c>
      <c r="B481" s="25"/>
      <c r="C481" s="210">
        <f>(F449/I476)</f>
        <v>23.414487608333658</v>
      </c>
      <c r="E481" s="25"/>
      <c r="F481" s="25" t="s">
        <v>227</v>
      </c>
      <c r="G481" s="25"/>
      <c r="H481" s="35"/>
      <c r="I481" s="35"/>
      <c r="J481" s="35"/>
      <c r="K481" s="35"/>
      <c r="L481" s="262">
        <f>D445*100/L482</f>
        <v>71.317755308353767</v>
      </c>
      <c r="M481" s="35" t="s">
        <v>143</v>
      </c>
      <c r="N481" s="25"/>
    </row>
    <row r="482" spans="1:14" ht="20.100000000000001" customHeight="1" x14ac:dyDescent="0.25">
      <c r="A482" s="25"/>
      <c r="B482" s="25"/>
      <c r="C482" s="25"/>
      <c r="D482" s="25"/>
      <c r="E482" s="25"/>
      <c r="F482" s="25"/>
      <c r="G482" s="25"/>
      <c r="H482" s="25" t="s">
        <v>228</v>
      </c>
      <c r="I482" s="35"/>
      <c r="J482" s="35"/>
      <c r="K482" s="35"/>
      <c r="L482" s="193">
        <v>3</v>
      </c>
      <c r="M482" s="35" t="s">
        <v>502</v>
      </c>
      <c r="N482" s="25"/>
    </row>
    <row r="483" spans="1:14" ht="20.100000000000001" customHeight="1" x14ac:dyDescent="0.25">
      <c r="A483" s="25" t="s">
        <v>503</v>
      </c>
      <c r="B483" s="25"/>
      <c r="C483" s="25"/>
      <c r="D483" s="25"/>
      <c r="E483" s="25"/>
      <c r="F483" s="25"/>
      <c r="G483" s="25"/>
      <c r="H483" s="35"/>
      <c r="I483" s="35"/>
      <c r="J483" s="262">
        <f>SQRT(C481^2+(0.82*(L479^2/(1+L479^2))*(L481/H467)^2))</f>
        <v>27.925635376568241</v>
      </c>
      <c r="K483" s="35"/>
      <c r="M483" s="35"/>
      <c r="N483" s="25"/>
    </row>
    <row r="484" spans="1:14" ht="20.100000000000001" customHeight="1" x14ac:dyDescent="0.25">
      <c r="A484" s="25"/>
      <c r="B484" s="25"/>
      <c r="C484" s="25"/>
      <c r="D484" s="25"/>
      <c r="E484" s="25"/>
      <c r="F484" s="25"/>
      <c r="G484" s="25"/>
      <c r="H484" s="35"/>
      <c r="I484" s="35"/>
      <c r="J484" s="35"/>
      <c r="K484" s="35"/>
      <c r="L484" s="35"/>
      <c r="M484" s="35"/>
      <c r="N484" s="25"/>
    </row>
    <row r="485" spans="1:14" ht="20.100000000000001" customHeight="1" x14ac:dyDescent="0.25">
      <c r="A485" s="25" t="s">
        <v>504</v>
      </c>
      <c r="B485" s="25">
        <f>J483</f>
        <v>27.925635376568241</v>
      </c>
      <c r="C485" s="25"/>
      <c r="D485" s="25" t="s">
        <v>505</v>
      </c>
      <c r="E485" s="25"/>
      <c r="F485" s="25"/>
      <c r="G485" s="204">
        <f>(B486/3.14)*SQRT(G442/G441)</f>
        <v>0.75101362556063977</v>
      </c>
      <c r="H485" s="263" t="str">
        <f>IF(G485&lt;1.5,"&lt; 1,5 Calculamos Fcr","Ver en norma Fcr")</f>
        <v>&lt; 1,5 Calculamos Fcr</v>
      </c>
      <c r="I485" s="322"/>
      <c r="J485" s="266"/>
      <c r="K485" s="266"/>
      <c r="L485" s="35"/>
      <c r="M485" s="35"/>
      <c r="N485" s="25"/>
    </row>
    <row r="486" spans="1:14" ht="20.100000000000001" customHeight="1" x14ac:dyDescent="0.25">
      <c r="A486" s="25" t="s">
        <v>506</v>
      </c>
      <c r="B486" s="25">
        <f>E470</f>
        <v>68.795262355325178</v>
      </c>
      <c r="C486" s="25"/>
      <c r="D486" s="25"/>
      <c r="E486" s="25"/>
      <c r="F486" s="25"/>
      <c r="G486" s="25"/>
      <c r="H486" s="35"/>
      <c r="I486" s="35"/>
      <c r="J486" s="35"/>
      <c r="K486" s="35"/>
      <c r="L486" s="35"/>
      <c r="M486" s="35"/>
      <c r="N486" s="25"/>
    </row>
    <row r="487" spans="1:14" ht="20.100000000000001" customHeight="1" x14ac:dyDescent="0.25">
      <c r="A487" s="25"/>
      <c r="B487" s="25"/>
      <c r="C487" s="25"/>
      <c r="D487" s="25" t="s">
        <v>524</v>
      </c>
      <c r="E487" s="25"/>
      <c r="F487" s="25"/>
      <c r="G487" s="35">
        <f>(0.658^(G485^2))*G442</f>
        <v>185.58521072008833</v>
      </c>
      <c r="H487" s="35" t="s">
        <v>168</v>
      </c>
      <c r="I487" s="35"/>
      <c r="J487" s="25" t="s">
        <v>509</v>
      </c>
      <c r="K487" s="275">
        <v>0.85</v>
      </c>
      <c r="L487" s="35"/>
      <c r="M487" s="35"/>
      <c r="N487" s="25"/>
    </row>
    <row r="488" spans="1:14" ht="20.100000000000001" customHeight="1" x14ac:dyDescent="0.25">
      <c r="A488" s="25"/>
      <c r="B488" s="25"/>
      <c r="C488" s="25"/>
      <c r="D488" s="25"/>
      <c r="E488" s="25"/>
      <c r="F488" s="25"/>
      <c r="G488" s="25"/>
      <c r="H488" s="35"/>
      <c r="I488" s="35"/>
      <c r="J488" s="35"/>
      <c r="K488" s="35"/>
      <c r="L488" s="35"/>
      <c r="M488" s="35"/>
      <c r="N488" s="25"/>
    </row>
    <row r="489" spans="1:14" ht="20.100000000000001" customHeight="1" x14ac:dyDescent="0.25">
      <c r="A489" s="25" t="s">
        <v>525</v>
      </c>
      <c r="B489" s="25"/>
      <c r="C489" s="25"/>
      <c r="D489" s="25"/>
      <c r="E489" s="25"/>
      <c r="F489" s="25"/>
      <c r="G489" s="321">
        <f>K487*G487*H465*2/10</f>
        <v>587.76692087159176</v>
      </c>
      <c r="H489" s="266" t="s">
        <v>195</v>
      </c>
      <c r="I489" s="263" t="str">
        <f>IF(G489&gt;J444,"BC!!","MC!!")</f>
        <v>BC!!</v>
      </c>
      <c r="L489" s="35"/>
      <c r="M489" s="35"/>
      <c r="N489" s="25"/>
    </row>
    <row r="490" spans="1:14" ht="20.100000000000001" customHeight="1" x14ac:dyDescent="0.25">
      <c r="C490" s="25"/>
      <c r="D490" s="25"/>
      <c r="E490" s="25"/>
      <c r="F490" s="25"/>
      <c r="G490" s="25"/>
      <c r="H490" s="35"/>
      <c r="I490" s="35"/>
      <c r="J490" s="35"/>
      <c r="K490" s="35"/>
      <c r="L490" s="35"/>
      <c r="M490" s="35"/>
      <c r="N490" s="25"/>
    </row>
    <row r="491" spans="1:14" ht="20.100000000000001" customHeight="1" x14ac:dyDescent="0.25">
      <c r="A491" s="28" t="s">
        <v>229</v>
      </c>
      <c r="B491" s="25"/>
      <c r="C491" s="25"/>
      <c r="D491" s="25"/>
      <c r="E491" s="25"/>
      <c r="F491" s="25" t="s">
        <v>510</v>
      </c>
      <c r="G491" s="130">
        <f>J443</f>
        <v>235.69109999999992</v>
      </c>
      <c r="H491" s="25" t="s">
        <v>195</v>
      </c>
      <c r="I491" s="25"/>
      <c r="J491" s="25" t="s">
        <v>511</v>
      </c>
      <c r="K491" s="257">
        <v>0.9</v>
      </c>
      <c r="L491" s="35"/>
      <c r="M491" s="35"/>
      <c r="N491" s="25"/>
    </row>
    <row r="492" spans="1:14" ht="20.100000000000001" customHeight="1" x14ac:dyDescent="0.25">
      <c r="G492" s="25"/>
      <c r="H492" s="35"/>
      <c r="I492" s="35"/>
      <c r="J492" s="35"/>
      <c r="K492" s="35"/>
      <c r="L492" s="35"/>
      <c r="M492" s="35"/>
      <c r="N492" s="25"/>
    </row>
    <row r="493" spans="1:14" ht="20.100000000000001" customHeight="1" x14ac:dyDescent="0.25">
      <c r="A493" s="25" t="s">
        <v>512</v>
      </c>
      <c r="B493" s="25"/>
      <c r="C493" s="25"/>
      <c r="D493" s="25"/>
      <c r="E493" s="96">
        <f>10*G491/(K491*G442)</f>
        <v>11.143787234042549</v>
      </c>
      <c r="F493" s="25" t="s">
        <v>433</v>
      </c>
      <c r="G493" s="265" t="str">
        <f>IF(E493&lt;H465*2,"&lt; a la sección adoptada   BC!!","&gt; a la sección adoptada    MC!!")</f>
        <v>&lt; a la sección adoptada   BC!!</v>
      </c>
      <c r="H493" s="266"/>
      <c r="I493" s="266"/>
      <c r="J493" s="266"/>
      <c r="K493" s="264"/>
      <c r="L493" s="35"/>
      <c r="M493" s="35"/>
      <c r="N493" s="25"/>
    </row>
    <row r="494" spans="1:14" ht="20.100000000000001" customHeight="1" x14ac:dyDescent="0.25">
      <c r="A494" s="25"/>
      <c r="B494" s="25"/>
      <c r="C494" s="25"/>
      <c r="D494" s="25"/>
      <c r="E494" s="96"/>
      <c r="F494" s="25"/>
      <c r="G494" s="28"/>
      <c r="H494" s="35"/>
      <c r="I494" s="35"/>
      <c r="J494" s="35"/>
      <c r="K494" s="25"/>
      <c r="L494" s="35"/>
      <c r="M494" s="35"/>
      <c r="N494" s="25"/>
    </row>
    <row r="495" spans="1:14" ht="20.100000000000001" customHeight="1" x14ac:dyDescent="0.25">
      <c r="A495" s="28" t="s">
        <v>237</v>
      </c>
      <c r="B495" s="25"/>
      <c r="C495" s="25"/>
      <c r="D495" s="25"/>
      <c r="E495" s="25"/>
      <c r="F495" s="25"/>
      <c r="G495" s="25"/>
      <c r="H495" s="35"/>
      <c r="I495" s="35"/>
      <c r="J495" s="35"/>
      <c r="K495" s="35"/>
      <c r="L495" s="35"/>
      <c r="M495" s="35"/>
      <c r="N495" s="25"/>
    </row>
    <row r="496" spans="1:14" ht="20.100000000000001" customHeight="1" x14ac:dyDescent="0.25">
      <c r="A496" s="25" t="s">
        <v>526</v>
      </c>
      <c r="B496" s="25"/>
      <c r="C496" s="25"/>
      <c r="D496" s="25"/>
      <c r="E496" s="187" t="s">
        <v>527</v>
      </c>
      <c r="F496" s="197">
        <f>M466/2</f>
        <v>0.47499999999999998</v>
      </c>
      <c r="G496" s="25" t="s">
        <v>143</v>
      </c>
      <c r="H496" s="35"/>
      <c r="I496" s="35" t="s">
        <v>513</v>
      </c>
      <c r="J496" s="35"/>
      <c r="K496" s="35"/>
      <c r="L496" s="217">
        <f>0.02*MAX(G489,G491)</f>
        <v>11.755338417431835</v>
      </c>
      <c r="M496" s="35" t="s">
        <v>195</v>
      </c>
      <c r="N496" s="25"/>
    </row>
    <row r="497" spans="1:14" ht="20.100000000000001" customHeight="1" x14ac:dyDescent="0.25">
      <c r="A497" s="25" t="s">
        <v>528</v>
      </c>
      <c r="B497" s="25"/>
      <c r="C497" s="25"/>
      <c r="D497" s="25"/>
      <c r="E497" s="25"/>
      <c r="F497" s="96">
        <f>(10*L496*H465*H468*L481)/(0.75*N497*J474*F496*J497)</f>
        <v>7.5600614620150699</v>
      </c>
      <c r="G497" s="25" t="s">
        <v>143</v>
      </c>
      <c r="H497" s="35"/>
      <c r="I497" s="35" t="s">
        <v>236</v>
      </c>
      <c r="J497" s="44">
        <v>425</v>
      </c>
      <c r="K497" s="35" t="s">
        <v>168</v>
      </c>
      <c r="L497" s="35"/>
      <c r="M497" s="35" t="s">
        <v>515</v>
      </c>
      <c r="N497" s="200">
        <v>0.5</v>
      </c>
    </row>
    <row r="498" spans="1:14" ht="20.100000000000001" customHeight="1" x14ac:dyDescent="0.25">
      <c r="A498" s="25" t="s">
        <v>529</v>
      </c>
      <c r="B498" s="25"/>
      <c r="C498" s="25"/>
      <c r="D498" s="25"/>
      <c r="E498" s="25"/>
      <c r="F498" s="25"/>
      <c r="G498" s="187" t="s">
        <v>517</v>
      </c>
      <c r="H498" s="55">
        <f>((M465-H468)/M465)*F497</f>
        <v>5.4393749298553313</v>
      </c>
      <c r="I498" s="35" t="s">
        <v>143</v>
      </c>
      <c r="J498" s="35"/>
      <c r="K498" s="35" t="s">
        <v>518</v>
      </c>
      <c r="L498" s="55">
        <f>(H468/M465)*F497</f>
        <v>2.120686532159739</v>
      </c>
      <c r="M498" s="35" t="s">
        <v>143</v>
      </c>
      <c r="N498" s="25"/>
    </row>
    <row r="499" spans="1:14" ht="20.100000000000001" customHeight="1" x14ac:dyDescent="0.25">
      <c r="A499" s="25"/>
      <c r="B499" s="25"/>
      <c r="C499" s="25"/>
      <c r="D499" s="25"/>
      <c r="E499" s="25"/>
      <c r="F499" s="25"/>
      <c r="G499" s="187"/>
      <c r="H499" s="55"/>
      <c r="I499" s="35"/>
      <c r="J499" s="35"/>
      <c r="K499" s="35"/>
      <c r="L499" s="55"/>
      <c r="M499" s="35"/>
      <c r="N499" s="25"/>
    </row>
    <row r="500" spans="1:14" ht="20.100000000000001" customHeight="1" x14ac:dyDescent="0.25">
      <c r="A500" s="25" t="s">
        <v>530</v>
      </c>
      <c r="B500" s="25"/>
      <c r="C500" s="25"/>
      <c r="D500" s="25"/>
      <c r="E500" s="25"/>
      <c r="F500" s="25"/>
      <c r="G500" s="187" t="s">
        <v>531</v>
      </c>
      <c r="H500" s="262">
        <f>MAX(G489,G491)</f>
        <v>587.76692087159176</v>
      </c>
      <c r="I500" s="35" t="s">
        <v>195</v>
      </c>
      <c r="J500" s="35"/>
      <c r="K500" s="35"/>
      <c r="L500" s="35"/>
      <c r="N500" s="25"/>
    </row>
    <row r="501" spans="1:14" ht="20.100000000000001" customHeight="1" x14ac:dyDescent="0.25">
      <c r="A501" s="25" t="s">
        <v>520</v>
      </c>
      <c r="B501" s="25"/>
      <c r="C501" s="25"/>
      <c r="D501" s="25"/>
      <c r="E501" s="96">
        <f>5*MAX(H500,J500)/(0.75*N497*F496*J497)</f>
        <v>38.82051902557469</v>
      </c>
      <c r="F501" s="25" t="s">
        <v>143</v>
      </c>
      <c r="G501" s="187" t="s">
        <v>517</v>
      </c>
      <c r="H501" s="55">
        <f>((M465-H468)/M465)*E501</f>
        <v>27.930904928833762</v>
      </c>
      <c r="I501" s="35" t="s">
        <v>143</v>
      </c>
      <c r="J501" s="35"/>
      <c r="K501" s="35" t="s">
        <v>518</v>
      </c>
      <c r="L501" s="55">
        <f>(H468/M465)*E501</f>
        <v>10.889614096740932</v>
      </c>
      <c r="M501" s="35" t="s">
        <v>143</v>
      </c>
      <c r="N501" s="25"/>
    </row>
    <row r="502" spans="1:14" ht="20.100000000000001" customHeight="1" x14ac:dyDescent="0.25">
      <c r="A502" s="25"/>
      <c r="B502" s="25"/>
      <c r="C502" s="25"/>
      <c r="D502" s="25"/>
      <c r="E502" s="25"/>
      <c r="F502" s="25"/>
      <c r="G502" s="187"/>
      <c r="H502" s="41"/>
      <c r="I502" s="35"/>
      <c r="J502" s="35"/>
      <c r="K502" s="35"/>
      <c r="L502" s="41"/>
      <c r="M502" s="35"/>
      <c r="N502" s="25"/>
    </row>
    <row r="503" spans="1:14" ht="20.100000000000001" customHeight="1" x14ac:dyDescent="0.25">
      <c r="A503" s="25"/>
      <c r="B503" s="25"/>
      <c r="C503" s="25"/>
      <c r="D503" s="25"/>
      <c r="E503" s="25"/>
      <c r="F503" s="25"/>
      <c r="G503" s="187"/>
      <c r="H503" s="41"/>
      <c r="I503" s="35"/>
      <c r="J503" s="35"/>
      <c r="K503" s="35"/>
      <c r="L503" s="41"/>
      <c r="M503" s="35"/>
      <c r="N503" s="25"/>
    </row>
    <row r="504" spans="1:14" ht="20.100000000000001" customHeight="1" x14ac:dyDescent="0.25">
      <c r="A504" s="25"/>
      <c r="B504" s="25"/>
      <c r="C504" s="25"/>
      <c r="D504" s="25"/>
      <c r="E504" s="25"/>
      <c r="F504" s="25"/>
      <c r="G504" s="187"/>
      <c r="H504" s="41"/>
      <c r="I504" s="35"/>
      <c r="J504" s="35"/>
      <c r="K504" s="35"/>
      <c r="L504" s="41"/>
      <c r="M504" s="35"/>
      <c r="N504" s="25"/>
    </row>
    <row r="505" spans="1:14" ht="20.100000000000001" customHeight="1" x14ac:dyDescent="0.25">
      <c r="A505" s="28" t="s">
        <v>230</v>
      </c>
      <c r="B505" s="25"/>
      <c r="C505" s="25"/>
      <c r="D505" s="25"/>
      <c r="E505" s="25"/>
      <c r="F505" s="25" t="s">
        <v>144</v>
      </c>
      <c r="G505" s="515">
        <v>200000</v>
      </c>
      <c r="H505" s="515"/>
      <c r="I505" s="35" t="s">
        <v>168</v>
      </c>
      <c r="J505" s="35"/>
      <c r="K505" s="35"/>
      <c r="L505" s="35"/>
      <c r="M505" s="35"/>
      <c r="N505" s="25"/>
    </row>
    <row r="506" spans="1:14" ht="20.100000000000001" customHeight="1" x14ac:dyDescent="0.25">
      <c r="A506" s="25"/>
      <c r="B506" s="25" t="s">
        <v>207</v>
      </c>
      <c r="C506" s="25"/>
      <c r="D506" s="25"/>
      <c r="E506" s="25"/>
      <c r="F506" s="25" t="s">
        <v>169</v>
      </c>
      <c r="G506" s="515">
        <v>235</v>
      </c>
      <c r="H506" s="515"/>
      <c r="I506" s="35" t="s">
        <v>168</v>
      </c>
      <c r="J506" s="35"/>
      <c r="K506" s="35"/>
      <c r="L506" s="35"/>
      <c r="M506" s="35"/>
      <c r="N506" s="25"/>
    </row>
    <row r="507" spans="1:14" ht="20.100000000000001" customHeight="1" x14ac:dyDescent="0.25">
      <c r="A507" s="25"/>
      <c r="B507" s="25"/>
      <c r="C507" s="25" t="s">
        <v>209</v>
      </c>
      <c r="D507" s="25"/>
      <c r="E507" s="25"/>
      <c r="F507" s="25" t="s">
        <v>51</v>
      </c>
      <c r="G507" s="525">
        <f>D437</f>
        <v>47504.97</v>
      </c>
      <c r="H507" s="525"/>
      <c r="I507" s="35" t="s">
        <v>122</v>
      </c>
      <c r="J507" s="35" t="s">
        <v>189</v>
      </c>
      <c r="K507" s="218">
        <f>G507/100</f>
        <v>475.04970000000003</v>
      </c>
      <c r="L507" s="35" t="s">
        <v>195</v>
      </c>
      <c r="M507" s="35"/>
      <c r="N507" s="25"/>
    </row>
    <row r="508" spans="1:14" ht="20.100000000000001" customHeight="1" x14ac:dyDescent="0.25">
      <c r="A508" s="25"/>
      <c r="B508" s="25"/>
      <c r="C508" s="25" t="s">
        <v>208</v>
      </c>
      <c r="D508" s="25"/>
      <c r="E508" s="25"/>
      <c r="F508" s="25" t="s">
        <v>51</v>
      </c>
      <c r="G508" s="525">
        <f>E437</f>
        <v>21860.52</v>
      </c>
      <c r="H508" s="525"/>
      <c r="I508" s="35" t="s">
        <v>122</v>
      </c>
      <c r="J508" s="35" t="s">
        <v>189</v>
      </c>
      <c r="K508" s="218">
        <f>G508/100</f>
        <v>218.6052</v>
      </c>
      <c r="L508" s="35" t="s">
        <v>195</v>
      </c>
      <c r="M508" s="35"/>
      <c r="N508" s="25"/>
    </row>
    <row r="509" spans="1:14" ht="20.100000000000001" customHeight="1" x14ac:dyDescent="0.25">
      <c r="A509" s="25" t="s">
        <v>210</v>
      </c>
      <c r="B509" s="25"/>
      <c r="C509" s="25" t="s">
        <v>533</v>
      </c>
      <c r="D509" s="267">
        <f>F23</f>
        <v>2.1395326592506132</v>
      </c>
      <c r="E509" s="25" t="s">
        <v>5</v>
      </c>
      <c r="F509" s="25"/>
      <c r="G509" s="25"/>
      <c r="H509" s="35"/>
      <c r="I509" s="35"/>
      <c r="J509" s="35"/>
      <c r="K509" s="35"/>
      <c r="L509" s="35"/>
      <c r="M509" s="35"/>
      <c r="N509" s="25"/>
    </row>
    <row r="510" spans="1:14" ht="20.100000000000001" customHeight="1" x14ac:dyDescent="0.25">
      <c r="A510" s="25"/>
      <c r="B510" s="25"/>
      <c r="C510" s="25"/>
      <c r="D510" s="25"/>
      <c r="E510" s="25"/>
      <c r="F510" s="25"/>
      <c r="G510" s="25"/>
      <c r="H510" s="35"/>
      <c r="I510" s="35"/>
      <c r="J510" s="35"/>
      <c r="K510" s="35"/>
      <c r="L510" s="35"/>
      <c r="M510" s="35"/>
      <c r="N510" s="25"/>
    </row>
    <row r="511" spans="1:14" ht="20.100000000000001" customHeight="1" x14ac:dyDescent="0.25">
      <c r="A511" s="25" t="s">
        <v>213</v>
      </c>
      <c r="B511" s="25"/>
      <c r="C511" s="25"/>
      <c r="D511" s="25"/>
      <c r="E511" s="25"/>
      <c r="F511" s="25"/>
      <c r="G511" s="25"/>
      <c r="H511" s="35"/>
      <c r="I511" s="35"/>
      <c r="J511" s="35"/>
      <c r="K511" s="35"/>
      <c r="L511" s="35"/>
      <c r="M511" s="35"/>
      <c r="N511" s="25"/>
    </row>
    <row r="512" spans="1:14" ht="20.100000000000001" customHeight="1" x14ac:dyDescent="0.25">
      <c r="A512" s="25" t="s">
        <v>211</v>
      </c>
      <c r="B512" s="26">
        <v>1</v>
      </c>
      <c r="C512" s="25"/>
      <c r="D512" s="25"/>
      <c r="E512" s="25" t="s">
        <v>214</v>
      </c>
      <c r="F512" s="210">
        <f>B512*D509*100</f>
        <v>213.95326592506132</v>
      </c>
      <c r="G512" s="25" t="s">
        <v>143</v>
      </c>
      <c r="H512" s="35"/>
      <c r="I512" s="35"/>
      <c r="J512" s="35"/>
      <c r="K512" s="35"/>
      <c r="L512" s="35"/>
      <c r="M512" s="35"/>
      <c r="N512" s="25"/>
    </row>
    <row r="513" spans="1:14" ht="20.100000000000001" customHeight="1" x14ac:dyDescent="0.25">
      <c r="A513" s="25" t="s">
        <v>212</v>
      </c>
      <c r="B513" s="26">
        <v>1</v>
      </c>
      <c r="C513" s="25"/>
      <c r="D513" s="25"/>
      <c r="E513" s="25" t="s">
        <v>215</v>
      </c>
      <c r="F513" s="210">
        <f>D509*B513*100</f>
        <v>213.95326592506132</v>
      </c>
      <c r="G513" s="25" t="s">
        <v>143</v>
      </c>
      <c r="H513" s="35"/>
      <c r="I513" s="35"/>
      <c r="J513" s="35"/>
      <c r="K513" s="35"/>
      <c r="L513" s="35"/>
      <c r="M513" s="35"/>
      <c r="N513" s="25"/>
    </row>
    <row r="514" spans="1:14" ht="20.100000000000001" customHeight="1" x14ac:dyDescent="0.25">
      <c r="A514" s="25"/>
      <c r="B514" s="25"/>
      <c r="C514" s="25"/>
      <c r="D514" s="25"/>
      <c r="E514" s="25"/>
      <c r="F514" s="25"/>
      <c r="G514" s="25"/>
      <c r="H514" s="35"/>
      <c r="I514" s="35"/>
      <c r="J514" s="35"/>
      <c r="K514" s="35"/>
      <c r="L514" s="35"/>
      <c r="M514" s="35"/>
      <c r="N514" s="25"/>
    </row>
    <row r="515" spans="1:14" ht="20.100000000000001" customHeight="1" x14ac:dyDescent="0.25">
      <c r="A515" s="25" t="s">
        <v>476</v>
      </c>
      <c r="B515" s="25"/>
      <c r="C515" s="25"/>
      <c r="D515" s="25"/>
      <c r="E515" s="25"/>
      <c r="F515" s="25"/>
      <c r="G515" s="25"/>
      <c r="H515" s="35"/>
      <c r="I515" s="44">
        <v>100</v>
      </c>
      <c r="J515" s="35" t="s">
        <v>217</v>
      </c>
      <c r="K515" s="35"/>
      <c r="L515" s="35"/>
      <c r="M515" s="35"/>
      <c r="N515" s="25"/>
    </row>
    <row r="516" spans="1:14" ht="20.100000000000001" customHeight="1" x14ac:dyDescent="0.25">
      <c r="A516" s="25"/>
      <c r="B516" s="25"/>
      <c r="C516" s="25"/>
      <c r="D516" s="25"/>
      <c r="E516" s="25"/>
      <c r="F516" s="25"/>
      <c r="G516" s="25"/>
      <c r="H516" s="35"/>
      <c r="I516" s="35"/>
      <c r="J516" s="35" t="s">
        <v>216</v>
      </c>
      <c r="K516" s="35"/>
      <c r="L516" s="35"/>
      <c r="M516" s="35"/>
      <c r="N516" s="25"/>
    </row>
    <row r="517" spans="1:14" ht="20.100000000000001" customHeight="1" x14ac:dyDescent="0.25">
      <c r="A517" s="25" t="s">
        <v>218</v>
      </c>
      <c r="B517" s="25"/>
      <c r="C517" s="25"/>
      <c r="D517" s="25"/>
      <c r="E517" s="25"/>
      <c r="F517" s="25"/>
      <c r="G517" s="25"/>
      <c r="H517" s="35"/>
      <c r="I517" s="35"/>
      <c r="J517" s="35"/>
      <c r="K517" s="35"/>
      <c r="L517" s="35"/>
      <c r="M517" s="35"/>
      <c r="N517" s="25"/>
    </row>
    <row r="518" spans="1:14" ht="20.100000000000001" customHeight="1" x14ac:dyDescent="0.25">
      <c r="A518" s="25"/>
      <c r="B518" s="25"/>
      <c r="C518" s="25"/>
      <c r="D518" s="25" t="s">
        <v>477</v>
      </c>
      <c r="E518" s="25"/>
      <c r="F518" s="190">
        <f>F512/I515</f>
        <v>2.1395326592506132</v>
      </c>
      <c r="G518" s="25" t="s">
        <v>143</v>
      </c>
      <c r="H518" s="35"/>
      <c r="I518" s="35"/>
      <c r="J518" s="35"/>
      <c r="K518" s="35"/>
      <c r="L518" s="35"/>
      <c r="M518" s="35"/>
      <c r="N518" s="25"/>
    </row>
    <row r="519" spans="1:14" ht="20.100000000000001" customHeight="1" x14ac:dyDescent="0.25">
      <c r="A519" s="25" t="s">
        <v>219</v>
      </c>
      <c r="B519" s="25"/>
      <c r="C519" s="25"/>
      <c r="D519" s="25"/>
      <c r="E519" s="25"/>
      <c r="F519" s="25"/>
      <c r="G519" s="25"/>
      <c r="H519" s="35"/>
      <c r="I519" s="35"/>
      <c r="J519" s="35"/>
      <c r="K519" s="35"/>
      <c r="L519" s="35"/>
      <c r="M519" s="35"/>
      <c r="N519" s="25"/>
    </row>
    <row r="520" spans="1:14" ht="20.100000000000001" customHeight="1" x14ac:dyDescent="0.25">
      <c r="A520" s="273" t="s">
        <v>535</v>
      </c>
      <c r="B520" s="25"/>
      <c r="C520" s="25"/>
      <c r="D520" s="25"/>
      <c r="E520" s="191">
        <f>F512*SQRT(G506/G505)/(3.14*F518)</f>
        <v>1.0916647452867905</v>
      </c>
      <c r="G520" s="25"/>
      <c r="H520" s="35" t="s">
        <v>479</v>
      </c>
      <c r="I520" s="35"/>
      <c r="J520" s="35"/>
      <c r="K520" s="35"/>
      <c r="L520" s="35"/>
      <c r="M520" s="35"/>
      <c r="N520" s="25"/>
    </row>
    <row r="521" spans="1:14" ht="20.100000000000001" customHeight="1" x14ac:dyDescent="0.25">
      <c r="A521" s="25"/>
      <c r="B521" s="25"/>
      <c r="C521" s="25"/>
      <c r="D521" s="25"/>
      <c r="E521" s="25"/>
      <c r="F521" s="25"/>
      <c r="G521" s="25"/>
      <c r="H521" s="35"/>
      <c r="I521" s="35"/>
      <c r="J521" s="35"/>
      <c r="K521" s="35"/>
      <c r="L521" s="35"/>
      <c r="M521" s="35"/>
      <c r="N521" s="25"/>
    </row>
    <row r="522" spans="1:14" ht="20.100000000000001" customHeight="1" x14ac:dyDescent="0.25">
      <c r="A522" s="25"/>
      <c r="B522" s="25"/>
      <c r="C522" s="25"/>
      <c r="D522" s="25"/>
      <c r="E522" s="25" t="s">
        <v>480</v>
      </c>
      <c r="F522" s="25"/>
      <c r="G522" s="25"/>
      <c r="H522" s="35">
        <f>(0.658^(E520^2))*G506</f>
        <v>142.70587677287426</v>
      </c>
      <c r="I522" s="35" t="s">
        <v>168</v>
      </c>
      <c r="K522" s="35"/>
      <c r="L522" s="35" t="s">
        <v>481</v>
      </c>
      <c r="M522" s="193">
        <v>0.85</v>
      </c>
      <c r="N522" s="25"/>
    </row>
    <row r="523" spans="1:14" ht="20.100000000000001" customHeight="1" x14ac:dyDescent="0.25">
      <c r="A523" s="25" t="s">
        <v>482</v>
      </c>
      <c r="B523" s="25"/>
      <c r="C523" s="25"/>
      <c r="D523" s="25" t="s">
        <v>483</v>
      </c>
      <c r="E523" s="25"/>
      <c r="F523" s="25"/>
      <c r="G523" s="25"/>
      <c r="H523" s="25" t="s">
        <v>484</v>
      </c>
      <c r="I523" s="25"/>
      <c r="J523" s="25"/>
      <c r="K523" s="35"/>
      <c r="L523" s="35"/>
      <c r="M523" s="35"/>
      <c r="N523" s="25"/>
    </row>
    <row r="524" spans="1:14" ht="20.100000000000001" customHeight="1" x14ac:dyDescent="0.25">
      <c r="H524" s="35"/>
      <c r="J524" s="35"/>
      <c r="K524" s="35"/>
      <c r="L524" s="35"/>
      <c r="M524" s="35"/>
      <c r="N524" s="25"/>
    </row>
    <row r="525" spans="1:14" ht="20.100000000000001" customHeight="1" x14ac:dyDescent="0.25">
      <c r="A525" s="25" t="s">
        <v>221</v>
      </c>
      <c r="B525" s="514">
        <f>G508</f>
        <v>21860.52</v>
      </c>
      <c r="C525" s="507"/>
      <c r="D525" s="25" t="s">
        <v>534</v>
      </c>
      <c r="E525" s="25">
        <f>B525/100</f>
        <v>218.6052</v>
      </c>
      <c r="F525" s="25" t="s">
        <v>195</v>
      </c>
      <c r="G525" s="25"/>
      <c r="H525" s="35" t="s">
        <v>536</v>
      </c>
      <c r="I525" s="35"/>
      <c r="K525" s="55">
        <f>10*E525/(M522*H522)</f>
        <v>18.021863853905405</v>
      </c>
      <c r="L525" s="35" t="s">
        <v>433</v>
      </c>
      <c r="N525" s="35"/>
    </row>
    <row r="526" spans="1:14" ht="20.100000000000001" customHeight="1" x14ac:dyDescent="0.25">
      <c r="A526" s="25"/>
      <c r="B526" s="25"/>
      <c r="E526" s="25"/>
      <c r="F526" s="25"/>
      <c r="G526" s="25"/>
      <c r="H526" s="35"/>
      <c r="L526" s="35"/>
      <c r="M526" s="35"/>
      <c r="N526" s="25"/>
    </row>
    <row r="527" spans="1:14" ht="20.100000000000001" customHeight="1" x14ac:dyDescent="0.25">
      <c r="A527" s="25"/>
      <c r="B527" s="25"/>
      <c r="C527" s="25"/>
      <c r="D527" s="25"/>
      <c r="E527" s="25"/>
      <c r="F527" s="28" t="s">
        <v>222</v>
      </c>
      <c r="G527" s="25"/>
      <c r="H527" s="35"/>
      <c r="I527" s="35"/>
      <c r="J527" s="35"/>
      <c r="K527" s="35"/>
      <c r="L527" s="35"/>
      <c r="M527" s="497" t="s">
        <v>622</v>
      </c>
      <c r="N527" s="497"/>
    </row>
    <row r="528" spans="1:14" ht="20.100000000000001" customHeight="1" x14ac:dyDescent="0.25">
      <c r="A528" s="25"/>
      <c r="B528" s="25"/>
      <c r="C528" s="25"/>
      <c r="D528" s="25"/>
      <c r="E528" s="25"/>
      <c r="F528" s="25" t="s">
        <v>486</v>
      </c>
      <c r="G528" s="268">
        <v>12.8</v>
      </c>
      <c r="H528" s="35" t="s">
        <v>433</v>
      </c>
      <c r="I528" s="21" t="str">
        <f>IF(G528*2&gt;K525,"BC","MC")</f>
        <v>BC</v>
      </c>
      <c r="L528" s="35" t="s">
        <v>167</v>
      </c>
      <c r="M528" s="44">
        <v>10.16</v>
      </c>
      <c r="N528" s="35" t="s">
        <v>143</v>
      </c>
    </row>
    <row r="529" spans="1:14" ht="20.100000000000001" customHeight="1" x14ac:dyDescent="0.25">
      <c r="A529" s="25"/>
      <c r="B529" s="25"/>
      <c r="C529" s="25"/>
      <c r="D529" s="25"/>
      <c r="E529" s="25"/>
      <c r="F529" s="25" t="s">
        <v>487</v>
      </c>
      <c r="G529" s="269">
        <v>125.53</v>
      </c>
      <c r="H529" s="35" t="s">
        <v>426</v>
      </c>
      <c r="I529" s="35"/>
      <c r="L529" s="35" t="s">
        <v>224</v>
      </c>
      <c r="M529" s="44">
        <v>0.64</v>
      </c>
      <c r="N529" s="35" t="s">
        <v>143</v>
      </c>
    </row>
    <row r="530" spans="1:14" ht="20.100000000000001" customHeight="1" x14ac:dyDescent="0.25">
      <c r="A530" s="25"/>
      <c r="B530" s="25"/>
      <c r="C530" s="25"/>
      <c r="D530" s="25"/>
      <c r="E530" s="25"/>
      <c r="F530" s="25" t="s">
        <v>488</v>
      </c>
      <c r="G530" s="267">
        <v>3.13</v>
      </c>
      <c r="H530" s="35" t="s">
        <v>143</v>
      </c>
      <c r="I530" s="21" t="str">
        <f>IF(G530&gt;F518,"BC","MC")</f>
        <v>BC</v>
      </c>
      <c r="K530" s="35" t="s">
        <v>225</v>
      </c>
      <c r="L530" s="35"/>
      <c r="M530" s="60" t="s">
        <v>223</v>
      </c>
      <c r="N530" s="270">
        <v>1</v>
      </c>
    </row>
    <row r="531" spans="1:14" ht="20.100000000000001" customHeight="1" x14ac:dyDescent="0.25">
      <c r="A531" s="25"/>
      <c r="B531" s="25"/>
      <c r="C531" s="25"/>
      <c r="D531" s="25"/>
      <c r="E531" s="504" t="s">
        <v>489</v>
      </c>
      <c r="F531" s="504"/>
      <c r="G531" s="267">
        <v>2.71</v>
      </c>
      <c r="H531" s="35" t="s">
        <v>143</v>
      </c>
      <c r="I531" s="35"/>
      <c r="J531" s="35"/>
      <c r="K531" s="35"/>
      <c r="L531" s="35"/>
      <c r="M531" s="35"/>
      <c r="N531" s="25"/>
    </row>
    <row r="532" spans="1:14" ht="20.100000000000001" customHeight="1" x14ac:dyDescent="0.25">
      <c r="A532" s="25" t="s">
        <v>521</v>
      </c>
      <c r="B532" s="25"/>
      <c r="C532" s="25"/>
      <c r="D532" s="25"/>
      <c r="E532" s="272">
        <f>M528/M529</f>
        <v>15.875</v>
      </c>
      <c r="G532" s="25"/>
      <c r="L532" s="35"/>
      <c r="M532" s="35"/>
      <c r="N532" s="25"/>
    </row>
    <row r="533" spans="1:14" ht="20.100000000000001" customHeight="1" x14ac:dyDescent="0.25">
      <c r="A533" s="25" t="s">
        <v>491</v>
      </c>
      <c r="B533" s="35"/>
      <c r="C533" s="35"/>
      <c r="D533" s="278">
        <f>200/SQRT(G506)</f>
        <v>13.046561461068844</v>
      </c>
      <c r="E533" s="25"/>
      <c r="F533" s="25" t="s">
        <v>492</v>
      </c>
      <c r="G533" s="25"/>
      <c r="H533" s="25"/>
      <c r="I533" s="35"/>
      <c r="J533" s="35"/>
      <c r="K533" s="35"/>
      <c r="L533" s="35"/>
      <c r="M533" s="35"/>
      <c r="N533" s="25"/>
    </row>
    <row r="534" spans="1:14" ht="20.100000000000001" customHeight="1" x14ac:dyDescent="0.25">
      <c r="A534" s="25" t="s">
        <v>493</v>
      </c>
      <c r="B534" s="35"/>
      <c r="C534" s="35"/>
      <c r="D534" s="272">
        <f>F512/G530</f>
        <v>68.355676014396593</v>
      </c>
      <c r="M534" s="35"/>
      <c r="N534" s="25"/>
    </row>
    <row r="535" spans="1:14" ht="20.100000000000001" customHeight="1" x14ac:dyDescent="0.25">
      <c r="A535" s="25"/>
      <c r="B535" s="25"/>
      <c r="C535" s="25"/>
      <c r="D535" s="25"/>
      <c r="E535" s="25"/>
      <c r="F535" s="25"/>
      <c r="G535" s="25"/>
      <c r="H535" s="35"/>
      <c r="I535" s="35"/>
      <c r="J535" s="35"/>
      <c r="K535" s="35"/>
      <c r="L535" s="35"/>
      <c r="M535" s="35"/>
      <c r="N535" s="25"/>
    </row>
    <row r="536" spans="1:14" ht="20.100000000000001" customHeight="1" x14ac:dyDescent="0.25">
      <c r="A536" s="25" t="s">
        <v>226</v>
      </c>
      <c r="B536" s="25"/>
      <c r="C536" s="25"/>
      <c r="D536" s="25"/>
      <c r="E536" s="25"/>
      <c r="F536" s="25"/>
      <c r="G536" s="25"/>
      <c r="H536" s="35"/>
      <c r="I536" s="35"/>
      <c r="N536" s="25"/>
    </row>
    <row r="537" spans="1:14" ht="20.100000000000001" customHeight="1" x14ac:dyDescent="0.25">
      <c r="A537" s="35" t="s">
        <v>494</v>
      </c>
      <c r="B537" s="35"/>
      <c r="C537" s="271">
        <v>1</v>
      </c>
      <c r="D537" s="35" t="s">
        <v>143</v>
      </c>
      <c r="H537" s="35"/>
      <c r="N537" s="25"/>
    </row>
    <row r="538" spans="1:14" ht="20.100000000000001" customHeight="1" x14ac:dyDescent="0.25">
      <c r="A538" s="25"/>
      <c r="B538" s="25"/>
      <c r="C538" s="35"/>
      <c r="D538" s="35"/>
      <c r="E538" s="35"/>
      <c r="F538" s="35"/>
      <c r="G538" s="35"/>
      <c r="H538" s="35"/>
      <c r="N538" s="25"/>
    </row>
    <row r="539" spans="1:14" ht="20.100000000000001" customHeight="1" x14ac:dyDescent="0.25">
      <c r="A539" s="25" t="s">
        <v>495</v>
      </c>
      <c r="B539" s="25"/>
      <c r="C539" s="35"/>
      <c r="D539" s="35"/>
      <c r="E539" s="35"/>
      <c r="F539" s="262">
        <f>2*(G529+G528*(G531+(C537/2)))</f>
        <v>333.23599999999999</v>
      </c>
      <c r="G539" s="35" t="s">
        <v>426</v>
      </c>
      <c r="H539" s="35"/>
      <c r="N539" s="25"/>
    </row>
    <row r="540" spans="1:14" ht="20.100000000000001" customHeight="1" x14ac:dyDescent="0.25">
      <c r="A540" s="25" t="s">
        <v>496</v>
      </c>
      <c r="B540" s="25"/>
      <c r="C540" s="35"/>
      <c r="D540" s="35">
        <f>SQRT(F539/(G528*2))</f>
        <v>3.6079123118501646</v>
      </c>
      <c r="E540" s="35" t="s">
        <v>143</v>
      </c>
      <c r="F540" s="25"/>
      <c r="G540" s="25"/>
      <c r="H540" s="35"/>
      <c r="I540" s="35"/>
      <c r="J540" s="35"/>
      <c r="K540" s="35"/>
      <c r="L540" s="35"/>
      <c r="M540" s="35"/>
      <c r="N540" s="25"/>
    </row>
    <row r="541" spans="1:14" ht="20.100000000000001" customHeight="1" x14ac:dyDescent="0.25">
      <c r="A541" s="25"/>
      <c r="B541" s="25"/>
      <c r="C541" s="25"/>
      <c r="D541" s="25"/>
      <c r="E541" s="25"/>
      <c r="F541" s="25" t="s">
        <v>497</v>
      </c>
      <c r="G541" s="25"/>
      <c r="H541" s="35"/>
      <c r="I541" s="35">
        <f>2*G531+C537</f>
        <v>6.42</v>
      </c>
      <c r="J541" s="35" t="s">
        <v>143</v>
      </c>
      <c r="K541" s="35"/>
      <c r="L541" s="35" t="s">
        <v>498</v>
      </c>
      <c r="M541" s="35"/>
      <c r="N541" s="25"/>
    </row>
    <row r="542" spans="1:14" ht="20.100000000000001" customHeight="1" x14ac:dyDescent="0.25">
      <c r="A542" s="25" t="s">
        <v>500</v>
      </c>
      <c r="B542" s="25"/>
      <c r="C542" s="25">
        <f>(M528-G531)/G531</f>
        <v>2.749077490774908</v>
      </c>
      <c r="D542" s="25"/>
      <c r="E542" s="25"/>
      <c r="F542" s="25"/>
      <c r="G542" s="25"/>
      <c r="H542" s="35"/>
      <c r="I542" s="35"/>
      <c r="J542" s="35"/>
      <c r="K542" s="35"/>
      <c r="L542" s="35"/>
      <c r="M542" s="35"/>
      <c r="N542" s="25"/>
    </row>
    <row r="543" spans="1:14" ht="20.100000000000001" customHeight="1" x14ac:dyDescent="0.25">
      <c r="A543" s="25" t="s">
        <v>501</v>
      </c>
      <c r="B543" s="25"/>
      <c r="C543" s="25"/>
      <c r="D543" s="25">
        <f>F513/D540</f>
        <v>59.301126921054376</v>
      </c>
      <c r="E543" s="25"/>
      <c r="F543" s="25" t="s">
        <v>499</v>
      </c>
      <c r="G543" s="25"/>
      <c r="H543" s="35"/>
      <c r="I543" s="35"/>
      <c r="J543" s="35"/>
      <c r="K543" s="35"/>
      <c r="L543" s="35"/>
      <c r="M543" s="259">
        <f>I541/(2*G530)</f>
        <v>1.02555910543131</v>
      </c>
      <c r="N543" s="25"/>
    </row>
    <row r="544" spans="1:14" ht="20.100000000000001" customHeight="1" x14ac:dyDescent="0.25">
      <c r="E544" s="25"/>
      <c r="F544" s="25"/>
      <c r="G544" s="25"/>
      <c r="H544" s="35"/>
      <c r="I544" s="35"/>
      <c r="J544" s="35"/>
      <c r="K544" s="35"/>
      <c r="L544" s="35"/>
      <c r="M544" s="35"/>
      <c r="N544" s="25"/>
    </row>
    <row r="545" spans="1:14" ht="20.100000000000001" customHeight="1" x14ac:dyDescent="0.25">
      <c r="A545" s="25" t="s">
        <v>537</v>
      </c>
      <c r="B545" s="35"/>
      <c r="C545" s="35"/>
      <c r="D545" s="193">
        <v>3</v>
      </c>
      <c r="E545" s="35" t="s">
        <v>502</v>
      </c>
      <c r="F545" s="25"/>
      <c r="H545" s="25" t="s">
        <v>227</v>
      </c>
      <c r="I545" s="35"/>
      <c r="J545" s="35"/>
      <c r="K545" s="35"/>
      <c r="M545" s="41">
        <f>D509*100/D545</f>
        <v>71.317755308353767</v>
      </c>
      <c r="N545" s="35" t="s">
        <v>143</v>
      </c>
    </row>
    <row r="546" spans="1:14" ht="20.100000000000001" customHeight="1" x14ac:dyDescent="0.25">
      <c r="E546" s="25"/>
      <c r="F546" s="25"/>
      <c r="G546" s="25"/>
    </row>
    <row r="547" spans="1:14" ht="20.100000000000001" customHeight="1" x14ac:dyDescent="0.25">
      <c r="A547" s="25" t="s">
        <v>503</v>
      </c>
      <c r="B547" s="25"/>
      <c r="C547" s="25"/>
      <c r="D547" s="25"/>
      <c r="E547" s="25"/>
      <c r="F547" s="25"/>
      <c r="G547" s="25"/>
      <c r="H547" s="35"/>
      <c r="I547" s="35"/>
      <c r="J547" s="35"/>
      <c r="K547" s="35"/>
      <c r="L547" s="35">
        <f>SQRT(D543^2+(0.82*(M543^2/(1+M543^2))*(M545/G530)^2))</f>
        <v>61.113442700472078</v>
      </c>
      <c r="M547" s="35"/>
      <c r="N547" s="25"/>
    </row>
    <row r="548" spans="1:14" ht="20.100000000000001" customHeight="1" x14ac:dyDescent="0.25">
      <c r="A548" s="25"/>
      <c r="B548" s="25"/>
      <c r="C548" s="25"/>
      <c r="D548" s="25"/>
      <c r="E548" s="25"/>
      <c r="F548" s="25"/>
      <c r="G548" s="25"/>
      <c r="H548" s="35"/>
      <c r="I548" s="35"/>
      <c r="J548" s="35"/>
      <c r="K548" s="35"/>
      <c r="L548" s="35"/>
      <c r="M548" s="35"/>
      <c r="N548" s="25"/>
    </row>
    <row r="549" spans="1:14" ht="20.100000000000001" customHeight="1" x14ac:dyDescent="0.25">
      <c r="A549" s="25" t="s">
        <v>504</v>
      </c>
      <c r="B549" s="25">
        <f>L547</f>
        <v>61.113442700472078</v>
      </c>
      <c r="C549" s="25"/>
      <c r="D549" s="25" t="s">
        <v>505</v>
      </c>
      <c r="E549" s="25"/>
      <c r="F549" s="25"/>
      <c r="G549" s="25"/>
      <c r="H549" s="192">
        <f>(B550/3.14)*SQRT(G506/G505)</f>
        <v>0.74621481645162624</v>
      </c>
      <c r="I549" s="21" t="str">
        <f>IF(H549&lt;1.5,"&lt; 1,5 Calculamos Fcr","Ver en norma Fcr")</f>
        <v>&lt; 1,5 Calculamos Fcr</v>
      </c>
      <c r="J549" s="35"/>
      <c r="K549" s="35"/>
      <c r="L549" s="35"/>
      <c r="M549" s="35"/>
      <c r="N549" s="25"/>
    </row>
    <row r="550" spans="1:14" ht="20.100000000000001" customHeight="1" x14ac:dyDescent="0.25">
      <c r="A550" s="25" t="s">
        <v>506</v>
      </c>
      <c r="B550" s="25">
        <f>D534</f>
        <v>68.355676014396593</v>
      </c>
      <c r="C550" s="25"/>
      <c r="D550" s="25"/>
      <c r="E550" s="25"/>
      <c r="F550" s="25"/>
      <c r="G550" s="25"/>
      <c r="H550" s="35"/>
      <c r="I550" s="35"/>
      <c r="J550" s="35"/>
      <c r="K550" s="35"/>
      <c r="L550" s="35"/>
      <c r="M550" s="35"/>
      <c r="N550" s="25"/>
    </row>
    <row r="551" spans="1:14" ht="20.100000000000001" customHeight="1" x14ac:dyDescent="0.25">
      <c r="A551" s="25"/>
      <c r="B551" s="25"/>
      <c r="C551" s="25"/>
      <c r="D551" s="25" t="s">
        <v>507</v>
      </c>
      <c r="E551" s="25"/>
      <c r="F551" s="25"/>
      <c r="G551" s="25"/>
      <c r="H551" s="35">
        <f>(0.658^(H549^2))*G506</f>
        <v>186.14415149633325</v>
      </c>
      <c r="I551" s="35" t="s">
        <v>168</v>
      </c>
      <c r="J551" s="35"/>
      <c r="K551" s="35"/>
      <c r="L551" s="35"/>
      <c r="M551" s="35"/>
      <c r="N551" s="25"/>
    </row>
    <row r="552" spans="1:14" ht="20.100000000000001" customHeight="1" x14ac:dyDescent="0.25">
      <c r="A552" s="25"/>
      <c r="B552" s="25"/>
      <c r="C552" s="25"/>
      <c r="D552" s="25"/>
      <c r="E552" s="25"/>
      <c r="F552" s="25"/>
      <c r="G552" s="25"/>
      <c r="H552" s="35"/>
      <c r="I552" s="35"/>
      <c r="J552" s="35"/>
      <c r="K552" s="35"/>
      <c r="L552" s="35"/>
      <c r="M552" s="35"/>
      <c r="N552" s="25"/>
    </row>
    <row r="553" spans="1:14" ht="20.100000000000001" customHeight="1" x14ac:dyDescent="0.25">
      <c r="A553" s="25" t="s">
        <v>508</v>
      </c>
      <c r="B553" s="25"/>
      <c r="C553" s="25"/>
      <c r="D553" s="25"/>
      <c r="E553" s="25"/>
      <c r="F553" s="25"/>
      <c r="G553" s="25"/>
      <c r="H553" s="35"/>
      <c r="I553" s="266">
        <f>B554*H551*G528*2/10</f>
        <v>405.04967365602113</v>
      </c>
      <c r="J553" s="266" t="s">
        <v>195</v>
      </c>
      <c r="K553" s="263" t="str">
        <f>IF(K508&lt;I553,"BC!!","MC!!")</f>
        <v>BC!!</v>
      </c>
      <c r="L553" s="35"/>
      <c r="M553" s="35"/>
      <c r="N553" s="25"/>
    </row>
    <row r="554" spans="1:14" ht="20.100000000000001" customHeight="1" x14ac:dyDescent="0.25">
      <c r="A554" s="25" t="s">
        <v>509</v>
      </c>
      <c r="B554" s="267">
        <v>0.85</v>
      </c>
      <c r="C554" s="25"/>
      <c r="D554" s="25"/>
      <c r="E554" s="25"/>
      <c r="F554" s="25"/>
      <c r="G554" s="25"/>
      <c r="H554" s="35"/>
      <c r="I554" s="35"/>
      <c r="J554" s="35"/>
      <c r="K554" s="35"/>
      <c r="L554" s="35"/>
      <c r="M554" s="35"/>
      <c r="N554" s="25"/>
    </row>
    <row r="555" spans="1:14" ht="20.100000000000001" customHeight="1" x14ac:dyDescent="0.25">
      <c r="A555" s="25"/>
      <c r="B555" s="25"/>
      <c r="C555" s="25"/>
      <c r="D555" s="25"/>
      <c r="E555" s="25"/>
      <c r="F555" s="25"/>
      <c r="G555" s="25"/>
      <c r="H555" s="35"/>
      <c r="I555" s="35"/>
      <c r="J555" s="35"/>
      <c r="K555" s="35"/>
      <c r="L555" s="35"/>
      <c r="M555" s="35"/>
      <c r="N555" s="25"/>
    </row>
    <row r="556" spans="1:14" ht="20.100000000000001" customHeight="1" x14ac:dyDescent="0.25">
      <c r="A556" s="28" t="s">
        <v>229</v>
      </c>
      <c r="B556" s="25"/>
      <c r="C556" s="25"/>
      <c r="D556" s="25"/>
      <c r="E556" s="25"/>
      <c r="F556" s="25"/>
      <c r="G556" s="25"/>
      <c r="H556" s="35"/>
      <c r="I556" s="35"/>
      <c r="J556" s="35"/>
      <c r="K556" s="35"/>
      <c r="L556" s="35"/>
      <c r="M556" s="35"/>
      <c r="N556" s="25"/>
    </row>
    <row r="557" spans="1:14" ht="20.100000000000001" customHeight="1" x14ac:dyDescent="0.25">
      <c r="A557" s="25" t="s">
        <v>510</v>
      </c>
      <c r="B557" s="130">
        <f>K507</f>
        <v>475.04970000000003</v>
      </c>
      <c r="C557" s="25" t="s">
        <v>195</v>
      </c>
      <c r="D557" s="25"/>
      <c r="E557" s="25" t="s">
        <v>511</v>
      </c>
      <c r="F557" s="257">
        <v>0.9</v>
      </c>
      <c r="G557" s="25"/>
      <c r="H557" s="35"/>
      <c r="I557" s="35"/>
      <c r="J557" s="35"/>
      <c r="K557" s="35"/>
      <c r="L557" s="35"/>
      <c r="M557" s="35"/>
      <c r="N557" s="25"/>
    </row>
    <row r="558" spans="1:14" ht="20.100000000000001" customHeight="1" x14ac:dyDescent="0.25">
      <c r="A558" s="25" t="s">
        <v>512</v>
      </c>
      <c r="B558" s="25"/>
      <c r="C558" s="25"/>
      <c r="D558" s="25"/>
      <c r="E558" s="190">
        <f>10*B557/(F557*G506)</f>
        <v>22.460978723404256</v>
      </c>
      <c r="F558" s="25" t="s">
        <v>433</v>
      </c>
      <c r="G558" s="28" t="str">
        <f>IF(E558&lt;G528*2,"&lt; a la sección adoptada   BC!!","&gt; a la sección adoptada    MC!!")</f>
        <v>&lt; a la sección adoptada   BC!!</v>
      </c>
      <c r="H558" s="35"/>
      <c r="I558" s="35"/>
      <c r="J558" s="35"/>
      <c r="K558" s="25"/>
      <c r="L558" s="35"/>
      <c r="M558" s="35"/>
      <c r="N558" s="25"/>
    </row>
    <row r="559" spans="1:14" ht="20.100000000000001" customHeight="1" x14ac:dyDescent="0.25">
      <c r="A559" s="25"/>
      <c r="B559" s="25"/>
      <c r="C559" s="25"/>
      <c r="D559" s="25"/>
      <c r="E559" s="25"/>
      <c r="F559" s="25"/>
      <c r="G559" s="28"/>
      <c r="H559" s="35"/>
      <c r="I559" s="35"/>
      <c r="J559" s="35"/>
      <c r="K559" s="25"/>
      <c r="L559" s="35"/>
      <c r="M559" s="35"/>
      <c r="N559" s="25"/>
    </row>
    <row r="560" spans="1:14" ht="20.100000000000001" customHeight="1" x14ac:dyDescent="0.25">
      <c r="A560" s="28" t="s">
        <v>237</v>
      </c>
      <c r="B560" s="25"/>
      <c r="C560" s="25"/>
      <c r="D560" s="25"/>
      <c r="E560" s="25"/>
      <c r="F560" s="25"/>
      <c r="G560" s="25"/>
      <c r="H560" s="35"/>
      <c r="I560" s="35"/>
      <c r="J560" s="35"/>
      <c r="K560" s="35"/>
      <c r="L560" s="35"/>
      <c r="M560" s="35"/>
      <c r="N560" s="25"/>
    </row>
    <row r="561" spans="1:14" ht="20.100000000000001" customHeight="1" x14ac:dyDescent="0.25">
      <c r="A561" s="25" t="s">
        <v>235</v>
      </c>
      <c r="B561" s="25"/>
      <c r="C561" s="25"/>
      <c r="D561" s="25"/>
      <c r="E561" s="25"/>
      <c r="F561" s="197">
        <f>M529/2</f>
        <v>0.32</v>
      </c>
      <c r="G561" s="25" t="s">
        <v>143</v>
      </c>
      <c r="H561" s="35"/>
      <c r="I561" s="35" t="s">
        <v>513</v>
      </c>
      <c r="J561" s="35"/>
      <c r="K561" s="35"/>
      <c r="L561" s="192">
        <f>0.02*I553</f>
        <v>8.1009934731204218</v>
      </c>
      <c r="M561" s="35" t="s">
        <v>195</v>
      </c>
      <c r="N561" s="25"/>
    </row>
    <row r="562" spans="1:14" ht="20.100000000000001" customHeight="1" x14ac:dyDescent="0.25">
      <c r="A562" s="25" t="s">
        <v>514</v>
      </c>
      <c r="B562" s="25"/>
      <c r="C562" s="25"/>
      <c r="D562" s="25"/>
      <c r="E562" s="25"/>
      <c r="F562" s="25">
        <f>(10*L561*G528*G531*M545)/(0.75*N562*F539*F561*J562)</f>
        <v>11.792153380755208</v>
      </c>
      <c r="G562" s="25" t="s">
        <v>143</v>
      </c>
      <c r="H562" s="35"/>
      <c r="I562" s="35" t="s">
        <v>236</v>
      </c>
      <c r="J562" s="44">
        <v>425</v>
      </c>
      <c r="K562" s="35" t="s">
        <v>168</v>
      </c>
      <c r="L562" s="35"/>
      <c r="M562" s="35" t="s">
        <v>515</v>
      </c>
      <c r="N562" s="200">
        <v>0.5</v>
      </c>
    </row>
    <row r="563" spans="1:14" ht="20.100000000000001" customHeight="1" x14ac:dyDescent="0.25">
      <c r="A563" s="25" t="s">
        <v>516</v>
      </c>
      <c r="B563" s="25"/>
      <c r="C563" s="25"/>
      <c r="D563" s="25"/>
      <c r="E563" s="25"/>
      <c r="F563" s="25"/>
      <c r="G563" s="187" t="s">
        <v>517</v>
      </c>
      <c r="H563" s="217">
        <f>((M528-G531)/M528)*F562</f>
        <v>8.6468053825419595</v>
      </c>
      <c r="I563" s="35" t="s">
        <v>143</v>
      </c>
      <c r="J563" s="35"/>
      <c r="K563" s="35" t="s">
        <v>518</v>
      </c>
      <c r="L563" s="217">
        <f>(G531/M528)*F562</f>
        <v>3.1453479982132491</v>
      </c>
      <c r="M563" s="35" t="s">
        <v>143</v>
      </c>
      <c r="N563" s="25"/>
    </row>
    <row r="564" spans="1:14" ht="20.100000000000001" customHeight="1" x14ac:dyDescent="0.25">
      <c r="A564" s="25"/>
      <c r="B564" s="25"/>
      <c r="C564" s="25"/>
      <c r="D564" s="25"/>
      <c r="E564" s="25"/>
      <c r="F564" s="25"/>
      <c r="G564" s="187"/>
      <c r="H564" s="35"/>
      <c r="I564" s="35"/>
      <c r="J564" s="35"/>
      <c r="K564" s="35"/>
      <c r="L564" s="35"/>
      <c r="M564" s="35"/>
      <c r="N564" s="25"/>
    </row>
    <row r="565" spans="1:14" ht="20.100000000000001" customHeight="1" x14ac:dyDescent="0.25">
      <c r="A565" s="25" t="s">
        <v>519</v>
      </c>
      <c r="B565" s="25"/>
      <c r="C565" s="25"/>
      <c r="D565" s="25"/>
      <c r="E565" s="25"/>
      <c r="F565" s="25"/>
      <c r="G565" s="25"/>
      <c r="H565" s="218">
        <f>MAX(B557,I553)</f>
        <v>475.04970000000003</v>
      </c>
      <c r="I565" s="35" t="s">
        <v>195</v>
      </c>
      <c r="K565" s="35"/>
      <c r="L565" s="35"/>
      <c r="M565" s="35"/>
      <c r="N565" s="25"/>
    </row>
    <row r="566" spans="1:14" ht="20.100000000000001" customHeight="1" x14ac:dyDescent="0.25">
      <c r="A566" s="25" t="s">
        <v>520</v>
      </c>
      <c r="B566" s="25"/>
      <c r="C566" s="25"/>
      <c r="D566" s="25"/>
      <c r="E566" s="191">
        <f>5*MAX(H565,K565)/(0.75*N562*F561*J562)</f>
        <v>46.573500000000003</v>
      </c>
      <c r="F566" s="25" t="s">
        <v>143</v>
      </c>
      <c r="G566" s="187" t="s">
        <v>517</v>
      </c>
      <c r="H566" s="55">
        <f>((M528-G531)/M528)*E566</f>
        <v>34.150843996062996</v>
      </c>
      <c r="I566" s="35" t="s">
        <v>143</v>
      </c>
      <c r="J566" s="35"/>
      <c r="K566" s="35" t="s">
        <v>518</v>
      </c>
      <c r="L566" s="55">
        <f>(G531/M528)*E566</f>
        <v>12.422656003937007</v>
      </c>
      <c r="M566" s="35" t="s">
        <v>143</v>
      </c>
      <c r="N566" s="25"/>
    </row>
    <row r="567" spans="1:14" ht="20.100000000000001" customHeight="1" x14ac:dyDescent="0.25">
      <c r="A567" s="25"/>
      <c r="B567" s="25"/>
      <c r="C567" s="25"/>
      <c r="D567" s="25"/>
      <c r="E567" s="25"/>
      <c r="F567" s="25"/>
      <c r="G567" s="25"/>
      <c r="H567" s="35"/>
      <c r="I567" s="35"/>
      <c r="J567" s="35"/>
      <c r="K567" s="35"/>
      <c r="L567" s="35"/>
      <c r="M567" s="35"/>
      <c r="N567" s="25"/>
    </row>
    <row r="568" spans="1:14" ht="20.100000000000001" customHeight="1" x14ac:dyDescent="0.25">
      <c r="A568" s="25"/>
      <c r="B568" s="25"/>
      <c r="C568" s="25"/>
      <c r="D568" s="25"/>
      <c r="E568" s="25"/>
      <c r="F568" s="25"/>
      <c r="G568" s="25"/>
      <c r="H568" s="35"/>
      <c r="I568" s="35"/>
      <c r="J568" s="35"/>
      <c r="K568" s="35"/>
      <c r="L568" s="35"/>
      <c r="M568" s="35"/>
      <c r="N568" s="25"/>
    </row>
    <row r="569" spans="1:14" ht="20.100000000000001" customHeight="1" x14ac:dyDescent="0.25">
      <c r="A569" s="25"/>
      <c r="B569" s="25"/>
      <c r="C569" s="25"/>
      <c r="D569" s="25"/>
      <c r="E569" s="25"/>
      <c r="F569" s="25"/>
      <c r="G569" s="25"/>
      <c r="H569" s="35"/>
      <c r="I569" s="35"/>
      <c r="J569" s="35"/>
      <c r="K569" s="35"/>
      <c r="L569" s="35"/>
      <c r="M569" s="35"/>
      <c r="N569" s="25"/>
    </row>
    <row r="570" spans="1:14" ht="20.100000000000001" customHeight="1" x14ac:dyDescent="0.25">
      <c r="A570" s="25"/>
      <c r="B570" s="25"/>
      <c r="C570" s="25"/>
      <c r="D570" s="25"/>
      <c r="E570" s="25"/>
      <c r="F570" s="25"/>
      <c r="G570" s="25"/>
      <c r="H570" s="35"/>
      <c r="I570" s="35"/>
      <c r="J570" s="35"/>
      <c r="K570" s="35"/>
      <c r="L570" s="35"/>
      <c r="M570" s="35"/>
      <c r="N570" s="25"/>
    </row>
    <row r="571" spans="1:14" ht="20.100000000000001" customHeight="1" x14ac:dyDescent="0.25">
      <c r="A571" s="25"/>
      <c r="B571" s="25"/>
      <c r="C571" s="25"/>
      <c r="D571" s="25"/>
      <c r="E571" s="25"/>
      <c r="F571" s="25"/>
      <c r="G571" s="25"/>
      <c r="H571" s="35"/>
      <c r="I571" s="35"/>
      <c r="J571" s="35"/>
      <c r="K571" s="35"/>
      <c r="L571" s="35"/>
      <c r="M571" s="35"/>
      <c r="N571" s="25"/>
    </row>
    <row r="572" spans="1:14" ht="20.100000000000001" customHeight="1" x14ac:dyDescent="0.25">
      <c r="A572" s="25"/>
      <c r="B572" s="25"/>
      <c r="C572" s="25"/>
      <c r="D572" s="25"/>
      <c r="E572" s="25"/>
      <c r="F572" s="25"/>
      <c r="G572" s="25"/>
      <c r="H572" s="35"/>
      <c r="I572" s="35"/>
      <c r="J572" s="35"/>
      <c r="K572" s="35"/>
      <c r="L572" s="35"/>
      <c r="M572" s="35"/>
      <c r="N572" s="25"/>
    </row>
    <row r="573" spans="1:14" ht="20.100000000000001" customHeight="1" x14ac:dyDescent="0.25">
      <c r="A573" s="25"/>
      <c r="B573" s="25"/>
      <c r="C573" s="25"/>
      <c r="D573" s="25"/>
      <c r="E573" s="25"/>
      <c r="F573" s="25"/>
      <c r="G573" s="25"/>
      <c r="H573" s="35"/>
      <c r="I573" s="35"/>
      <c r="J573" s="35"/>
      <c r="K573" s="35"/>
      <c r="L573" s="35"/>
      <c r="M573" s="35"/>
      <c r="N573" s="25"/>
    </row>
    <row r="574" spans="1:14" ht="20.100000000000001" customHeight="1" x14ac:dyDescent="0.25">
      <c r="A574" s="25"/>
      <c r="B574" s="25"/>
      <c r="C574" s="25"/>
      <c r="D574" s="25"/>
      <c r="E574" s="25"/>
      <c r="F574" s="25"/>
      <c r="G574" s="25"/>
      <c r="H574" s="35"/>
      <c r="I574" s="35"/>
      <c r="J574" s="35"/>
      <c r="K574" s="35"/>
      <c r="L574" s="35"/>
      <c r="M574" s="35"/>
      <c r="N574" s="25"/>
    </row>
    <row r="575" spans="1:14" ht="20.100000000000001" customHeight="1" x14ac:dyDescent="0.25">
      <c r="A575" s="25"/>
      <c r="B575" s="25"/>
      <c r="C575" s="25"/>
      <c r="D575" s="25"/>
      <c r="E575" s="25"/>
      <c r="F575" s="25"/>
      <c r="G575" s="25"/>
      <c r="H575" s="35"/>
      <c r="I575" s="35"/>
      <c r="J575" s="35"/>
      <c r="K575" s="35"/>
      <c r="L575" s="35"/>
      <c r="M575" s="35"/>
      <c r="N575" s="25"/>
    </row>
    <row r="576" spans="1:14" ht="20.100000000000001" customHeight="1" x14ac:dyDescent="0.25">
      <c r="A576" s="25"/>
      <c r="B576" s="25"/>
      <c r="C576" s="25"/>
      <c r="D576" s="25"/>
      <c r="E576" s="25"/>
      <c r="F576" s="25"/>
      <c r="G576" s="25"/>
      <c r="H576" s="35"/>
      <c r="I576" s="35"/>
      <c r="J576" s="35"/>
      <c r="K576" s="35"/>
      <c r="L576" s="35"/>
      <c r="M576" s="35"/>
      <c r="N576" s="25"/>
    </row>
    <row r="577" spans="1:14" ht="20.100000000000001" customHeight="1" x14ac:dyDescent="0.25">
      <c r="A577" s="28" t="s">
        <v>232</v>
      </c>
      <c r="B577" s="25"/>
      <c r="C577" s="25"/>
      <c r="D577" s="25"/>
      <c r="E577" s="25"/>
      <c r="F577" s="25" t="s">
        <v>144</v>
      </c>
      <c r="G577" s="515">
        <v>200000</v>
      </c>
      <c r="H577" s="515"/>
      <c r="I577" s="35" t="s">
        <v>168</v>
      </c>
      <c r="J577" s="35"/>
      <c r="K577" s="35"/>
      <c r="L577" s="35"/>
      <c r="M577" s="35"/>
      <c r="N577" s="25"/>
    </row>
    <row r="578" spans="1:14" ht="20.100000000000001" customHeight="1" x14ac:dyDescent="0.25">
      <c r="A578" s="25"/>
      <c r="B578" s="25" t="s">
        <v>207</v>
      </c>
      <c r="C578" s="25"/>
      <c r="D578" s="25"/>
      <c r="E578" s="25"/>
      <c r="F578" s="25" t="s">
        <v>169</v>
      </c>
      <c r="G578" s="515">
        <v>235</v>
      </c>
      <c r="H578" s="515"/>
      <c r="I578" s="35" t="s">
        <v>168</v>
      </c>
      <c r="J578" s="35"/>
      <c r="K578" s="35"/>
      <c r="L578" s="35"/>
      <c r="M578" s="35"/>
      <c r="N578" s="25"/>
    </row>
    <row r="579" spans="1:14" ht="20.100000000000001" customHeight="1" x14ac:dyDescent="0.25">
      <c r="A579" s="25"/>
      <c r="B579" s="25"/>
      <c r="C579" s="25" t="s">
        <v>209</v>
      </c>
      <c r="D579" s="25"/>
      <c r="E579" s="25"/>
      <c r="F579" s="25" t="s">
        <v>231</v>
      </c>
      <c r="G579" s="525">
        <f>D438</f>
        <v>10585.539999999999</v>
      </c>
      <c r="H579" s="525"/>
      <c r="I579" s="35" t="s">
        <v>122</v>
      </c>
      <c r="J579" s="35" t="s">
        <v>189</v>
      </c>
      <c r="K579" s="262">
        <f>G579/100</f>
        <v>105.85539999999999</v>
      </c>
      <c r="L579" s="35" t="s">
        <v>195</v>
      </c>
      <c r="M579" s="35"/>
      <c r="N579" s="25"/>
    </row>
    <row r="580" spans="1:14" ht="20.100000000000001" customHeight="1" x14ac:dyDescent="0.25">
      <c r="A580" s="25"/>
      <c r="B580" s="25"/>
      <c r="C580" s="25" t="s">
        <v>208</v>
      </c>
      <c r="D580" s="25"/>
      <c r="E580" s="25"/>
      <c r="F580" s="25" t="s">
        <v>231</v>
      </c>
      <c r="G580" s="525">
        <f>E438</f>
        <v>20232.280000000002</v>
      </c>
      <c r="H580" s="525"/>
      <c r="I580" s="35" t="s">
        <v>122</v>
      </c>
      <c r="J580" s="35" t="s">
        <v>189</v>
      </c>
      <c r="K580" s="262">
        <f>G580/100</f>
        <v>202.32280000000003</v>
      </c>
      <c r="L580" s="35" t="s">
        <v>195</v>
      </c>
      <c r="M580" s="35"/>
      <c r="N580" s="25"/>
    </row>
    <row r="581" spans="1:14" ht="20.100000000000001" customHeight="1" x14ac:dyDescent="0.25">
      <c r="A581" s="25" t="s">
        <v>210</v>
      </c>
      <c r="B581" s="25"/>
      <c r="C581" s="25" t="s">
        <v>538</v>
      </c>
      <c r="D581" s="280">
        <f>F24</f>
        <v>0.8</v>
      </c>
      <c r="E581" s="25" t="s">
        <v>5</v>
      </c>
      <c r="F581" s="25"/>
      <c r="G581" s="25"/>
      <c r="H581" s="35"/>
      <c r="I581" s="35"/>
      <c r="J581" s="35"/>
      <c r="K581" s="35"/>
      <c r="L581" s="35"/>
      <c r="M581" s="35"/>
      <c r="N581" s="25"/>
    </row>
    <row r="582" spans="1:14" ht="20.100000000000001" customHeight="1" x14ac:dyDescent="0.25">
      <c r="A582" s="25"/>
      <c r="B582" s="25"/>
      <c r="C582" s="25"/>
      <c r="D582" s="25"/>
      <c r="E582" s="25"/>
      <c r="F582" s="25"/>
      <c r="G582" s="25"/>
      <c r="H582" s="35"/>
      <c r="I582" s="35"/>
      <c r="J582" s="35"/>
      <c r="K582" s="35"/>
      <c r="L582" s="35"/>
      <c r="M582" s="35"/>
      <c r="N582" s="25"/>
    </row>
    <row r="583" spans="1:14" ht="20.100000000000001" customHeight="1" x14ac:dyDescent="0.25">
      <c r="A583" s="25" t="s">
        <v>213</v>
      </c>
      <c r="B583" s="25"/>
      <c r="C583" s="25"/>
      <c r="D583" s="25"/>
      <c r="G583" s="25" t="s">
        <v>211</v>
      </c>
      <c r="H583" s="26">
        <v>1</v>
      </c>
      <c r="I583" s="35"/>
      <c r="J583" s="35"/>
      <c r="K583" s="25" t="s">
        <v>214</v>
      </c>
      <c r="L583" s="25">
        <f>H583*D581*100</f>
        <v>80</v>
      </c>
      <c r="M583" s="25" t="s">
        <v>143</v>
      </c>
      <c r="N583" s="25"/>
    </row>
    <row r="584" spans="1:14" ht="20.100000000000001" customHeight="1" x14ac:dyDescent="0.25">
      <c r="C584" s="25"/>
      <c r="D584" s="25"/>
      <c r="G584" s="25" t="s">
        <v>212</v>
      </c>
      <c r="H584" s="26">
        <v>1</v>
      </c>
      <c r="I584" s="35"/>
      <c r="J584" s="35"/>
      <c r="K584" s="25" t="s">
        <v>215</v>
      </c>
      <c r="L584" s="25">
        <f>D581*H584*100</f>
        <v>80</v>
      </c>
      <c r="M584" s="25" t="s">
        <v>143</v>
      </c>
      <c r="N584" s="25"/>
    </row>
    <row r="585" spans="1:14" ht="20.100000000000001" customHeight="1" x14ac:dyDescent="0.25">
      <c r="A585" s="25" t="s">
        <v>476</v>
      </c>
      <c r="B585" s="25"/>
      <c r="C585" s="25"/>
      <c r="D585" s="25"/>
      <c r="E585" s="25"/>
      <c r="F585" s="25"/>
      <c r="G585" s="25"/>
      <c r="H585" s="35"/>
      <c r="I585" s="44">
        <v>100</v>
      </c>
      <c r="J585" s="35" t="s">
        <v>217</v>
      </c>
      <c r="K585" s="35"/>
      <c r="L585" s="35"/>
      <c r="M585" s="35"/>
      <c r="N585" s="25"/>
    </row>
    <row r="586" spans="1:14" ht="20.100000000000001" customHeight="1" x14ac:dyDescent="0.25">
      <c r="A586" s="25"/>
      <c r="B586" s="25"/>
      <c r="C586" s="25"/>
      <c r="D586" s="25"/>
      <c r="E586" s="25"/>
      <c r="F586" s="25"/>
      <c r="G586" s="25"/>
      <c r="H586" s="35"/>
      <c r="I586" s="35"/>
      <c r="J586" s="35" t="s">
        <v>216</v>
      </c>
      <c r="K586" s="35"/>
      <c r="L586" s="35"/>
      <c r="M586" s="35"/>
      <c r="N586" s="25"/>
    </row>
    <row r="587" spans="1:14" ht="20.100000000000001" customHeight="1" x14ac:dyDescent="0.25">
      <c r="A587" s="25" t="s">
        <v>218</v>
      </c>
      <c r="B587" s="25"/>
      <c r="C587" s="25"/>
      <c r="D587" s="25"/>
      <c r="E587" s="25" t="s">
        <v>477</v>
      </c>
      <c r="F587" s="25"/>
      <c r="G587" s="25">
        <f>L583/I585</f>
        <v>0.8</v>
      </c>
      <c r="H587" s="25" t="s">
        <v>143</v>
      </c>
      <c r="I587" s="35"/>
      <c r="J587" s="35"/>
      <c r="K587" s="35"/>
      <c r="L587" s="35"/>
      <c r="M587" s="35"/>
      <c r="N587" s="25"/>
    </row>
    <row r="588" spans="1:14" ht="20.100000000000001" customHeight="1" x14ac:dyDescent="0.25">
      <c r="A588" s="25"/>
      <c r="B588" s="25"/>
      <c r="C588" s="25"/>
      <c r="H588" s="35"/>
      <c r="I588" s="35"/>
      <c r="J588" s="35"/>
      <c r="K588" s="35"/>
      <c r="L588" s="35"/>
      <c r="M588" s="35"/>
      <c r="N588" s="25"/>
    </row>
    <row r="589" spans="1:14" ht="20.100000000000001" customHeight="1" x14ac:dyDescent="0.25">
      <c r="A589" s="25" t="s">
        <v>219</v>
      </c>
      <c r="B589" s="25"/>
      <c r="C589" s="25"/>
      <c r="D589" s="25"/>
      <c r="E589" s="25" t="s">
        <v>478</v>
      </c>
      <c r="F589" s="25"/>
      <c r="G589" s="25"/>
      <c r="H589" s="25"/>
      <c r="I589" s="311">
        <f>L583*SQRT(G578/G577)/(3.14*G587)</f>
        <v>1.0916647452867903</v>
      </c>
      <c r="J589" s="35" t="s">
        <v>479</v>
      </c>
      <c r="K589" s="35"/>
      <c r="L589" s="35"/>
      <c r="M589" s="35"/>
      <c r="N589" s="35"/>
    </row>
    <row r="590" spans="1:14" ht="20.100000000000001" customHeight="1" x14ac:dyDescent="0.25">
      <c r="A590" s="35" t="s">
        <v>481</v>
      </c>
      <c r="B590" s="44">
        <v>0.85</v>
      </c>
      <c r="G590" s="25"/>
      <c r="M590" s="35"/>
      <c r="N590" s="25"/>
    </row>
    <row r="591" spans="1:14" ht="20.100000000000001" customHeight="1" x14ac:dyDescent="0.25">
      <c r="A591" s="25" t="s">
        <v>628</v>
      </c>
      <c r="B591" s="25"/>
      <c r="C591" s="25"/>
      <c r="D591" s="35">
        <f>(0.658^(I589^2))*G578</f>
        <v>142.70587677287429</v>
      </c>
      <c r="E591" s="35" t="s">
        <v>168</v>
      </c>
      <c r="F591" s="25" t="s">
        <v>482</v>
      </c>
      <c r="G591" s="25"/>
      <c r="H591" s="25" t="s">
        <v>483</v>
      </c>
      <c r="I591" s="35"/>
      <c r="J591" s="35"/>
      <c r="K591" s="35"/>
      <c r="L591" s="25" t="s">
        <v>484</v>
      </c>
      <c r="M591" s="35"/>
      <c r="N591" s="25"/>
    </row>
    <row r="592" spans="1:14" ht="20.100000000000001" customHeight="1" x14ac:dyDescent="0.25">
      <c r="A592" s="25"/>
      <c r="B592" s="25"/>
      <c r="C592" s="25"/>
      <c r="D592" s="25"/>
      <c r="K592" s="35"/>
      <c r="N592" s="25"/>
    </row>
    <row r="593" spans="1:14" ht="20.100000000000001" customHeight="1" x14ac:dyDescent="0.25">
      <c r="A593" s="25" t="s">
        <v>221</v>
      </c>
      <c r="B593" s="514">
        <f>G580</f>
        <v>20232.280000000002</v>
      </c>
      <c r="C593" s="507"/>
      <c r="D593" s="25" t="s">
        <v>539</v>
      </c>
      <c r="E593" s="130">
        <f>B593/100</f>
        <v>202.32280000000003</v>
      </c>
      <c r="F593" s="25" t="s">
        <v>195</v>
      </c>
      <c r="H593" s="35"/>
      <c r="I593" s="35" t="s">
        <v>485</v>
      </c>
      <c r="J593" s="35"/>
      <c r="K593" s="35"/>
      <c r="L593" s="55">
        <f>10*E593/(B590*D591)</f>
        <v>16.679538986908508</v>
      </c>
      <c r="M593" s="35" t="s">
        <v>433</v>
      </c>
      <c r="N593" s="25"/>
    </row>
    <row r="594" spans="1:14" ht="20.100000000000001" customHeight="1" x14ac:dyDescent="0.25">
      <c r="E594" s="25"/>
      <c r="F594" s="25"/>
      <c r="G594" s="25"/>
      <c r="H594" s="35"/>
      <c r="I594" s="35"/>
      <c r="L594" s="35"/>
      <c r="M594" s="35"/>
      <c r="N594" s="25"/>
    </row>
    <row r="595" spans="1:14" ht="20.100000000000001" customHeight="1" x14ac:dyDescent="0.25">
      <c r="A595" s="25"/>
      <c r="B595" s="25"/>
      <c r="C595" s="25"/>
      <c r="D595" s="25"/>
      <c r="E595" s="25"/>
      <c r="F595" s="28" t="s">
        <v>222</v>
      </c>
      <c r="G595" s="25"/>
      <c r="H595" s="35"/>
      <c r="I595" s="35"/>
      <c r="J595" s="35"/>
      <c r="K595" s="35"/>
      <c r="L595" s="497" t="s">
        <v>631</v>
      </c>
      <c r="M595" s="497"/>
    </row>
    <row r="596" spans="1:14" ht="20.100000000000001" customHeight="1" x14ac:dyDescent="0.25">
      <c r="A596" s="25"/>
      <c r="B596" s="25"/>
      <c r="C596" s="25"/>
      <c r="D596" s="25"/>
      <c r="E596" s="25"/>
      <c r="F596" s="25" t="s">
        <v>486</v>
      </c>
      <c r="G596" s="267">
        <v>6</v>
      </c>
      <c r="H596" s="35" t="s">
        <v>433</v>
      </c>
      <c r="I596" s="21" t="str">
        <f>IF(G596*2&gt;L593,"BC","MC")</f>
        <v>MC</v>
      </c>
      <c r="K596" s="35" t="s">
        <v>167</v>
      </c>
      <c r="L596" s="44">
        <v>6.35</v>
      </c>
      <c r="M596" s="35" t="s">
        <v>143</v>
      </c>
      <c r="N596" s="25"/>
    </row>
    <row r="597" spans="1:14" ht="20.100000000000001" customHeight="1" x14ac:dyDescent="0.25">
      <c r="A597" s="25"/>
      <c r="B597" s="25"/>
      <c r="C597" s="25"/>
      <c r="D597" s="25"/>
      <c r="E597" s="25"/>
      <c r="F597" s="25" t="s">
        <v>487</v>
      </c>
      <c r="G597" s="267">
        <v>22.7</v>
      </c>
      <c r="H597" s="35" t="s">
        <v>426</v>
      </c>
      <c r="I597" s="35"/>
      <c r="K597" s="35" t="s">
        <v>224</v>
      </c>
      <c r="L597" s="44">
        <v>0.48</v>
      </c>
      <c r="M597" s="35" t="s">
        <v>143</v>
      </c>
      <c r="N597" s="25"/>
    </row>
    <row r="598" spans="1:14" ht="20.100000000000001" customHeight="1" x14ac:dyDescent="0.25">
      <c r="A598" s="25"/>
      <c r="B598" s="25"/>
      <c r="C598" s="25"/>
      <c r="D598" s="25"/>
      <c r="E598" s="25"/>
      <c r="F598" s="25" t="s">
        <v>488</v>
      </c>
      <c r="G598" s="267">
        <v>1.95</v>
      </c>
      <c r="H598" s="35" t="s">
        <v>143</v>
      </c>
      <c r="I598" s="21" t="str">
        <f>IF(G598&gt;G587,"BC","MC")</f>
        <v>BC</v>
      </c>
      <c r="K598" s="35" t="s">
        <v>225</v>
      </c>
      <c r="L598" s="35"/>
      <c r="M598" s="60" t="s">
        <v>223</v>
      </c>
      <c r="N598" s="193">
        <v>1</v>
      </c>
    </row>
    <row r="599" spans="1:14" ht="20.100000000000001" customHeight="1" x14ac:dyDescent="0.25">
      <c r="A599" s="25"/>
      <c r="B599" s="25"/>
      <c r="C599" s="25"/>
      <c r="D599" s="25"/>
      <c r="E599" s="504" t="s">
        <v>489</v>
      </c>
      <c r="F599" s="504"/>
      <c r="G599" s="267">
        <v>1.72</v>
      </c>
      <c r="H599" s="35" t="s">
        <v>143</v>
      </c>
      <c r="I599" s="35"/>
      <c r="J599" s="35"/>
      <c r="K599" s="35"/>
      <c r="L599" s="35"/>
      <c r="M599" s="35"/>
      <c r="N599" s="25"/>
    </row>
    <row r="600" spans="1:14" ht="20.100000000000001" customHeight="1" x14ac:dyDescent="0.25">
      <c r="A600" s="25" t="s">
        <v>521</v>
      </c>
      <c r="B600" s="25"/>
      <c r="C600" s="25"/>
      <c r="D600" s="25"/>
      <c r="E600" s="203">
        <f>L596/L597</f>
        <v>13.229166666666666</v>
      </c>
      <c r="G600" s="25"/>
      <c r="L600" s="35"/>
      <c r="M600" s="35"/>
      <c r="N600" s="25"/>
    </row>
    <row r="601" spans="1:14" ht="20.100000000000001" customHeight="1" x14ac:dyDescent="0.25">
      <c r="A601" s="25"/>
      <c r="B601" s="25" t="s">
        <v>491</v>
      </c>
      <c r="C601" s="35"/>
      <c r="D601" s="35"/>
      <c r="E601" s="205">
        <f>200/SQRT(G578)</f>
        <v>13.046561461068844</v>
      </c>
      <c r="F601" s="25" t="s">
        <v>492</v>
      </c>
      <c r="G601" s="25"/>
      <c r="H601" s="35"/>
      <c r="I601" s="35"/>
      <c r="J601" s="35"/>
      <c r="K601" s="35"/>
      <c r="L601" s="35"/>
      <c r="M601" s="35"/>
      <c r="N601" s="25"/>
    </row>
    <row r="602" spans="1:14" ht="20.100000000000001" customHeight="1" x14ac:dyDescent="0.25">
      <c r="A602" s="504" t="s">
        <v>626</v>
      </c>
      <c r="B602" s="504"/>
      <c r="C602" s="504"/>
      <c r="D602" s="71">
        <f>0.45*SQRT(200000/235)</f>
        <v>13.12784923481051</v>
      </c>
      <c r="E602" s="205"/>
      <c r="F602" s="310" t="s">
        <v>629</v>
      </c>
      <c r="G602" s="71">
        <f>1.34-(0.76*(E600)*SQRT(235/200000))</f>
        <v>0.99536053019233917</v>
      </c>
      <c r="H602" s="35" t="s">
        <v>630</v>
      </c>
      <c r="I602" s="35"/>
      <c r="J602" s="35"/>
      <c r="K602" s="35"/>
      <c r="L602" s="35"/>
      <c r="M602" s="35"/>
      <c r="N602" s="25"/>
    </row>
    <row r="603" spans="1:14" ht="20.100000000000001" customHeight="1" x14ac:dyDescent="0.25">
      <c r="A603" s="504" t="s">
        <v>627</v>
      </c>
      <c r="B603" s="504"/>
      <c r="C603" s="504"/>
      <c r="D603" s="192">
        <f>0.91*SQRT(200000/235)</f>
        <v>26.54742845261681</v>
      </c>
      <c r="E603" s="205"/>
      <c r="F603" s="310" t="s">
        <v>629</v>
      </c>
      <c r="G603" s="71">
        <f>0.53*200000/(235*(E600)^2)</f>
        <v>2.577347792993459</v>
      </c>
      <c r="H603" s="35" t="s">
        <v>630</v>
      </c>
      <c r="I603" s="35"/>
      <c r="J603" s="35"/>
      <c r="K603" s="35"/>
      <c r="L603" s="35"/>
      <c r="M603" s="35"/>
      <c r="N603" s="25"/>
    </row>
    <row r="604" spans="1:14" ht="20.100000000000001" customHeight="1" x14ac:dyDescent="0.25">
      <c r="K604" s="273" t="s">
        <v>540</v>
      </c>
      <c r="L604" s="35"/>
      <c r="M604" s="272">
        <f>L583/G598</f>
        <v>41.025641025641029</v>
      </c>
    </row>
    <row r="605" spans="1:14" ht="20.100000000000001" customHeight="1" x14ac:dyDescent="0.25">
      <c r="A605" s="25" t="s">
        <v>226</v>
      </c>
      <c r="B605" s="25"/>
      <c r="C605" s="25"/>
      <c r="D605" s="25"/>
      <c r="E605" s="25"/>
      <c r="F605" s="25"/>
      <c r="G605" s="25"/>
      <c r="H605" s="35"/>
      <c r="I605" s="35"/>
      <c r="N605" s="25"/>
    </row>
    <row r="606" spans="1:14" ht="20.100000000000001" customHeight="1" x14ac:dyDescent="0.25">
      <c r="A606" s="35" t="s">
        <v>494</v>
      </c>
      <c r="B606" s="35"/>
      <c r="C606" s="271">
        <v>1</v>
      </c>
      <c r="D606" s="35" t="s">
        <v>143</v>
      </c>
      <c r="E606" s="25"/>
      <c r="M606" s="35"/>
      <c r="N606" s="25"/>
    </row>
    <row r="607" spans="1:14" ht="20.100000000000001" customHeight="1" x14ac:dyDescent="0.25">
      <c r="A607" s="25" t="s">
        <v>495</v>
      </c>
      <c r="B607" s="25"/>
      <c r="C607" s="35"/>
      <c r="D607" s="35"/>
      <c r="E607" s="262">
        <f>2*(G597+G596*(G599+(C606/2)))</f>
        <v>72.039999999999992</v>
      </c>
      <c r="F607" s="35" t="s">
        <v>426</v>
      </c>
      <c r="G607" s="25"/>
      <c r="H607" s="35"/>
      <c r="I607" s="35"/>
      <c r="J607" s="35"/>
      <c r="K607" s="35"/>
      <c r="L607" s="35"/>
      <c r="M607" s="35"/>
      <c r="N607" s="25"/>
    </row>
    <row r="608" spans="1:14" ht="20.100000000000001" customHeight="1" x14ac:dyDescent="0.25">
      <c r="A608" s="25" t="s">
        <v>496</v>
      </c>
      <c r="B608" s="25"/>
      <c r="C608" s="35"/>
      <c r="D608" s="217">
        <f>SQRT(E607/(G596*2))</f>
        <v>2.4501700621249403</v>
      </c>
      <c r="E608" s="35" t="s">
        <v>143</v>
      </c>
      <c r="K608" s="35"/>
      <c r="L608" s="35"/>
      <c r="M608" s="35"/>
      <c r="N608" s="25"/>
    </row>
    <row r="609" spans="1:14" ht="20.100000000000001" customHeight="1" x14ac:dyDescent="0.25">
      <c r="A609" s="25"/>
      <c r="B609" s="25"/>
      <c r="C609" s="25"/>
      <c r="D609" s="25"/>
      <c r="E609" s="25"/>
      <c r="F609" s="25"/>
      <c r="G609" s="25"/>
      <c r="H609" s="35"/>
      <c r="I609" s="35"/>
      <c r="J609" s="35"/>
      <c r="K609" s="35"/>
      <c r="L609" s="35"/>
      <c r="M609" s="35"/>
      <c r="N609" s="25"/>
    </row>
    <row r="610" spans="1:14" ht="20.100000000000001" customHeight="1" x14ac:dyDescent="0.25">
      <c r="A610" s="25" t="s">
        <v>497</v>
      </c>
      <c r="B610" s="25"/>
      <c r="C610" s="35"/>
      <c r="D610" s="35">
        <f>2*G599+C606</f>
        <v>4.4399999999999995</v>
      </c>
      <c r="E610" s="35" t="s">
        <v>143</v>
      </c>
      <c r="F610" s="35"/>
      <c r="G610" s="35" t="s">
        <v>498</v>
      </c>
      <c r="H610" s="35"/>
      <c r="N610" s="25"/>
    </row>
    <row r="611" spans="1:14" ht="20.100000000000001" customHeight="1" x14ac:dyDescent="0.25">
      <c r="A611" s="25" t="s">
        <v>500</v>
      </c>
      <c r="B611" s="191">
        <f>(L596-G599)/G599</f>
        <v>2.691860465116279</v>
      </c>
      <c r="D611" s="25"/>
      <c r="E611" s="25"/>
      <c r="F611" s="25" t="s">
        <v>499</v>
      </c>
      <c r="G611" s="25"/>
      <c r="H611" s="35"/>
      <c r="I611" s="35"/>
      <c r="J611" s="35"/>
      <c r="K611" s="35"/>
      <c r="L611" s="274">
        <f>D610/(2*G598)</f>
        <v>1.1384615384615384</v>
      </c>
      <c r="N611" s="25"/>
    </row>
    <row r="612" spans="1:14" ht="20.100000000000001" customHeight="1" x14ac:dyDescent="0.25">
      <c r="D612" s="25"/>
      <c r="E612" s="25"/>
      <c r="F612" s="25"/>
      <c r="G612" s="25"/>
      <c r="H612" s="35"/>
      <c r="I612" s="35"/>
      <c r="J612" s="35"/>
      <c r="K612" s="35"/>
      <c r="L612" s="35"/>
      <c r="M612" s="35"/>
      <c r="N612" s="25"/>
    </row>
    <row r="613" spans="1:14" ht="20.100000000000001" customHeight="1" x14ac:dyDescent="0.25">
      <c r="A613" s="25" t="s">
        <v>501</v>
      </c>
      <c r="B613" s="25"/>
      <c r="C613" s="190">
        <f>H584*D581/D608</f>
        <v>0.32650794831204089</v>
      </c>
      <c r="E613" s="25"/>
      <c r="F613" s="25" t="s">
        <v>227</v>
      </c>
      <c r="G613" s="25"/>
      <c r="H613" s="35"/>
      <c r="I613" s="35"/>
      <c r="J613" s="35"/>
      <c r="K613" s="35"/>
      <c r="L613" s="41">
        <f>D581*100/L614</f>
        <v>80</v>
      </c>
      <c r="M613" s="35" t="s">
        <v>143</v>
      </c>
      <c r="N613" s="25"/>
    </row>
    <row r="614" spans="1:14" ht="20.100000000000001" customHeight="1" x14ac:dyDescent="0.25">
      <c r="A614" s="25"/>
      <c r="B614" s="25"/>
      <c r="C614" s="25"/>
      <c r="D614" s="25"/>
      <c r="E614" s="25"/>
      <c r="F614" s="25"/>
      <c r="G614" s="25"/>
      <c r="H614" s="25" t="s">
        <v>228</v>
      </c>
      <c r="I614" s="35"/>
      <c r="J614" s="35"/>
      <c r="K614" s="35"/>
      <c r="L614" s="193">
        <v>1</v>
      </c>
      <c r="M614" s="35"/>
      <c r="N614" s="25"/>
    </row>
    <row r="615" spans="1:14" ht="20.100000000000001" customHeight="1" x14ac:dyDescent="0.25">
      <c r="A615" s="25"/>
      <c r="B615" s="25"/>
      <c r="C615" s="25"/>
      <c r="D615" s="25"/>
      <c r="E615" s="25"/>
      <c r="F615" s="25"/>
      <c r="G615" s="25"/>
      <c r="H615" s="21" t="s">
        <v>233</v>
      </c>
      <c r="I615" s="35"/>
      <c r="J615" s="35"/>
      <c r="K615" s="35"/>
      <c r="L615" s="25"/>
      <c r="M615" s="35"/>
      <c r="N615" s="25"/>
    </row>
    <row r="616" spans="1:14" ht="20.100000000000001" customHeight="1" x14ac:dyDescent="0.25">
      <c r="A616" s="25" t="s">
        <v>503</v>
      </c>
      <c r="B616" s="25"/>
      <c r="C616" s="25"/>
      <c r="D616" s="25"/>
      <c r="E616" s="25"/>
      <c r="F616" s="25"/>
      <c r="G616" s="25"/>
      <c r="H616" s="35"/>
      <c r="I616" s="35"/>
      <c r="J616" s="262">
        <f>SQRT(C613^2+(0.82*(L611^2/(1+L611^2))*(L613/G598)^2))</f>
        <v>27.913576286873269</v>
      </c>
      <c r="K616" s="35"/>
      <c r="M616" s="35"/>
      <c r="N616" s="25"/>
    </row>
    <row r="617" spans="1:14" ht="20.100000000000001" customHeight="1" x14ac:dyDescent="0.25">
      <c r="A617" s="25"/>
      <c r="B617" s="25"/>
      <c r="C617" s="25"/>
      <c r="D617" s="25"/>
      <c r="E617" s="25"/>
      <c r="F617" s="25"/>
      <c r="G617" s="25"/>
      <c r="H617" s="35"/>
      <c r="I617" s="35"/>
      <c r="J617" s="35"/>
      <c r="K617" s="35"/>
      <c r="L617" s="35"/>
      <c r="M617" s="35"/>
      <c r="N617" s="25"/>
    </row>
    <row r="618" spans="1:14" ht="20.100000000000001" customHeight="1" x14ac:dyDescent="0.25">
      <c r="A618" s="25" t="s">
        <v>504</v>
      </c>
      <c r="B618" s="25">
        <f>J616</f>
        <v>27.913576286873269</v>
      </c>
      <c r="C618" s="25"/>
      <c r="D618" s="25" t="s">
        <v>505</v>
      </c>
      <c r="E618" s="25"/>
      <c r="F618" s="25"/>
      <c r="G618" s="25"/>
      <c r="H618" s="192">
        <f>(B619/3.14)*SQRT(G578/G577)</f>
        <v>0.44786245960483712</v>
      </c>
      <c r="I618" s="21" t="str">
        <f>IF(H618&lt;1.5,"&lt; 1,5 Calculamos Fcr","Ver en norma Fcr")</f>
        <v>&lt; 1,5 Calculamos Fcr</v>
      </c>
      <c r="J618" s="35"/>
      <c r="K618" s="35"/>
      <c r="L618" s="35"/>
      <c r="M618" s="35"/>
      <c r="N618" s="25"/>
    </row>
    <row r="619" spans="1:14" ht="20.100000000000001" customHeight="1" x14ac:dyDescent="0.25">
      <c r="A619" s="25" t="s">
        <v>506</v>
      </c>
      <c r="B619" s="25">
        <f>M604</f>
        <v>41.025641025641029</v>
      </c>
      <c r="C619" s="25"/>
      <c r="D619" s="25"/>
      <c r="E619" s="25"/>
      <c r="F619" s="25"/>
      <c r="G619" s="25"/>
      <c r="H619" s="35"/>
      <c r="I619" s="35"/>
      <c r="J619" s="35"/>
      <c r="K619" s="35"/>
      <c r="L619" s="35"/>
      <c r="M619" s="35"/>
      <c r="N619" s="25"/>
    </row>
    <row r="620" spans="1:14" ht="20.100000000000001" customHeight="1" x14ac:dyDescent="0.25">
      <c r="A620" s="25"/>
      <c r="B620" s="25"/>
      <c r="C620" s="25"/>
      <c r="D620" s="25" t="s">
        <v>507</v>
      </c>
      <c r="E620" s="25"/>
      <c r="F620" s="25"/>
      <c r="G620" s="25"/>
      <c r="H620" s="35">
        <f>(0.658^(H618^2))*G578</f>
        <v>216.07646675737311</v>
      </c>
      <c r="I620" s="35" t="s">
        <v>168</v>
      </c>
      <c r="J620" s="35"/>
      <c r="K620" s="187" t="s">
        <v>509</v>
      </c>
      <c r="L620" s="280">
        <v>0.85</v>
      </c>
      <c r="M620" s="35"/>
      <c r="N620" s="25"/>
    </row>
    <row r="621" spans="1:14" ht="20.100000000000001" customHeight="1" x14ac:dyDescent="0.25">
      <c r="A621" s="25"/>
      <c r="B621" s="25"/>
      <c r="C621" s="25"/>
      <c r="D621" s="25"/>
      <c r="E621" s="25"/>
      <c r="F621" s="25"/>
      <c r="G621" s="25"/>
      <c r="H621" s="35"/>
      <c r="I621" s="35"/>
      <c r="J621" s="35"/>
      <c r="K621" s="35"/>
      <c r="L621" s="35"/>
      <c r="M621" s="35"/>
      <c r="N621" s="25"/>
    </row>
    <row r="622" spans="1:14" ht="20.100000000000001" customHeight="1" x14ac:dyDescent="0.25">
      <c r="A622" s="25" t="s">
        <v>541</v>
      </c>
      <c r="B622" s="25"/>
      <c r="C622" s="25"/>
      <c r="D622" s="25"/>
      <c r="E622" s="25"/>
      <c r="F622" s="25"/>
      <c r="G622" s="323">
        <f>L620*H620*G596*2/10</f>
        <v>220.3979960925206</v>
      </c>
      <c r="H622" s="263" t="s">
        <v>195</v>
      </c>
      <c r="I622" s="263" t="str">
        <f>IF(K580&lt;G622,"BC!!","MC!!")</f>
        <v>BC!!</v>
      </c>
      <c r="L622" s="35"/>
      <c r="M622" s="35"/>
      <c r="N622" s="25"/>
    </row>
    <row r="623" spans="1:14" ht="20.100000000000001" customHeight="1" x14ac:dyDescent="0.25">
      <c r="A623" s="25"/>
      <c r="B623" s="25"/>
      <c r="C623" s="25"/>
      <c r="D623" s="25"/>
      <c r="E623" s="25"/>
      <c r="F623" s="25"/>
      <c r="G623" s="25"/>
      <c r="H623" s="35"/>
      <c r="I623" s="35"/>
      <c r="J623" s="35"/>
      <c r="K623" s="35"/>
      <c r="L623" s="35"/>
      <c r="M623" s="35"/>
      <c r="N623" s="25"/>
    </row>
    <row r="624" spans="1:14" ht="20.100000000000001" customHeight="1" x14ac:dyDescent="0.25">
      <c r="A624" s="28" t="s">
        <v>229</v>
      </c>
      <c r="B624" s="25"/>
      <c r="C624" s="25"/>
      <c r="D624" s="25"/>
      <c r="E624" s="25"/>
      <c r="F624" s="25"/>
      <c r="G624" s="25"/>
      <c r="H624" s="35"/>
      <c r="I624" s="35"/>
      <c r="J624" s="35"/>
      <c r="K624" s="35"/>
      <c r="L624" s="35"/>
      <c r="M624" s="35"/>
      <c r="N624" s="25"/>
    </row>
    <row r="625" spans="1:14" ht="20.100000000000001" customHeight="1" x14ac:dyDescent="0.25">
      <c r="A625" s="25" t="s">
        <v>510</v>
      </c>
      <c r="B625" s="130">
        <f>K579</f>
        <v>105.85539999999999</v>
      </c>
      <c r="C625" s="25" t="s">
        <v>195</v>
      </c>
      <c r="D625" s="25"/>
      <c r="E625" s="25" t="s">
        <v>511</v>
      </c>
      <c r="F625" s="26">
        <v>0.9</v>
      </c>
      <c r="G625" s="25"/>
      <c r="H625" s="35"/>
      <c r="I625" s="35"/>
      <c r="J625" s="35"/>
      <c r="K625" s="35"/>
      <c r="L625" s="35"/>
      <c r="M625" s="35"/>
      <c r="N625" s="25"/>
    </row>
    <row r="626" spans="1:14" ht="20.100000000000001" customHeight="1" x14ac:dyDescent="0.25">
      <c r="A626" s="25" t="s">
        <v>512</v>
      </c>
      <c r="B626" s="25"/>
      <c r="C626" s="25"/>
      <c r="D626" s="25"/>
      <c r="E626" s="191">
        <f>10*B625/(F625*G578)</f>
        <v>5.004983451536642</v>
      </c>
      <c r="F626" s="25" t="s">
        <v>433</v>
      </c>
      <c r="G626" s="28" t="str">
        <f>IF(E626&lt;G596*2,"&lt; a la sección adoptada   BC!!","&gt; a la sección adoptada    MC!!")</f>
        <v>&lt; a la sección adoptada   BC!!</v>
      </c>
      <c r="H626" s="35"/>
      <c r="I626" s="35"/>
      <c r="J626" s="35"/>
      <c r="K626" s="25"/>
      <c r="L626" s="35"/>
      <c r="M626" s="35"/>
      <c r="N626" s="25"/>
    </row>
    <row r="627" spans="1:14" ht="20.100000000000001" customHeight="1" x14ac:dyDescent="0.25">
      <c r="A627" s="25"/>
      <c r="B627" s="25"/>
      <c r="C627" s="25"/>
      <c r="D627" s="25"/>
      <c r="E627" s="25"/>
      <c r="F627" s="25"/>
      <c r="G627" s="28"/>
      <c r="H627" s="35"/>
      <c r="I627" s="35"/>
      <c r="J627" s="35"/>
      <c r="K627" s="25"/>
      <c r="L627" s="35"/>
      <c r="M627" s="35"/>
      <c r="N627" s="25"/>
    </row>
    <row r="628" spans="1:14" ht="20.100000000000001" customHeight="1" x14ac:dyDescent="0.25">
      <c r="A628" s="28" t="s">
        <v>237</v>
      </c>
      <c r="B628" s="25"/>
      <c r="C628" s="25"/>
      <c r="D628" s="25"/>
      <c r="E628" s="25"/>
      <c r="F628" s="25"/>
      <c r="G628" s="25"/>
      <c r="H628" s="35"/>
      <c r="I628" s="35"/>
      <c r="J628" s="35"/>
      <c r="K628" s="35"/>
      <c r="L628" s="35"/>
      <c r="M628" s="35"/>
      <c r="N628" s="25"/>
    </row>
    <row r="629" spans="1:14" ht="20.100000000000001" customHeight="1" x14ac:dyDescent="0.25">
      <c r="A629" s="25" t="s">
        <v>235</v>
      </c>
      <c r="B629" s="25"/>
      <c r="C629" s="25"/>
      <c r="D629" s="25"/>
      <c r="E629" s="25"/>
      <c r="F629" s="197">
        <f>L597/2</f>
        <v>0.24</v>
      </c>
      <c r="G629" s="25" t="s">
        <v>143</v>
      </c>
      <c r="H629" s="35"/>
      <c r="I629" s="35" t="s">
        <v>513</v>
      </c>
      <c r="J629" s="35"/>
      <c r="K629" s="35"/>
      <c r="L629" s="35">
        <f>0.02*G622</f>
        <v>4.407959921850412</v>
      </c>
      <c r="M629" s="35" t="s">
        <v>195</v>
      </c>
      <c r="N629" s="25"/>
    </row>
    <row r="630" spans="1:14" ht="20.100000000000001" customHeight="1" x14ac:dyDescent="0.25">
      <c r="A630" s="25" t="s">
        <v>514</v>
      </c>
      <c r="B630" s="25"/>
      <c r="C630" s="25"/>
      <c r="D630" s="25"/>
      <c r="E630" s="25"/>
      <c r="F630" s="191">
        <f>(10*L629*G596*G599*L613)/(0.75*N630*E607*F629*J630)</f>
        <v>13.206939178596137</v>
      </c>
      <c r="G630" s="25" t="s">
        <v>143</v>
      </c>
      <c r="H630" s="35"/>
      <c r="I630" s="35" t="s">
        <v>236</v>
      </c>
      <c r="J630" s="44">
        <v>425</v>
      </c>
      <c r="K630" s="35" t="s">
        <v>168</v>
      </c>
      <c r="L630" s="35"/>
      <c r="M630" s="35" t="s">
        <v>515</v>
      </c>
      <c r="N630" s="200">
        <v>0.5</v>
      </c>
    </row>
    <row r="631" spans="1:14" ht="20.100000000000001" customHeight="1" x14ac:dyDescent="0.25">
      <c r="A631" s="25" t="s">
        <v>516</v>
      </c>
      <c r="B631" s="25"/>
      <c r="C631" s="25"/>
      <c r="D631" s="25"/>
      <c r="E631" s="25"/>
      <c r="F631" s="25"/>
      <c r="G631" s="187" t="s">
        <v>517</v>
      </c>
      <c r="H631" s="35">
        <f>((L596-G599)/L596)*F630</f>
        <v>9.6296265191968686</v>
      </c>
      <c r="I631" s="35" t="s">
        <v>143</v>
      </c>
      <c r="J631" s="35"/>
      <c r="K631" s="35" t="s">
        <v>518</v>
      </c>
      <c r="L631" s="35">
        <f>(G599/L596)*F630</f>
        <v>3.5773126593992686</v>
      </c>
      <c r="M631" s="35" t="s">
        <v>143</v>
      </c>
      <c r="N631" s="25"/>
    </row>
    <row r="632" spans="1:14" ht="20.100000000000001" customHeight="1" x14ac:dyDescent="0.25">
      <c r="A632" s="25"/>
      <c r="B632" s="25"/>
      <c r="C632" s="25"/>
      <c r="D632" s="25"/>
      <c r="E632" s="25"/>
      <c r="F632" s="25"/>
      <c r="G632" s="187"/>
      <c r="H632" s="35"/>
      <c r="I632" s="35"/>
      <c r="J632" s="35"/>
      <c r="K632" s="35"/>
      <c r="L632" s="35"/>
      <c r="M632" s="35"/>
      <c r="N632" s="25"/>
    </row>
    <row r="633" spans="1:14" ht="20.100000000000001" customHeight="1" x14ac:dyDescent="0.25">
      <c r="A633" s="25" t="s">
        <v>519</v>
      </c>
      <c r="B633" s="25"/>
      <c r="C633" s="25"/>
      <c r="D633" s="25"/>
      <c r="E633" s="25"/>
      <c r="F633" s="25"/>
      <c r="G633" s="25"/>
      <c r="H633" s="218">
        <f>MAX(G622,B625)</f>
        <v>220.3979960925206</v>
      </c>
      <c r="I633" s="35" t="s">
        <v>195</v>
      </c>
      <c r="K633" s="35"/>
      <c r="L633" s="35"/>
      <c r="M633" s="35"/>
      <c r="N633" s="25"/>
    </row>
    <row r="634" spans="1:14" ht="20.100000000000001" customHeight="1" x14ac:dyDescent="0.25">
      <c r="A634" s="25" t="s">
        <v>520</v>
      </c>
      <c r="B634" s="25"/>
      <c r="C634" s="25"/>
      <c r="D634" s="25"/>
      <c r="E634" s="25">
        <f>5*MAX(H633,K633)/(0.75*N630*F629*J630)</f>
        <v>28.81019556764975</v>
      </c>
      <c r="F634" s="25" t="s">
        <v>143</v>
      </c>
      <c r="G634" s="187" t="s">
        <v>517</v>
      </c>
      <c r="H634" s="41">
        <f>((L596-G599)/L596)*E634</f>
        <v>21.006489051687929</v>
      </c>
      <c r="I634" s="35" t="s">
        <v>143</v>
      </c>
      <c r="J634" s="35"/>
      <c r="K634" s="35" t="s">
        <v>518</v>
      </c>
      <c r="L634" s="41">
        <f>(G599/L596)*E634</f>
        <v>7.8037065159618217</v>
      </c>
      <c r="M634" s="35" t="s">
        <v>143</v>
      </c>
      <c r="N634" s="25"/>
    </row>
    <row r="635" spans="1:14" ht="20.100000000000001" customHeight="1" x14ac:dyDescent="0.25">
      <c r="A635" s="25"/>
      <c r="B635" s="25"/>
      <c r="C635" s="25"/>
      <c r="D635" s="25"/>
      <c r="E635" s="25"/>
      <c r="F635" s="25"/>
      <c r="G635" s="25"/>
      <c r="H635" s="35"/>
      <c r="I635" s="35"/>
      <c r="J635" s="35"/>
      <c r="K635" s="35"/>
      <c r="L635" s="35"/>
      <c r="M635" s="35"/>
      <c r="N635" s="25"/>
    </row>
    <row r="636" spans="1:14" ht="20.100000000000001" customHeight="1" x14ac:dyDescent="0.25">
      <c r="A636" s="25"/>
      <c r="B636" s="25"/>
      <c r="C636" s="25"/>
      <c r="D636" s="25"/>
      <c r="E636" s="25"/>
      <c r="F636" s="25"/>
      <c r="G636" s="25"/>
      <c r="H636" s="35"/>
      <c r="I636" s="35"/>
      <c r="J636" s="35"/>
      <c r="K636" s="35"/>
      <c r="L636" s="35"/>
      <c r="M636" s="35"/>
      <c r="N636" s="25"/>
    </row>
    <row r="637" spans="1:14" ht="20.100000000000001" customHeight="1" x14ac:dyDescent="0.25">
      <c r="A637" s="25"/>
      <c r="B637" s="25"/>
      <c r="C637" s="25"/>
      <c r="D637" s="25"/>
      <c r="E637" s="25"/>
      <c r="F637" s="25"/>
      <c r="G637" s="25"/>
      <c r="H637" s="35"/>
      <c r="I637" s="35"/>
      <c r="J637" s="35"/>
      <c r="K637" s="35"/>
      <c r="L637" s="35"/>
      <c r="M637" s="35"/>
      <c r="N637" s="25"/>
    </row>
    <row r="638" spans="1:14" ht="20.100000000000001" customHeight="1" x14ac:dyDescent="0.25">
      <c r="A638" s="25"/>
      <c r="B638" s="25"/>
      <c r="C638" s="25"/>
      <c r="D638" s="25"/>
      <c r="E638" s="25"/>
      <c r="F638" s="25"/>
      <c r="G638" s="25"/>
      <c r="H638" s="35"/>
      <c r="I638" s="35"/>
      <c r="J638" s="35"/>
      <c r="K638" s="35"/>
      <c r="L638" s="35"/>
      <c r="M638" s="35"/>
      <c r="N638" s="25"/>
    </row>
    <row r="639" spans="1:14" ht="20.100000000000001" customHeight="1" x14ac:dyDescent="0.25">
      <c r="A639" s="25"/>
      <c r="B639" s="25"/>
      <c r="C639" s="25"/>
      <c r="D639" s="25"/>
      <c r="E639" s="25"/>
      <c r="F639" s="25"/>
      <c r="G639" s="25"/>
      <c r="H639" s="35"/>
      <c r="I639" s="35"/>
      <c r="J639" s="35"/>
      <c r="K639" s="35"/>
      <c r="L639" s="35"/>
      <c r="M639" s="35"/>
      <c r="N639" s="25"/>
    </row>
    <row r="640" spans="1:14" ht="20.100000000000001" customHeight="1" x14ac:dyDescent="0.25">
      <c r="A640" s="25"/>
      <c r="B640" s="25"/>
      <c r="C640" s="25"/>
      <c r="D640" s="25"/>
      <c r="E640" s="25"/>
      <c r="F640" s="25"/>
      <c r="G640" s="25"/>
      <c r="H640" s="35"/>
      <c r="I640" s="35"/>
      <c r="J640" s="35"/>
      <c r="K640" s="35"/>
      <c r="L640" s="35"/>
      <c r="M640" s="35"/>
      <c r="N640" s="25"/>
    </row>
    <row r="641" spans="1:14" ht="20.100000000000001" customHeight="1" x14ac:dyDescent="0.25">
      <c r="A641" s="25"/>
      <c r="B641" s="25"/>
      <c r="C641" s="25"/>
      <c r="D641" s="25"/>
      <c r="E641" s="25"/>
      <c r="F641" s="25"/>
      <c r="G641" s="25"/>
      <c r="H641" s="35"/>
      <c r="I641" s="35"/>
      <c r="J641" s="35"/>
      <c r="K641" s="35"/>
      <c r="L641" s="35"/>
      <c r="M641" s="35"/>
      <c r="N641" s="25"/>
    </row>
    <row r="642" spans="1:14" ht="20.100000000000001" customHeight="1" x14ac:dyDescent="0.25">
      <c r="A642" s="25"/>
      <c r="B642" s="25"/>
      <c r="C642" s="25"/>
      <c r="D642" s="25"/>
      <c r="E642" s="25"/>
      <c r="F642" s="25"/>
      <c r="G642" s="25"/>
      <c r="H642" s="35"/>
      <c r="I642" s="35"/>
      <c r="J642" s="35"/>
      <c r="K642" s="35"/>
      <c r="L642" s="35"/>
      <c r="M642" s="35"/>
      <c r="N642" s="25"/>
    </row>
    <row r="643" spans="1:14" ht="20.100000000000001" customHeight="1" x14ac:dyDescent="0.25">
      <c r="A643" s="25"/>
      <c r="B643" s="25"/>
      <c r="C643" s="25"/>
      <c r="D643" s="25"/>
      <c r="E643" s="25"/>
      <c r="F643" s="25"/>
      <c r="G643" s="25"/>
      <c r="H643" s="35"/>
      <c r="I643" s="35"/>
      <c r="J643" s="35"/>
      <c r="K643" s="35"/>
      <c r="L643" s="35"/>
      <c r="M643" s="35"/>
      <c r="N643" s="25"/>
    </row>
    <row r="644" spans="1:14" ht="20.100000000000001" customHeight="1" x14ac:dyDescent="0.25">
      <c r="A644" s="25"/>
      <c r="B644" s="25"/>
      <c r="C644" s="25"/>
      <c r="D644" s="25"/>
      <c r="E644" s="25"/>
      <c r="F644" s="25"/>
      <c r="G644" s="25"/>
      <c r="H644" s="35"/>
      <c r="I644" s="35"/>
      <c r="J644" s="35"/>
      <c r="K644" s="35"/>
      <c r="L644" s="35"/>
      <c r="M644" s="35"/>
      <c r="N644" s="25"/>
    </row>
    <row r="645" spans="1:14" ht="20.100000000000001" customHeight="1" x14ac:dyDescent="0.25">
      <c r="A645" s="25"/>
      <c r="B645" s="25"/>
      <c r="C645" s="25"/>
      <c r="D645" s="25"/>
      <c r="E645" s="25"/>
      <c r="F645" s="25"/>
      <c r="G645" s="25"/>
      <c r="H645" s="35"/>
      <c r="I645" s="35"/>
      <c r="J645" s="35"/>
      <c r="K645" s="35"/>
      <c r="L645" s="35"/>
      <c r="M645" s="35"/>
      <c r="N645" s="25"/>
    </row>
    <row r="646" spans="1:14" ht="20.100000000000001" customHeight="1" x14ac:dyDescent="0.25">
      <c r="A646" s="25"/>
      <c r="B646" s="25"/>
      <c r="C646" s="25"/>
      <c r="D646" s="25"/>
      <c r="E646" s="25"/>
      <c r="F646" s="25"/>
      <c r="G646" s="25"/>
      <c r="H646" s="35"/>
      <c r="I646" s="35"/>
      <c r="J646" s="35"/>
      <c r="K646" s="35"/>
      <c r="L646" s="35"/>
      <c r="M646" s="35"/>
      <c r="N646" s="25"/>
    </row>
    <row r="647" spans="1:14" ht="20.100000000000001" customHeight="1" x14ac:dyDescent="0.25">
      <c r="A647" s="25"/>
      <c r="B647" s="25"/>
      <c r="C647" s="25"/>
      <c r="D647" s="25"/>
      <c r="E647" s="25"/>
      <c r="F647" s="25"/>
      <c r="G647" s="25"/>
      <c r="H647" s="35"/>
      <c r="I647" s="35"/>
      <c r="J647" s="35"/>
      <c r="K647" s="35"/>
      <c r="L647" s="35"/>
      <c r="M647" s="35"/>
      <c r="N647" s="25"/>
    </row>
    <row r="648" spans="1:14" ht="20.100000000000001" customHeight="1" x14ac:dyDescent="0.25">
      <c r="A648" s="25"/>
      <c r="B648" s="25"/>
      <c r="C648" s="25"/>
      <c r="D648" s="25"/>
      <c r="E648" s="25"/>
      <c r="F648" s="25"/>
      <c r="G648" s="25"/>
      <c r="H648" s="35"/>
      <c r="I648" s="35"/>
      <c r="J648" s="35"/>
      <c r="K648" s="35"/>
      <c r="L648" s="35"/>
      <c r="M648" s="35"/>
      <c r="N648" s="25"/>
    </row>
    <row r="649" spans="1:14" ht="20.100000000000001" customHeight="1" x14ac:dyDescent="0.25">
      <c r="A649" s="28" t="s">
        <v>234</v>
      </c>
      <c r="B649" s="25"/>
      <c r="C649" s="25"/>
      <c r="D649" s="25"/>
      <c r="E649" s="25"/>
      <c r="F649" s="25" t="s">
        <v>144</v>
      </c>
      <c r="G649" s="515">
        <v>200000</v>
      </c>
      <c r="H649" s="515"/>
      <c r="I649" s="35" t="s">
        <v>168</v>
      </c>
      <c r="J649" s="35"/>
      <c r="K649" s="35"/>
      <c r="L649" s="35"/>
      <c r="M649" s="35"/>
      <c r="N649" s="25"/>
    </row>
    <row r="650" spans="1:14" ht="20.100000000000001" customHeight="1" x14ac:dyDescent="0.25">
      <c r="A650" s="25"/>
      <c r="B650" s="25" t="s">
        <v>207</v>
      </c>
      <c r="C650" s="25"/>
      <c r="D650" s="25"/>
      <c r="E650" s="25"/>
      <c r="F650" s="25" t="s">
        <v>169</v>
      </c>
      <c r="G650" s="515">
        <v>235</v>
      </c>
      <c r="H650" s="515"/>
      <c r="I650" s="35" t="s">
        <v>168</v>
      </c>
      <c r="J650" s="35"/>
      <c r="K650" s="35"/>
      <c r="L650" s="35"/>
      <c r="M650" s="35"/>
      <c r="N650" s="25"/>
    </row>
    <row r="651" spans="1:14" ht="20.100000000000001" customHeight="1" x14ac:dyDescent="0.25">
      <c r="A651" s="25"/>
      <c r="B651" s="25"/>
      <c r="C651" s="25" t="s">
        <v>209</v>
      </c>
      <c r="D651" s="25"/>
      <c r="E651" s="25"/>
      <c r="F651" s="25" t="s">
        <v>124</v>
      </c>
      <c r="G651" s="525">
        <f>D439</f>
        <v>18359.52</v>
      </c>
      <c r="H651" s="525"/>
      <c r="I651" s="35" t="s">
        <v>122</v>
      </c>
      <c r="J651" s="35" t="s">
        <v>189</v>
      </c>
      <c r="K651" s="35">
        <f>G651/100</f>
        <v>183.59520000000001</v>
      </c>
      <c r="L651" s="35" t="s">
        <v>195</v>
      </c>
      <c r="M651" s="35"/>
      <c r="N651" s="25"/>
    </row>
    <row r="652" spans="1:14" ht="20.100000000000001" customHeight="1" x14ac:dyDescent="0.25">
      <c r="A652" s="25"/>
      <c r="B652" s="25"/>
      <c r="C652" s="25" t="s">
        <v>208</v>
      </c>
      <c r="D652" s="25"/>
      <c r="E652" s="25"/>
      <c r="F652" s="25" t="s">
        <v>124</v>
      </c>
      <c r="G652" s="525">
        <f>E439</f>
        <v>10170.750000000002</v>
      </c>
      <c r="H652" s="525"/>
      <c r="I652" s="35" t="s">
        <v>122</v>
      </c>
      <c r="J652" s="35" t="s">
        <v>189</v>
      </c>
      <c r="K652" s="35">
        <f>G652/100</f>
        <v>101.70750000000002</v>
      </c>
      <c r="L652" s="35" t="s">
        <v>195</v>
      </c>
      <c r="M652" s="35"/>
      <c r="N652" s="25"/>
    </row>
    <row r="653" spans="1:14" ht="20.100000000000001" customHeight="1" x14ac:dyDescent="0.25">
      <c r="A653" s="25" t="s">
        <v>210</v>
      </c>
      <c r="B653" s="25"/>
      <c r="C653" s="25" t="s">
        <v>543</v>
      </c>
      <c r="D653" s="267">
        <f>F25</f>
        <v>2.3323807579381199</v>
      </c>
      <c r="E653" s="25" t="s">
        <v>5</v>
      </c>
      <c r="F653" s="25"/>
      <c r="G653" s="25"/>
      <c r="H653" s="35"/>
      <c r="I653" s="35"/>
      <c r="J653" s="35"/>
      <c r="K653" s="35"/>
      <c r="L653" s="35"/>
      <c r="M653" s="35"/>
      <c r="N653" s="25"/>
    </row>
    <row r="654" spans="1:14" ht="20.100000000000001" customHeight="1" x14ac:dyDescent="0.25">
      <c r="A654" s="25"/>
      <c r="B654" s="25"/>
      <c r="C654" s="25"/>
      <c r="D654" s="25"/>
      <c r="E654" s="25"/>
      <c r="F654" s="25"/>
      <c r="G654" s="25"/>
      <c r="H654" s="35"/>
      <c r="I654" s="35"/>
      <c r="J654" s="35"/>
      <c r="K654" s="35"/>
      <c r="L654" s="35"/>
      <c r="M654" s="35"/>
      <c r="N654" s="25"/>
    </row>
    <row r="655" spans="1:14" ht="20.100000000000001" customHeight="1" x14ac:dyDescent="0.25">
      <c r="A655" s="25" t="s">
        <v>213</v>
      </c>
      <c r="B655" s="25"/>
      <c r="C655" s="25"/>
      <c r="D655" s="25"/>
      <c r="E655" s="309" t="s">
        <v>211</v>
      </c>
      <c r="F655" s="308">
        <v>1</v>
      </c>
      <c r="G655" s="25"/>
      <c r="H655" s="25"/>
      <c r="I655" s="25" t="s">
        <v>214</v>
      </c>
      <c r="J655" s="130">
        <f>F655*D653*100</f>
        <v>233.23807579381199</v>
      </c>
      <c r="K655" s="25" t="s">
        <v>143</v>
      </c>
      <c r="L655" s="35"/>
      <c r="M655" s="35"/>
      <c r="N655" s="25"/>
    </row>
    <row r="656" spans="1:14" ht="20.100000000000001" customHeight="1" x14ac:dyDescent="0.25">
      <c r="E656" s="309" t="s">
        <v>212</v>
      </c>
      <c r="F656" s="308">
        <v>1</v>
      </c>
      <c r="G656" s="25"/>
      <c r="H656" s="25"/>
      <c r="I656" s="25" t="s">
        <v>215</v>
      </c>
      <c r="J656" s="130">
        <f>D653*F656*100</f>
        <v>233.23807579381199</v>
      </c>
      <c r="K656" s="25" t="s">
        <v>143</v>
      </c>
      <c r="L656" s="35"/>
      <c r="M656" s="35"/>
      <c r="N656" s="25"/>
    </row>
    <row r="657" spans="1:14" ht="20.100000000000001" customHeight="1" x14ac:dyDescent="0.25">
      <c r="A657" s="25" t="s">
        <v>476</v>
      </c>
      <c r="B657" s="25"/>
      <c r="C657" s="25"/>
      <c r="D657" s="25"/>
      <c r="E657" s="25"/>
      <c r="F657" s="25"/>
      <c r="G657" s="25"/>
      <c r="H657" s="35"/>
      <c r="I657" s="44">
        <v>100</v>
      </c>
      <c r="J657" s="35" t="s">
        <v>217</v>
      </c>
      <c r="K657" s="35"/>
      <c r="L657" s="35"/>
      <c r="M657" s="35"/>
      <c r="N657" s="25"/>
    </row>
    <row r="658" spans="1:14" ht="20.100000000000001" customHeight="1" x14ac:dyDescent="0.25">
      <c r="A658" s="25"/>
      <c r="B658" s="25"/>
      <c r="C658" s="25"/>
      <c r="D658" s="25"/>
      <c r="E658" s="25"/>
      <c r="F658" s="25"/>
      <c r="G658" s="25"/>
      <c r="H658" s="35"/>
      <c r="I658" s="35"/>
      <c r="J658" s="35" t="s">
        <v>216</v>
      </c>
      <c r="K658" s="35"/>
      <c r="L658" s="35"/>
      <c r="M658" s="35"/>
      <c r="N658" s="25"/>
    </row>
    <row r="659" spans="1:14" ht="20.100000000000001" customHeight="1" x14ac:dyDescent="0.25">
      <c r="A659" s="25" t="s">
        <v>218</v>
      </c>
      <c r="B659" s="25"/>
      <c r="C659" s="25"/>
      <c r="D659" s="25"/>
      <c r="E659" s="25" t="s">
        <v>477</v>
      </c>
      <c r="F659" s="25"/>
      <c r="G659" s="311">
        <f>J655/I657</f>
        <v>2.3323807579381199</v>
      </c>
      <c r="H659" s="25" t="s">
        <v>143</v>
      </c>
      <c r="I659" s="35"/>
      <c r="J659" s="35"/>
      <c r="K659" s="35"/>
      <c r="L659" s="35"/>
      <c r="M659" s="35"/>
      <c r="N659" s="25"/>
    </row>
    <row r="660" spans="1:14" ht="20.100000000000001" customHeight="1" x14ac:dyDescent="0.25">
      <c r="A660" s="25"/>
      <c r="B660" s="25"/>
      <c r="C660" s="25"/>
      <c r="H660" s="35"/>
      <c r="I660" s="35"/>
      <c r="J660" s="35"/>
      <c r="K660" s="35"/>
      <c r="L660" s="35"/>
      <c r="M660" s="35"/>
      <c r="N660" s="25"/>
    </row>
    <row r="661" spans="1:14" ht="20.100000000000001" customHeight="1" x14ac:dyDescent="0.25">
      <c r="A661" s="25" t="s">
        <v>219</v>
      </c>
      <c r="B661" s="25"/>
      <c r="C661" s="25"/>
      <c r="D661" s="25"/>
      <c r="E661" s="25" t="s">
        <v>478</v>
      </c>
      <c r="F661" s="25"/>
      <c r="G661" s="25"/>
      <c r="H661" s="35"/>
      <c r="I661" s="202">
        <f>J655*SQRT(G650/G649)/(3.14*G659)</f>
        <v>1.0916647452867905</v>
      </c>
      <c r="J661" s="35" t="s">
        <v>479</v>
      </c>
      <c r="K661" s="35"/>
      <c r="L661" s="35"/>
      <c r="M661" s="35"/>
      <c r="N661" s="35"/>
    </row>
    <row r="662" spans="1:14" ht="20.100000000000001" customHeight="1" x14ac:dyDescent="0.25">
      <c r="A662" s="25"/>
      <c r="B662" s="25"/>
      <c r="C662" s="25"/>
      <c r="D662" s="25"/>
      <c r="E662" s="25"/>
      <c r="F662" s="25"/>
      <c r="G662" s="25"/>
      <c r="H662" s="35"/>
      <c r="I662" s="35"/>
      <c r="J662" s="35"/>
      <c r="K662" s="35"/>
      <c r="L662" s="35"/>
      <c r="M662" s="35"/>
      <c r="N662" s="25"/>
    </row>
    <row r="663" spans="1:14" ht="20.100000000000001" customHeight="1" x14ac:dyDescent="0.25">
      <c r="A663" s="25" t="s">
        <v>632</v>
      </c>
      <c r="B663" s="25"/>
      <c r="C663" s="25"/>
      <c r="D663" s="35">
        <f>(0.658^(I661^2))*G650</f>
        <v>142.70587677287426</v>
      </c>
      <c r="E663" s="35" t="s">
        <v>168</v>
      </c>
      <c r="F663" s="25" t="s">
        <v>482</v>
      </c>
      <c r="H663" s="25" t="s">
        <v>483</v>
      </c>
      <c r="K663" s="35"/>
      <c r="L663" s="35" t="s">
        <v>481</v>
      </c>
      <c r="M663" s="44">
        <v>0.85</v>
      </c>
      <c r="N663" s="25"/>
    </row>
    <row r="664" spans="1:14" ht="20.100000000000001" customHeight="1" x14ac:dyDescent="0.25">
      <c r="B664" s="25"/>
      <c r="C664" s="25"/>
      <c r="D664" s="25"/>
      <c r="E664" s="25"/>
      <c r="F664" s="25"/>
      <c r="G664" s="25"/>
      <c r="H664" s="35"/>
      <c r="I664" s="35"/>
      <c r="J664" s="35"/>
      <c r="K664" s="35"/>
      <c r="L664" s="35"/>
      <c r="M664" s="35"/>
      <c r="N664" s="25"/>
    </row>
    <row r="665" spans="1:14" ht="20.100000000000001" customHeight="1" x14ac:dyDescent="0.25">
      <c r="A665" s="25" t="s">
        <v>484</v>
      </c>
      <c r="B665" s="25"/>
      <c r="C665" s="25"/>
      <c r="D665" s="25"/>
      <c r="E665" s="309" t="s">
        <v>221</v>
      </c>
      <c r="F665" s="130">
        <f>G652</f>
        <v>10170.750000000002</v>
      </c>
      <c r="G665" s="25" t="s">
        <v>542</v>
      </c>
      <c r="H665" s="307">
        <f>F665/100</f>
        <v>101.70750000000002</v>
      </c>
      <c r="I665" s="25" t="s">
        <v>195</v>
      </c>
      <c r="J665" s="35" t="s">
        <v>485</v>
      </c>
      <c r="K665" s="35"/>
      <c r="L665" s="35"/>
      <c r="M665" s="55">
        <f>10*H665/(M663*D663)</f>
        <v>8.384790105272355</v>
      </c>
      <c r="N665" s="35" t="s">
        <v>433</v>
      </c>
    </row>
    <row r="666" spans="1:14" ht="20.100000000000001" customHeight="1" x14ac:dyDescent="0.25">
      <c r="A666" s="25"/>
      <c r="B666" s="25"/>
      <c r="C666" s="25"/>
      <c r="D666" s="25"/>
      <c r="E666" s="25"/>
      <c r="F666" s="25"/>
      <c r="G666" s="25"/>
      <c r="H666" s="35"/>
      <c r="I666" s="35"/>
      <c r="J666" s="217"/>
      <c r="K666" s="35"/>
      <c r="L666" s="35"/>
      <c r="M666" s="35"/>
      <c r="N666" s="25"/>
    </row>
    <row r="667" spans="1:14" ht="20.100000000000001" customHeight="1" x14ac:dyDescent="0.25">
      <c r="A667" s="25"/>
      <c r="B667" s="25"/>
      <c r="C667" s="25"/>
      <c r="D667" s="25"/>
      <c r="E667" s="25"/>
      <c r="F667" s="28" t="s">
        <v>222</v>
      </c>
      <c r="G667" s="25"/>
      <c r="H667" s="35"/>
      <c r="I667" s="35"/>
      <c r="J667" s="35"/>
      <c r="K667" s="35"/>
      <c r="L667" s="497" t="s">
        <v>631</v>
      </c>
      <c r="M667" s="497"/>
    </row>
    <row r="668" spans="1:14" ht="20.100000000000001" customHeight="1" x14ac:dyDescent="0.25">
      <c r="A668" s="25"/>
      <c r="B668" s="25"/>
      <c r="C668" s="25"/>
      <c r="D668" s="25"/>
      <c r="E668" s="25"/>
      <c r="F668" s="25" t="s">
        <v>486</v>
      </c>
      <c r="G668" s="268">
        <v>6</v>
      </c>
      <c r="H668" s="35" t="s">
        <v>433</v>
      </c>
      <c r="I668" s="21" t="str">
        <f>IF(G668*2&gt;M665,"BC","MC")</f>
        <v>BC</v>
      </c>
      <c r="K668" s="35" t="s">
        <v>167</v>
      </c>
      <c r="L668" s="44">
        <v>6.35</v>
      </c>
      <c r="M668" s="35" t="s">
        <v>143</v>
      </c>
      <c r="N668" s="35"/>
    </row>
    <row r="669" spans="1:14" ht="20.100000000000001" customHeight="1" x14ac:dyDescent="0.25">
      <c r="A669" s="25"/>
      <c r="B669" s="25"/>
      <c r="C669" s="25"/>
      <c r="D669" s="25"/>
      <c r="E669" s="25"/>
      <c r="F669" s="25" t="s">
        <v>487</v>
      </c>
      <c r="G669" s="269">
        <v>22.7</v>
      </c>
      <c r="H669" s="35" t="s">
        <v>426</v>
      </c>
      <c r="I669" s="21"/>
      <c r="K669" s="35" t="s">
        <v>224</v>
      </c>
      <c r="L669" s="44">
        <v>0.48</v>
      </c>
      <c r="M669" s="35" t="s">
        <v>143</v>
      </c>
      <c r="N669" s="35"/>
    </row>
    <row r="670" spans="1:14" ht="20.100000000000001" customHeight="1" x14ac:dyDescent="0.25">
      <c r="A670" s="25"/>
      <c r="B670" s="25"/>
      <c r="C670" s="25"/>
      <c r="D670" s="25"/>
      <c r="E670" s="25"/>
      <c r="F670" s="25" t="s">
        <v>488</v>
      </c>
      <c r="G670" s="267">
        <v>1.95</v>
      </c>
      <c r="H670" s="35" t="s">
        <v>143</v>
      </c>
      <c r="I670" s="21" t="str">
        <f>IF(G670&gt;G659,"BC","MC")</f>
        <v>MC</v>
      </c>
      <c r="K670" s="35" t="s">
        <v>225</v>
      </c>
      <c r="L670" s="35"/>
      <c r="M670" s="60" t="s">
        <v>223</v>
      </c>
      <c r="N670" s="270">
        <v>1</v>
      </c>
    </row>
    <row r="671" spans="1:14" ht="20.100000000000001" customHeight="1" x14ac:dyDescent="0.25">
      <c r="A671" s="25"/>
      <c r="B671" s="25"/>
      <c r="C671" s="25"/>
      <c r="D671" s="25"/>
      <c r="E671" s="504" t="s">
        <v>489</v>
      </c>
      <c r="F671" s="504"/>
      <c r="G671" s="267">
        <v>1.72</v>
      </c>
      <c r="H671" s="35" t="s">
        <v>143</v>
      </c>
      <c r="I671" s="35"/>
      <c r="J671" s="35"/>
      <c r="K671" s="35"/>
      <c r="L671" s="35"/>
      <c r="M671" s="35"/>
      <c r="N671" s="25"/>
    </row>
    <row r="672" spans="1:14" ht="20.100000000000001" customHeight="1" x14ac:dyDescent="0.25">
      <c r="A672" s="25" t="s">
        <v>521</v>
      </c>
      <c r="B672" s="25"/>
      <c r="C672" s="25"/>
      <c r="D672" s="25"/>
      <c r="E672" s="71">
        <f>L668/L669</f>
        <v>13.229166666666666</v>
      </c>
      <c r="G672" s="25"/>
      <c r="L672" s="35"/>
      <c r="M672" s="35"/>
      <c r="N672" s="25"/>
    </row>
    <row r="673" spans="1:14" ht="20.100000000000001" customHeight="1" x14ac:dyDescent="0.25">
      <c r="A673" s="25"/>
      <c r="B673" s="25" t="s">
        <v>491</v>
      </c>
      <c r="C673" s="35"/>
      <c r="D673" s="35"/>
      <c r="E673" s="204">
        <f>200/SQRT(G650)</f>
        <v>13.046561461068844</v>
      </c>
      <c r="F673" s="25"/>
      <c r="G673" s="25" t="s">
        <v>492</v>
      </c>
      <c r="H673" s="35"/>
      <c r="I673" s="35"/>
      <c r="J673" s="35"/>
      <c r="K673" s="35"/>
      <c r="L673" s="35"/>
      <c r="M673" s="35"/>
      <c r="N673" s="25"/>
    </row>
    <row r="674" spans="1:14" ht="20.100000000000001" customHeight="1" x14ac:dyDescent="0.25">
      <c r="A674" s="25"/>
      <c r="B674" s="25"/>
      <c r="C674" s="25"/>
      <c r="D674" s="25"/>
      <c r="F674" s="25"/>
      <c r="G674" s="25"/>
      <c r="H674" s="35"/>
      <c r="K674" s="273" t="s">
        <v>544</v>
      </c>
      <c r="L674" s="35"/>
      <c r="M674" s="272">
        <f>J655/G670</f>
        <v>119.60926963785231</v>
      </c>
    </row>
    <row r="675" spans="1:14" ht="20.100000000000001" customHeight="1" x14ac:dyDescent="0.25">
      <c r="A675" s="504" t="s">
        <v>626</v>
      </c>
      <c r="B675" s="504"/>
      <c r="C675" s="504"/>
      <c r="D675" s="71">
        <f>0.45*SQRT(200000/235)</f>
        <v>13.12784923481051</v>
      </c>
      <c r="E675" s="205"/>
      <c r="F675" s="310" t="s">
        <v>629</v>
      </c>
      <c r="G675" s="71">
        <f>1.34-(0.76*(E672)*SQRT(235/200000))</f>
        <v>0.99536053019233917</v>
      </c>
      <c r="H675" s="35" t="s">
        <v>630</v>
      </c>
      <c r="K675" s="273"/>
      <c r="L675" s="35"/>
      <c r="M675" s="272"/>
    </row>
    <row r="676" spans="1:14" ht="20.100000000000001" customHeight="1" x14ac:dyDescent="0.25">
      <c r="A676" s="504" t="s">
        <v>627</v>
      </c>
      <c r="B676" s="504"/>
      <c r="C676" s="504"/>
      <c r="D676" s="192">
        <f>0.91*SQRT(200000/235)</f>
        <v>26.54742845261681</v>
      </c>
      <c r="E676" s="205"/>
      <c r="F676" s="310" t="s">
        <v>629</v>
      </c>
      <c r="G676" s="71">
        <f>0.53*200000/(235*(E672)^2)</f>
        <v>2.577347792993459</v>
      </c>
      <c r="H676" s="35" t="s">
        <v>630</v>
      </c>
      <c r="K676" s="273"/>
      <c r="L676" s="35"/>
      <c r="M676" s="272"/>
    </row>
    <row r="677" spans="1:14" ht="20.100000000000001" customHeight="1" x14ac:dyDescent="0.25">
      <c r="A677" s="25"/>
      <c r="B677" s="25"/>
      <c r="C677" s="25"/>
      <c r="D677" s="25"/>
      <c r="F677" s="25"/>
      <c r="G677" s="25"/>
      <c r="H677" s="35"/>
      <c r="K677" s="273"/>
      <c r="L677" s="35"/>
      <c r="M677" s="272"/>
    </row>
    <row r="678" spans="1:14" ht="20.100000000000001" customHeight="1" x14ac:dyDescent="0.25">
      <c r="A678" s="25" t="s">
        <v>226</v>
      </c>
      <c r="B678" s="25"/>
      <c r="C678" s="25"/>
      <c r="D678" s="25"/>
      <c r="E678" s="25"/>
      <c r="F678" s="25"/>
      <c r="G678" s="25"/>
      <c r="H678" s="35"/>
      <c r="I678" s="35"/>
      <c r="J678" s="35"/>
      <c r="K678" s="35"/>
      <c r="L678" s="35"/>
      <c r="M678" s="35"/>
      <c r="N678" s="25"/>
    </row>
    <row r="679" spans="1:14" ht="20.100000000000001" customHeight="1" x14ac:dyDescent="0.25">
      <c r="A679" s="35" t="s">
        <v>494</v>
      </c>
      <c r="B679" s="35"/>
      <c r="C679" s="271">
        <v>1</v>
      </c>
      <c r="D679" s="35" t="s">
        <v>143</v>
      </c>
      <c r="E679" s="35"/>
      <c r="F679" s="28"/>
      <c r="G679" s="25"/>
      <c r="H679" s="35"/>
      <c r="I679" s="35"/>
      <c r="N679" s="25"/>
    </row>
    <row r="680" spans="1:14" ht="20.100000000000001" customHeight="1" x14ac:dyDescent="0.25">
      <c r="A680" s="25" t="s">
        <v>495</v>
      </c>
      <c r="B680" s="25"/>
      <c r="C680" s="35"/>
      <c r="D680" s="35"/>
      <c r="E680" s="262">
        <f>2*(G669+G668*(G671+(C679/2)))</f>
        <v>72.039999999999992</v>
      </c>
      <c r="F680" s="35" t="s">
        <v>426</v>
      </c>
      <c r="H680" s="35"/>
      <c r="I680" s="35"/>
      <c r="J680" s="35"/>
      <c r="K680" s="35"/>
      <c r="L680" s="35"/>
      <c r="M680" s="35"/>
      <c r="N680" s="25"/>
    </row>
    <row r="681" spans="1:14" ht="20.100000000000001" customHeight="1" x14ac:dyDescent="0.25">
      <c r="A681" s="25" t="s">
        <v>496</v>
      </c>
      <c r="B681" s="25"/>
      <c r="C681" s="35"/>
      <c r="D681" s="217">
        <f>SQRT(E680/(G668*2))</f>
        <v>2.4501700621249403</v>
      </c>
      <c r="E681" s="35" t="s">
        <v>143</v>
      </c>
      <c r="H681" s="35"/>
      <c r="I681" s="35"/>
      <c r="N681" s="25"/>
    </row>
    <row r="682" spans="1:14" ht="20.100000000000001" customHeight="1" x14ac:dyDescent="0.25">
      <c r="A682" s="25"/>
      <c r="B682" s="25"/>
      <c r="C682" s="25"/>
      <c r="D682" s="25"/>
      <c r="E682" s="25"/>
      <c r="M682" s="35"/>
      <c r="N682" s="25"/>
    </row>
    <row r="683" spans="1:14" ht="20.100000000000001" customHeight="1" x14ac:dyDescent="0.25">
      <c r="A683" s="25" t="s">
        <v>497</v>
      </c>
      <c r="B683" s="25"/>
      <c r="C683" s="35"/>
      <c r="D683" s="35">
        <f>2*G671+C679</f>
        <v>4.4399999999999995</v>
      </c>
      <c r="E683" s="35" t="s">
        <v>143</v>
      </c>
      <c r="F683" s="35"/>
      <c r="G683" s="35" t="s">
        <v>498</v>
      </c>
      <c r="H683" s="35"/>
      <c r="I683" s="35"/>
      <c r="J683" s="35"/>
      <c r="K683" s="35"/>
      <c r="L683" s="35"/>
      <c r="M683" s="35"/>
      <c r="N683" s="25"/>
    </row>
    <row r="684" spans="1:14" ht="20.100000000000001" customHeight="1" x14ac:dyDescent="0.25">
      <c r="A684" s="25" t="s">
        <v>500</v>
      </c>
      <c r="B684" s="25"/>
      <c r="C684" s="202">
        <f>(L668-G671)/G671</f>
        <v>2.691860465116279</v>
      </c>
      <c r="D684" s="25"/>
      <c r="E684" s="25"/>
      <c r="F684" s="25" t="s">
        <v>499</v>
      </c>
      <c r="G684" s="25"/>
      <c r="H684" s="35"/>
      <c r="I684" s="35"/>
      <c r="J684" s="35"/>
      <c r="K684" s="35"/>
      <c r="L684" s="205">
        <f>D683/(2*G670)</f>
        <v>1.1384615384615384</v>
      </c>
      <c r="M684" s="35"/>
      <c r="N684" s="25"/>
    </row>
    <row r="685" spans="1:14" ht="20.100000000000001" customHeight="1" x14ac:dyDescent="0.25">
      <c r="A685" s="25"/>
      <c r="B685" s="25"/>
      <c r="C685" s="25"/>
      <c r="D685" s="25"/>
      <c r="E685" s="25"/>
      <c r="F685" s="25"/>
      <c r="G685" s="25"/>
      <c r="H685" s="35"/>
      <c r="I685" s="35"/>
      <c r="J685" s="35"/>
      <c r="K685" s="35"/>
      <c r="L685" s="35"/>
      <c r="M685" s="35"/>
      <c r="N685" s="25"/>
    </row>
    <row r="686" spans="1:14" ht="20.100000000000001" customHeight="1" x14ac:dyDescent="0.25">
      <c r="A686" s="25" t="s">
        <v>501</v>
      </c>
      <c r="B686" s="25"/>
      <c r="C686" s="210">
        <f>J656/D681</f>
        <v>95.192606994607303</v>
      </c>
      <c r="E686" s="25"/>
      <c r="F686" s="25" t="s">
        <v>227</v>
      </c>
      <c r="G686" s="25"/>
      <c r="H686" s="35"/>
      <c r="I686" s="35"/>
      <c r="J686" s="35"/>
      <c r="K686" s="35"/>
      <c r="L686" s="55">
        <f>D653*100/L687</f>
        <v>77.746025264604</v>
      </c>
      <c r="M686" s="35" t="s">
        <v>143</v>
      </c>
      <c r="N686" s="25"/>
    </row>
    <row r="687" spans="1:14" ht="20.100000000000001" customHeight="1" x14ac:dyDescent="0.25">
      <c r="A687" s="25"/>
      <c r="B687" s="25"/>
      <c r="C687" s="25"/>
      <c r="D687" s="25"/>
      <c r="E687" s="25"/>
      <c r="F687" s="25"/>
      <c r="G687" s="25"/>
      <c r="H687" s="25" t="s">
        <v>228</v>
      </c>
      <c r="I687" s="35"/>
      <c r="J687" s="35"/>
      <c r="K687" s="35"/>
      <c r="L687" s="193">
        <v>3</v>
      </c>
      <c r="M687" s="35" t="s">
        <v>502</v>
      </c>
      <c r="N687" s="25"/>
    </row>
    <row r="688" spans="1:14" ht="20.100000000000001" customHeight="1" x14ac:dyDescent="0.25">
      <c r="A688" s="25" t="s">
        <v>503</v>
      </c>
      <c r="B688" s="25"/>
      <c r="C688" s="25"/>
      <c r="D688" s="25"/>
      <c r="E688" s="25"/>
      <c r="F688" s="25"/>
      <c r="G688" s="25"/>
      <c r="H688" s="35"/>
      <c r="I688" s="35"/>
      <c r="J688" s="41">
        <f>SQRT(C686^2+(0.82*(L684^2/(1+L684^2))*(L686/G670)^2))</f>
        <v>98.981879079046863</v>
      </c>
      <c r="K688" s="35"/>
      <c r="M688" s="35"/>
      <c r="N688" s="25"/>
    </row>
    <row r="689" spans="1:14" ht="20.100000000000001" customHeight="1" x14ac:dyDescent="0.25">
      <c r="A689" s="25"/>
      <c r="B689" s="25"/>
      <c r="C689" s="25"/>
      <c r="D689" s="25"/>
      <c r="E689" s="25"/>
      <c r="F689" s="25"/>
      <c r="G689" s="25"/>
      <c r="H689" s="35"/>
      <c r="I689" s="35"/>
      <c r="J689" s="35"/>
      <c r="K689" s="35"/>
      <c r="L689" s="35"/>
      <c r="M689" s="35"/>
      <c r="N689" s="25"/>
    </row>
    <row r="690" spans="1:14" ht="20.100000000000001" customHeight="1" x14ac:dyDescent="0.25">
      <c r="A690" s="25" t="s">
        <v>504</v>
      </c>
      <c r="B690" s="130">
        <f>J688</f>
        <v>98.981879079046863</v>
      </c>
      <c r="C690" s="25"/>
      <c r="D690" s="25" t="s">
        <v>505</v>
      </c>
      <c r="E690" s="25"/>
      <c r="F690" s="25"/>
      <c r="G690" s="25"/>
      <c r="H690" s="192">
        <f>(B691/3.14)*SQRT(G650/G649)</f>
        <v>1.3057322287314506</v>
      </c>
      <c r="I690" s="21" t="str">
        <f>IF(H690&lt;1.5,"&lt; 1,5 Calculamos Fcr","Ver en norma Fcr")</f>
        <v>&lt; 1,5 Calculamos Fcr</v>
      </c>
      <c r="J690" s="35"/>
      <c r="K690" s="35"/>
      <c r="L690" s="35"/>
      <c r="M690" s="35"/>
      <c r="N690" s="25"/>
    </row>
    <row r="691" spans="1:14" ht="20.100000000000001" customHeight="1" x14ac:dyDescent="0.25">
      <c r="A691" s="25" t="s">
        <v>506</v>
      </c>
      <c r="B691" s="25">
        <f>M674</f>
        <v>119.60926963785231</v>
      </c>
      <c r="C691" s="25"/>
      <c r="D691" s="25"/>
      <c r="E691" s="25"/>
      <c r="F691" s="25"/>
      <c r="G691" s="25"/>
      <c r="H691" s="35"/>
      <c r="I691" s="35"/>
      <c r="J691" s="35"/>
      <c r="K691" s="35"/>
      <c r="L691" s="35"/>
      <c r="M691" s="35"/>
      <c r="N691" s="25"/>
    </row>
    <row r="692" spans="1:14" ht="20.100000000000001" customHeight="1" x14ac:dyDescent="0.25">
      <c r="A692" s="25"/>
      <c r="B692" s="25"/>
      <c r="C692" s="25"/>
      <c r="D692" s="25" t="s">
        <v>507</v>
      </c>
      <c r="E692" s="25"/>
      <c r="F692" s="25"/>
      <c r="G692" s="25"/>
      <c r="H692" s="35">
        <f>(0.658^(H690^2))*G650</f>
        <v>115.1209926445645</v>
      </c>
      <c r="I692" s="35" t="s">
        <v>168</v>
      </c>
      <c r="J692" s="35"/>
      <c r="K692" s="35"/>
      <c r="L692" s="25" t="s">
        <v>509</v>
      </c>
      <c r="M692" s="267">
        <v>0.85</v>
      </c>
      <c r="N692" s="25"/>
    </row>
    <row r="693" spans="1:14" ht="20.100000000000001" customHeight="1" x14ac:dyDescent="0.25">
      <c r="A693" s="25" t="s">
        <v>508</v>
      </c>
      <c r="B693" s="25"/>
      <c r="C693" s="25"/>
      <c r="D693" s="25"/>
      <c r="E693" s="25"/>
      <c r="F693" s="25"/>
      <c r="G693" s="25"/>
      <c r="H693" s="35"/>
      <c r="I693" s="263">
        <f>M692*H692*G668*2/10</f>
        <v>117.42341249745577</v>
      </c>
      <c r="J693" s="263" t="s">
        <v>195</v>
      </c>
      <c r="K693" s="263" t="str">
        <f>IF(K652&lt;I693,"BC!!","MC!!")</f>
        <v>BC!!</v>
      </c>
      <c r="L693" s="35"/>
      <c r="M693" s="35"/>
      <c r="N693" s="25"/>
    </row>
    <row r="694" spans="1:14" ht="20.100000000000001" customHeight="1" x14ac:dyDescent="0.25">
      <c r="C694" s="25"/>
      <c r="D694" s="25"/>
      <c r="E694" s="25"/>
      <c r="F694" s="25"/>
      <c r="G694" s="25"/>
      <c r="H694" s="35"/>
      <c r="I694" s="35"/>
      <c r="J694" s="35"/>
      <c r="K694" s="35"/>
      <c r="L694" s="35"/>
      <c r="M694" s="35"/>
      <c r="N694" s="25"/>
    </row>
    <row r="695" spans="1:14" ht="20.100000000000001" customHeight="1" x14ac:dyDescent="0.25">
      <c r="A695" s="28" t="s">
        <v>229</v>
      </c>
      <c r="B695" s="25"/>
      <c r="C695" s="25"/>
      <c r="D695" s="25"/>
      <c r="E695" s="25"/>
      <c r="F695" s="25"/>
      <c r="G695" s="25"/>
      <c r="H695" s="35"/>
      <c r="I695" s="35"/>
      <c r="J695" s="35"/>
      <c r="K695" s="35"/>
      <c r="L695" s="35"/>
      <c r="M695" s="35"/>
      <c r="N695" s="25"/>
    </row>
    <row r="696" spans="1:14" ht="20.100000000000001" customHeight="1" x14ac:dyDescent="0.25">
      <c r="A696" s="25" t="s">
        <v>510</v>
      </c>
      <c r="B696" s="130">
        <f>K651</f>
        <v>183.59520000000001</v>
      </c>
      <c r="C696" s="25" t="s">
        <v>195</v>
      </c>
      <c r="D696" s="25"/>
      <c r="E696" s="25" t="s">
        <v>511</v>
      </c>
      <c r="F696" s="26">
        <v>0.9</v>
      </c>
      <c r="G696" s="25"/>
      <c r="H696" s="35"/>
      <c r="I696" s="35"/>
      <c r="J696" s="35"/>
      <c r="K696" s="35"/>
      <c r="L696" s="35"/>
      <c r="M696" s="35"/>
      <c r="N696" s="25"/>
    </row>
    <row r="697" spans="1:14" ht="20.100000000000001" customHeight="1" x14ac:dyDescent="0.25">
      <c r="A697" s="25" t="s">
        <v>512</v>
      </c>
      <c r="B697" s="25"/>
      <c r="C697" s="25"/>
      <c r="D697" s="25"/>
      <c r="E697" s="210">
        <f>10*B696/(F696*G650)</f>
        <v>8.6806241134751776</v>
      </c>
      <c r="F697" s="25" t="s">
        <v>433</v>
      </c>
      <c r="G697" s="28" t="str">
        <f>IF(E697&lt;G668*2,"&lt; a la sección adoptada   BC!!","&gt; a la sección adoptada    MC!!")</f>
        <v>&lt; a la sección adoptada   BC!!</v>
      </c>
      <c r="H697" s="35"/>
      <c r="I697" s="35"/>
      <c r="J697" s="35"/>
      <c r="K697" s="25"/>
      <c r="L697" s="35"/>
      <c r="M697" s="35"/>
      <c r="N697" s="25"/>
    </row>
    <row r="698" spans="1:14" ht="20.100000000000001" customHeight="1" x14ac:dyDescent="0.25">
      <c r="A698" s="25"/>
      <c r="B698" s="25"/>
      <c r="C698" s="25"/>
      <c r="D698" s="25"/>
      <c r="E698" s="96"/>
      <c r="F698" s="25"/>
      <c r="G698" s="28"/>
      <c r="H698" s="35"/>
      <c r="I698" s="35"/>
      <c r="J698" s="35"/>
      <c r="K698" s="25"/>
      <c r="L698" s="35"/>
      <c r="M698" s="35"/>
      <c r="N698" s="25"/>
    </row>
    <row r="699" spans="1:14" ht="20.100000000000001" customHeight="1" x14ac:dyDescent="0.25">
      <c r="A699" s="28" t="s">
        <v>237</v>
      </c>
      <c r="B699" s="25"/>
      <c r="C699" s="25"/>
      <c r="D699" s="25"/>
      <c r="E699" s="25"/>
      <c r="F699" s="25"/>
      <c r="G699" s="25"/>
      <c r="H699" s="35"/>
      <c r="I699" s="35"/>
      <c r="J699" s="35"/>
      <c r="K699" s="35"/>
      <c r="L699" s="35"/>
      <c r="M699" s="35"/>
      <c r="N699" s="25"/>
    </row>
    <row r="700" spans="1:14" ht="20.100000000000001" customHeight="1" x14ac:dyDescent="0.25">
      <c r="A700" s="25" t="s">
        <v>235</v>
      </c>
      <c r="B700" s="25"/>
      <c r="C700" s="25"/>
      <c r="D700" s="25"/>
      <c r="E700" s="25"/>
      <c r="F700" s="197">
        <f>L669/2</f>
        <v>0.24</v>
      </c>
      <c r="G700" s="25" t="s">
        <v>143</v>
      </c>
      <c r="H700" s="35"/>
      <c r="I700" s="35" t="s">
        <v>513</v>
      </c>
      <c r="J700" s="35"/>
      <c r="K700" s="35"/>
      <c r="L700" s="35">
        <f>0.02*I693</f>
        <v>2.3484682499491156</v>
      </c>
      <c r="M700" s="35" t="s">
        <v>195</v>
      </c>
      <c r="N700" s="25"/>
    </row>
    <row r="701" spans="1:14" ht="20.100000000000001" customHeight="1" x14ac:dyDescent="0.25">
      <c r="A701" s="25" t="s">
        <v>514</v>
      </c>
      <c r="B701" s="25"/>
      <c r="C701" s="25"/>
      <c r="D701" s="25"/>
      <c r="E701" s="25"/>
      <c r="F701" s="25">
        <f>(10*L700*G668*G671*L686)/(0.75*N701*E680*F700*J701)</f>
        <v>6.8381314010103882</v>
      </c>
      <c r="G701" s="25" t="s">
        <v>143</v>
      </c>
      <c r="H701" s="35"/>
      <c r="I701" s="35" t="s">
        <v>236</v>
      </c>
      <c r="J701" s="44">
        <v>425</v>
      </c>
      <c r="K701" s="35" t="s">
        <v>168</v>
      </c>
      <c r="L701" s="35"/>
      <c r="M701" s="35" t="s">
        <v>515</v>
      </c>
      <c r="N701" s="200">
        <v>0.5</v>
      </c>
    </row>
    <row r="702" spans="1:14" ht="20.100000000000001" customHeight="1" x14ac:dyDescent="0.25">
      <c r="A702" s="25" t="s">
        <v>516</v>
      </c>
      <c r="B702" s="25"/>
      <c r="C702" s="25"/>
      <c r="D702" s="25"/>
      <c r="E702" s="25"/>
      <c r="F702" s="25"/>
      <c r="G702" s="187" t="s">
        <v>517</v>
      </c>
      <c r="H702" s="35">
        <f>((L668-G671)/L668)*F701</f>
        <v>4.9859131317603307</v>
      </c>
      <c r="I702" s="35" t="s">
        <v>143</v>
      </c>
      <c r="J702" s="35"/>
      <c r="K702" s="35" t="s">
        <v>518</v>
      </c>
      <c r="L702" s="35">
        <f>(G671/L668)*F701</f>
        <v>1.8522182692500579</v>
      </c>
      <c r="M702" s="35" t="s">
        <v>143</v>
      </c>
      <c r="N702" s="25"/>
    </row>
    <row r="703" spans="1:14" ht="20.100000000000001" customHeight="1" x14ac:dyDescent="0.25">
      <c r="A703" s="25"/>
      <c r="B703" s="25"/>
      <c r="C703" s="25"/>
      <c r="D703" s="25"/>
      <c r="E703" s="25"/>
      <c r="F703" s="25"/>
      <c r="G703" s="187"/>
      <c r="H703" s="35"/>
      <c r="I703" s="35"/>
      <c r="J703" s="35"/>
      <c r="K703" s="35"/>
      <c r="L703" s="35"/>
      <c r="M703" s="35"/>
      <c r="N703" s="25"/>
    </row>
    <row r="704" spans="1:14" ht="20.100000000000001" customHeight="1" x14ac:dyDescent="0.25">
      <c r="A704" s="25" t="s">
        <v>519</v>
      </c>
      <c r="B704" s="25"/>
      <c r="C704" s="25"/>
      <c r="D704" s="25"/>
      <c r="E704" s="25"/>
      <c r="F704" s="25"/>
      <c r="G704" s="25"/>
      <c r="H704" s="35">
        <f>MAX(I693,B696)</f>
        <v>183.59520000000001</v>
      </c>
      <c r="I704" s="35" t="s">
        <v>195</v>
      </c>
      <c r="J704" s="35"/>
      <c r="K704" s="35"/>
      <c r="L704" s="35"/>
      <c r="M704" s="35"/>
      <c r="N704" s="25"/>
    </row>
    <row r="705" spans="1:14" ht="20.100000000000001" customHeight="1" x14ac:dyDescent="0.25">
      <c r="A705" s="25" t="s">
        <v>520</v>
      </c>
      <c r="B705" s="25"/>
      <c r="C705" s="25"/>
      <c r="D705" s="25"/>
      <c r="E705" s="25">
        <f>5*MAX(H704,K704)/(0.75*N701*F700*J701)</f>
        <v>23.999372549019608</v>
      </c>
      <c r="F705" s="25" t="s">
        <v>143</v>
      </c>
      <c r="G705" s="187" t="s">
        <v>517</v>
      </c>
      <c r="H705" s="41">
        <f>((L668-G671)/L668)*E705</f>
        <v>17.498755102670991</v>
      </c>
      <c r="I705" s="35" t="s">
        <v>143</v>
      </c>
      <c r="J705" s="35"/>
      <c r="K705" s="35" t="s">
        <v>518</v>
      </c>
      <c r="L705" s="41">
        <f>(G671/L668)*E705</f>
        <v>6.5006174463486177</v>
      </c>
      <c r="M705" s="35" t="s">
        <v>143</v>
      </c>
      <c r="N705" s="25"/>
    </row>
    <row r="706" spans="1:14" ht="20.100000000000001" customHeight="1" x14ac:dyDescent="0.25">
      <c r="A706" s="25"/>
      <c r="B706" s="25"/>
      <c r="C706" s="25"/>
      <c r="D706" s="25"/>
      <c r="E706" s="25"/>
      <c r="F706" s="25"/>
      <c r="G706" s="25"/>
      <c r="H706" s="35"/>
      <c r="I706" s="35"/>
      <c r="J706" s="35"/>
      <c r="K706" s="35"/>
      <c r="L706" s="35"/>
      <c r="M706" s="35"/>
      <c r="N706" s="25"/>
    </row>
    <row r="707" spans="1:14" ht="20.100000000000001" customHeight="1" x14ac:dyDescent="0.25">
      <c r="A707" s="25" t="s">
        <v>614</v>
      </c>
      <c r="B707" s="25"/>
      <c r="C707" s="25"/>
      <c r="D707" s="25"/>
      <c r="E707" s="25"/>
      <c r="F707" s="25"/>
      <c r="G707" s="25"/>
      <c r="H707" s="35"/>
      <c r="I707" s="35"/>
      <c r="J707" s="35"/>
      <c r="K707" s="35"/>
      <c r="L707" s="35"/>
      <c r="M707" s="35"/>
      <c r="N707" s="25"/>
    </row>
    <row r="708" spans="1:14" ht="20.100000000000001" customHeight="1" x14ac:dyDescent="0.25">
      <c r="A708" s="39" t="s">
        <v>340</v>
      </c>
      <c r="B708" s="25"/>
      <c r="C708" s="25"/>
      <c r="D708" s="25"/>
      <c r="E708" s="25"/>
      <c r="F708" s="25"/>
      <c r="G708" s="25"/>
      <c r="H708" s="35"/>
      <c r="I708" s="35"/>
      <c r="J708" s="35"/>
      <c r="K708" s="35"/>
      <c r="L708" s="35"/>
      <c r="M708" s="35"/>
      <c r="N708" s="25"/>
    </row>
    <row r="709" spans="1:14" ht="20.100000000000001" customHeight="1" x14ac:dyDescent="0.25">
      <c r="A709" s="516" t="s">
        <v>109</v>
      </c>
      <c r="B709" s="517"/>
      <c r="C709" s="188" t="s">
        <v>103</v>
      </c>
      <c r="D709" s="188" t="s">
        <v>106</v>
      </c>
      <c r="E709" s="188" t="s">
        <v>107</v>
      </c>
      <c r="F709" s="188" t="s">
        <v>108</v>
      </c>
      <c r="I709" s="35"/>
      <c r="J709" s="35"/>
      <c r="K709" s="35"/>
      <c r="L709" s="35"/>
      <c r="M709" s="35"/>
      <c r="N709" s="25"/>
    </row>
    <row r="710" spans="1:14" ht="20.100000000000001" customHeight="1" x14ac:dyDescent="0.25">
      <c r="A710" s="39"/>
      <c r="B710" s="14">
        <v>1</v>
      </c>
      <c r="C710" s="227">
        <f>C169</f>
        <v>424.32726373333333</v>
      </c>
      <c r="D710" s="227">
        <f>F169</f>
        <v>-739.54180250666661</v>
      </c>
      <c r="E710" s="14"/>
      <c r="F710" s="14"/>
      <c r="H710" s="8"/>
      <c r="I710" s="50"/>
      <c r="J710" s="35"/>
      <c r="K710" s="35"/>
      <c r="L710" s="35"/>
      <c r="M710" s="35"/>
      <c r="N710" s="25"/>
    </row>
    <row r="711" spans="1:14" ht="20.100000000000001" customHeight="1" x14ac:dyDescent="0.25">
      <c r="A711" s="39"/>
      <c r="B711" s="14">
        <v>2</v>
      </c>
      <c r="C711" s="227">
        <f>C170</f>
        <v>860.77816357333325</v>
      </c>
      <c r="D711" s="227">
        <f>F170</f>
        <v>-303.09090266666664</v>
      </c>
      <c r="E711" s="14"/>
      <c r="F711" s="14"/>
      <c r="H711" s="8"/>
      <c r="I711" s="50"/>
      <c r="J711" s="35"/>
      <c r="K711" s="35"/>
      <c r="L711" s="35"/>
      <c r="M711" s="35"/>
      <c r="N711" s="25"/>
    </row>
    <row r="712" spans="1:14" ht="20.100000000000001" customHeight="1" x14ac:dyDescent="0.25">
      <c r="A712" s="39"/>
      <c r="B712" s="14">
        <v>3</v>
      </c>
      <c r="C712" s="14">
        <f>C171</f>
        <v>-763.78907471999992</v>
      </c>
      <c r="D712" s="227">
        <f>F171</f>
        <v>-763.78907471999992</v>
      </c>
      <c r="E712" s="227">
        <f t="shared" ref="E712:F717" si="15">G171</f>
        <v>266.71999434666668</v>
      </c>
      <c r="F712" s="14">
        <f t="shared" si="15"/>
        <v>-569.81089701333326</v>
      </c>
      <c r="H712" s="8"/>
      <c r="I712" s="50"/>
      <c r="J712" s="35"/>
      <c r="K712" s="35"/>
      <c r="L712" s="35"/>
      <c r="M712" s="35"/>
      <c r="N712" s="25"/>
    </row>
    <row r="713" spans="1:14" ht="20.100000000000001" customHeight="1" x14ac:dyDescent="0.25">
      <c r="A713" s="39"/>
      <c r="B713" s="14">
        <v>4</v>
      </c>
      <c r="C713" s="14">
        <f>C172</f>
        <v>-327.33817488</v>
      </c>
      <c r="D713" s="227">
        <f>F172</f>
        <v>-327.33817488</v>
      </c>
      <c r="E713" s="227">
        <f t="shared" si="15"/>
        <v>703.17089418666671</v>
      </c>
      <c r="F713" s="14">
        <f t="shared" si="15"/>
        <v>-133.35999717333331</v>
      </c>
      <c r="H713" s="8"/>
      <c r="I713" s="50"/>
      <c r="J713" s="35"/>
      <c r="K713" s="35"/>
      <c r="L713" s="35"/>
      <c r="M713" s="35"/>
      <c r="N713" s="25"/>
    </row>
    <row r="714" spans="1:14" ht="20.100000000000001" customHeight="1" x14ac:dyDescent="0.25">
      <c r="A714" s="39"/>
      <c r="B714" s="14">
        <v>5</v>
      </c>
      <c r="C714" s="14"/>
      <c r="D714" s="14"/>
      <c r="E714" s="227">
        <f t="shared" si="15"/>
        <v>266.71999434666668</v>
      </c>
      <c r="F714" s="14">
        <f t="shared" si="15"/>
        <v>-569.81089701333326</v>
      </c>
      <c r="H714" s="8"/>
      <c r="I714" s="50"/>
      <c r="J714" s="35"/>
      <c r="K714" s="35"/>
      <c r="L714" s="35"/>
      <c r="M714" s="35"/>
      <c r="N714" s="25"/>
    </row>
    <row r="715" spans="1:14" ht="20.100000000000001" customHeight="1" x14ac:dyDescent="0.25">
      <c r="A715" s="39"/>
      <c r="B715" s="14">
        <v>6</v>
      </c>
      <c r="C715" s="14"/>
      <c r="D715" s="14"/>
      <c r="E715" s="227">
        <f t="shared" si="15"/>
        <v>703.17089418666671</v>
      </c>
      <c r="F715" s="14">
        <f t="shared" si="15"/>
        <v>-133.35999717333331</v>
      </c>
      <c r="H715" s="8"/>
      <c r="I715" s="50"/>
      <c r="J715" s="35"/>
      <c r="K715" s="35"/>
      <c r="L715" s="35"/>
      <c r="M715" s="35"/>
      <c r="N715" s="25"/>
    </row>
    <row r="716" spans="1:14" ht="20.100000000000001" customHeight="1" x14ac:dyDescent="0.25">
      <c r="A716" s="39"/>
      <c r="B716" s="14">
        <v>7</v>
      </c>
      <c r="C716" s="227">
        <f>C175</f>
        <v>266.71999434666668</v>
      </c>
      <c r="D716" s="227">
        <f>F175</f>
        <v>-569.81089701333326</v>
      </c>
      <c r="E716" s="14">
        <f t="shared" si="15"/>
        <v>-763.78907471999992</v>
      </c>
      <c r="F716" s="14">
        <f t="shared" si="15"/>
        <v>-763.78907471999992</v>
      </c>
      <c r="H716" s="8"/>
      <c r="I716" s="50"/>
      <c r="J716" s="35"/>
      <c r="K716" s="35"/>
      <c r="L716" s="35"/>
      <c r="M716" s="35"/>
      <c r="N716" s="25"/>
    </row>
    <row r="717" spans="1:14" ht="20.100000000000001" customHeight="1" x14ac:dyDescent="0.25">
      <c r="A717" s="39"/>
      <c r="B717" s="14">
        <v>8</v>
      </c>
      <c r="C717" s="227">
        <f>C176</f>
        <v>703.17089418666671</v>
      </c>
      <c r="D717" s="227">
        <f>F176</f>
        <v>-133.35999717333331</v>
      </c>
      <c r="E717" s="14">
        <f t="shared" si="15"/>
        <v>-327.33817488</v>
      </c>
      <c r="F717" s="14">
        <f t="shared" si="15"/>
        <v>-327.33817488</v>
      </c>
      <c r="H717" s="8"/>
      <c r="I717" s="50"/>
      <c r="J717" s="35"/>
      <c r="K717" s="35"/>
      <c r="L717" s="35"/>
      <c r="M717" s="35"/>
      <c r="N717" s="25"/>
    </row>
    <row r="718" spans="1:14" ht="20.100000000000001" customHeight="1" x14ac:dyDescent="0.25">
      <c r="A718" s="36" t="s">
        <v>611</v>
      </c>
      <c r="B718" s="11"/>
      <c r="C718" s="11"/>
      <c r="D718" s="131">
        <f>MAX(C710:C717,D710:F717)</f>
        <v>860.77816357333325</v>
      </c>
      <c r="E718" s="12" t="s">
        <v>613</v>
      </c>
      <c r="F718" s="306">
        <f>D718/9.81</f>
        <v>87.744970802582387</v>
      </c>
      <c r="G718" s="49" t="s">
        <v>615</v>
      </c>
      <c r="H718" s="8"/>
      <c r="I718" s="8"/>
    </row>
    <row r="719" spans="1:14" ht="20.100000000000001" customHeight="1" x14ac:dyDescent="0.25">
      <c r="A719" s="28" t="s">
        <v>612</v>
      </c>
      <c r="B719" s="28"/>
      <c r="C719" s="28"/>
      <c r="D719" s="130">
        <f>MIN(C710:C717,D710:F717)</f>
        <v>-763.78907471999992</v>
      </c>
      <c r="E719" s="25" t="s">
        <v>613</v>
      </c>
      <c r="F719" s="208">
        <f>D719/9.81</f>
        <v>-77.85821352905198</v>
      </c>
      <c r="G719" s="28" t="s">
        <v>615</v>
      </c>
      <c r="H719" s="35"/>
      <c r="I719" s="35"/>
      <c r="J719" s="35"/>
      <c r="K719" s="35"/>
      <c r="L719" s="35"/>
      <c r="M719" s="35"/>
      <c r="N719" s="25"/>
    </row>
    <row r="720" spans="1:14" ht="20.100000000000001" customHeight="1" x14ac:dyDescent="0.25">
      <c r="A720" s="28"/>
      <c r="B720" s="28"/>
      <c r="C720" s="28"/>
      <c r="D720" s="130"/>
      <c r="E720" s="25"/>
      <c r="F720" s="208"/>
      <c r="G720" s="28"/>
      <c r="H720" s="35"/>
      <c r="I720" s="35"/>
      <c r="J720" s="35"/>
      <c r="K720" s="35"/>
      <c r="L720" s="35"/>
      <c r="M720" s="35"/>
      <c r="N720" s="25"/>
    </row>
    <row r="721" spans="1:14" ht="20.100000000000001" customHeight="1" x14ac:dyDescent="0.25">
      <c r="A721" s="28" t="s">
        <v>633</v>
      </c>
    </row>
    <row r="729" spans="1:14" ht="20.100000000000001" customHeight="1" x14ac:dyDescent="0.25">
      <c r="A729" s="2" t="s">
        <v>954</v>
      </c>
    </row>
    <row r="730" spans="1:14" ht="20.100000000000001" customHeight="1" x14ac:dyDescent="0.25">
      <c r="C730" s="2" t="s">
        <v>953</v>
      </c>
      <c r="G730" s="2" t="s">
        <v>956</v>
      </c>
      <c r="K730" s="7" t="s">
        <v>957</v>
      </c>
    </row>
    <row r="731" spans="1:14" ht="20.100000000000001" customHeight="1" x14ac:dyDescent="0.25">
      <c r="C731" s="2" t="s">
        <v>955</v>
      </c>
      <c r="G731" s="484" t="s">
        <v>958</v>
      </c>
    </row>
    <row r="733" spans="1:14" ht="20.100000000000001" customHeight="1" x14ac:dyDescent="0.25">
      <c r="A733" s="25" t="s">
        <v>238</v>
      </c>
      <c r="B733" s="190">
        <f>G15</f>
        <v>4</v>
      </c>
      <c r="C733" s="25" t="s">
        <v>5</v>
      </c>
      <c r="D733" s="25"/>
      <c r="E733" s="25"/>
      <c r="F733" s="25"/>
      <c r="G733" s="25"/>
      <c r="H733" s="35"/>
      <c r="I733" s="35"/>
      <c r="J733" s="35"/>
      <c r="K733" s="35"/>
      <c r="L733" s="35"/>
      <c r="M733" s="35"/>
      <c r="N733" s="25"/>
    </row>
    <row r="734" spans="1:14" ht="20.100000000000001" customHeight="1" x14ac:dyDescent="0.25">
      <c r="A734" s="25" t="s">
        <v>239</v>
      </c>
      <c r="B734" s="25"/>
      <c r="C734" s="25"/>
      <c r="D734" s="25"/>
      <c r="E734" s="267">
        <v>1</v>
      </c>
      <c r="F734" s="25" t="s">
        <v>5</v>
      </c>
      <c r="G734" s="25"/>
      <c r="H734" s="35"/>
      <c r="I734" s="35"/>
      <c r="J734" s="35"/>
      <c r="K734" s="35"/>
      <c r="L734" s="35"/>
      <c r="M734" s="35"/>
      <c r="N734" s="25"/>
    </row>
    <row r="735" spans="1:14" ht="20.100000000000001" customHeight="1" x14ac:dyDescent="0.25">
      <c r="A735" s="25"/>
      <c r="B735" s="25"/>
      <c r="C735" s="25"/>
      <c r="D735" s="25"/>
      <c r="E735" s="25"/>
      <c r="F735" s="25"/>
      <c r="G735" s="25"/>
      <c r="H735" s="35"/>
      <c r="I735" s="35"/>
      <c r="J735" s="35"/>
      <c r="K735" s="35"/>
      <c r="L735" s="35"/>
      <c r="M735" s="35"/>
      <c r="N735" s="25"/>
    </row>
    <row r="736" spans="1:14" ht="20.100000000000001" customHeight="1" x14ac:dyDescent="0.25">
      <c r="A736" s="486" t="s">
        <v>240</v>
      </c>
      <c r="B736" s="25"/>
      <c r="C736" s="25"/>
      <c r="D736" s="25"/>
      <c r="E736" s="25"/>
      <c r="F736" s="25"/>
      <c r="G736" s="25"/>
      <c r="H736" s="35"/>
      <c r="I736" s="35"/>
      <c r="J736" s="35"/>
      <c r="K736" s="35"/>
      <c r="L736" s="35"/>
      <c r="M736" s="35"/>
      <c r="N736" s="25"/>
    </row>
    <row r="737" spans="1:14" ht="20.100000000000001" customHeight="1" x14ac:dyDescent="0.25">
      <c r="A737" s="249" t="s">
        <v>959</v>
      </c>
      <c r="B737" s="25"/>
      <c r="C737" s="25"/>
      <c r="D737" s="25"/>
      <c r="E737" s="25"/>
      <c r="F737" s="25"/>
      <c r="G737" s="25"/>
      <c r="H737" s="35"/>
      <c r="I737" s="35"/>
      <c r="J737" s="35"/>
      <c r="K737" s="35"/>
      <c r="L737" s="35"/>
      <c r="M737" s="35"/>
      <c r="N737" s="25"/>
    </row>
    <row r="738" spans="1:14" ht="20.100000000000001" customHeight="1" x14ac:dyDescent="0.25">
      <c r="A738" s="249" t="s">
        <v>960</v>
      </c>
      <c r="B738" s="25"/>
      <c r="C738" s="25"/>
      <c r="D738" s="25"/>
      <c r="E738" s="25"/>
      <c r="F738" s="25"/>
      <c r="G738" s="25"/>
      <c r="H738" s="35"/>
      <c r="I738" s="35"/>
      <c r="J738" s="35"/>
      <c r="K738" s="35"/>
      <c r="L738" s="35"/>
      <c r="M738" s="35"/>
      <c r="N738" s="25"/>
    </row>
    <row r="739" spans="1:14" ht="20.100000000000001" customHeight="1" x14ac:dyDescent="0.25">
      <c r="A739" s="12" t="s">
        <v>241</v>
      </c>
      <c r="B739" s="12"/>
      <c r="C739" s="12"/>
      <c r="D739" s="324">
        <v>100</v>
      </c>
      <c r="F739" s="12" t="s">
        <v>634</v>
      </c>
      <c r="G739" s="282">
        <v>10.6</v>
      </c>
      <c r="H739" s="50" t="s">
        <v>242</v>
      </c>
      <c r="I739" s="35"/>
      <c r="J739" s="35"/>
      <c r="K739" s="35"/>
      <c r="L739" s="35"/>
      <c r="M739" s="35"/>
      <c r="N739" s="25"/>
    </row>
    <row r="740" spans="1:14" ht="20.100000000000001" customHeight="1" x14ac:dyDescent="0.25">
      <c r="A740" s="487" t="s">
        <v>961</v>
      </c>
      <c r="B740" s="12"/>
      <c r="C740" s="12"/>
      <c r="D740" s="324"/>
      <c r="F740" s="12"/>
      <c r="G740" s="282"/>
      <c r="H740" s="50"/>
      <c r="I740" s="35"/>
      <c r="J740" s="35"/>
      <c r="K740" s="35"/>
      <c r="L740" s="35"/>
      <c r="M740" s="35"/>
      <c r="N740" s="25"/>
    </row>
    <row r="741" spans="1:14" ht="20.100000000000001" customHeight="1" x14ac:dyDescent="0.25">
      <c r="A741" s="214" t="s">
        <v>243</v>
      </c>
      <c r="B741" s="214"/>
      <c r="C741" s="325">
        <v>10</v>
      </c>
      <c r="D741" s="214" t="s">
        <v>546</v>
      </c>
      <c r="E741" s="214" t="s">
        <v>963</v>
      </c>
      <c r="F741" s="214"/>
      <c r="G741" s="214">
        <f>C741*E734</f>
        <v>10</v>
      </c>
      <c r="H741" s="215" t="s">
        <v>242</v>
      </c>
      <c r="I741" s="35"/>
      <c r="J741" s="35"/>
      <c r="K741" s="35"/>
      <c r="L741" s="35"/>
      <c r="M741" s="35"/>
      <c r="N741" s="25"/>
    </row>
    <row r="742" spans="1:14" ht="20.100000000000001" customHeight="1" x14ac:dyDescent="0.25">
      <c r="A742" s="28" t="s">
        <v>962</v>
      </c>
      <c r="B742" s="25"/>
      <c r="C742" s="25"/>
      <c r="D742" s="25"/>
      <c r="E742" s="25"/>
      <c r="F742" s="187" t="s">
        <v>244</v>
      </c>
      <c r="G742" s="191">
        <f>G739+G741</f>
        <v>20.6</v>
      </c>
      <c r="H742" s="35" t="s">
        <v>242</v>
      </c>
      <c r="I742" s="500" t="s">
        <v>248</v>
      </c>
      <c r="J742" s="500"/>
      <c r="K742" s="218">
        <f>1.4*G742</f>
        <v>28.84</v>
      </c>
      <c r="L742" s="35" t="s">
        <v>123</v>
      </c>
      <c r="M742" s="35"/>
      <c r="N742" s="25"/>
    </row>
    <row r="743" spans="1:14" ht="20.100000000000001" customHeight="1" x14ac:dyDescent="0.25">
      <c r="F743" s="2" t="s">
        <v>964</v>
      </c>
      <c r="G743" s="2" t="s">
        <v>965</v>
      </c>
      <c r="K743" s="279"/>
    </row>
    <row r="744" spans="1:14" ht="20.100000000000001" customHeight="1" x14ac:dyDescent="0.25">
      <c r="A744" s="488" t="s">
        <v>967</v>
      </c>
      <c r="K744" s="279"/>
    </row>
    <row r="745" spans="1:14" ht="20.100000000000001" customHeight="1" x14ac:dyDescent="0.25">
      <c r="A745" s="488" t="s">
        <v>968</v>
      </c>
      <c r="K745" s="279"/>
    </row>
    <row r="746" spans="1:14" ht="20.100000000000001" customHeight="1" x14ac:dyDescent="0.25">
      <c r="A746" s="488" t="s">
        <v>969</v>
      </c>
      <c r="K746" s="279"/>
    </row>
    <row r="747" spans="1:14" ht="20.100000000000001" customHeight="1" x14ac:dyDescent="0.25">
      <c r="A747" s="488" t="s">
        <v>970</v>
      </c>
      <c r="K747" s="279"/>
    </row>
    <row r="748" spans="1:14" ht="20.100000000000001" customHeight="1" x14ac:dyDescent="0.25">
      <c r="A748" s="488" t="s">
        <v>971</v>
      </c>
      <c r="K748" s="279"/>
    </row>
    <row r="749" spans="1:14" ht="20.100000000000001" customHeight="1" x14ac:dyDescent="0.25">
      <c r="A749" s="488"/>
      <c r="K749" s="279"/>
    </row>
    <row r="750" spans="1:14" ht="20.100000000000001" customHeight="1" x14ac:dyDescent="0.25">
      <c r="A750" s="488"/>
      <c r="K750" s="279"/>
    </row>
    <row r="751" spans="1:14" ht="20.100000000000001" customHeight="1" x14ac:dyDescent="0.25">
      <c r="A751" s="28" t="s">
        <v>966</v>
      </c>
      <c r="B751" s="25"/>
      <c r="C751" s="25"/>
      <c r="D751" s="25"/>
      <c r="E751" s="25"/>
      <c r="F751" s="25"/>
      <c r="G751" s="25"/>
      <c r="H751" s="35"/>
      <c r="I751" s="35"/>
      <c r="J751" s="35"/>
      <c r="K751" s="218"/>
      <c r="L751" s="35"/>
    </row>
    <row r="752" spans="1:14" ht="20.100000000000001" customHeight="1" x14ac:dyDescent="0.25">
      <c r="A752" s="28" t="s">
        <v>972</v>
      </c>
      <c r="B752" s="25"/>
      <c r="C752" s="25"/>
      <c r="D752" s="25"/>
      <c r="E752" s="25"/>
      <c r="F752" s="25"/>
      <c r="G752" s="25"/>
      <c r="H752" s="35"/>
      <c r="I752" s="35"/>
      <c r="J752" s="35"/>
      <c r="K752" s="218"/>
      <c r="L752" s="35"/>
    </row>
    <row r="753" spans="1:14" ht="20.100000000000001" customHeight="1" x14ac:dyDescent="0.25">
      <c r="A753" s="28" t="s">
        <v>973</v>
      </c>
      <c r="B753" s="25"/>
      <c r="C753" s="25"/>
      <c r="D753" s="25"/>
      <c r="E753" s="25"/>
      <c r="F753" s="25"/>
      <c r="G753" s="25"/>
      <c r="H753" s="35"/>
      <c r="I753" s="35"/>
      <c r="J753" s="35"/>
      <c r="K753" s="218"/>
      <c r="L753" s="35"/>
    </row>
    <row r="754" spans="1:14" ht="20.100000000000001" customHeight="1" x14ac:dyDescent="0.25">
      <c r="A754" s="25" t="s">
        <v>246</v>
      </c>
      <c r="B754" s="25"/>
      <c r="C754" s="130">
        <f>MAX(C710:F717,-MIN(C710:F717))/9.81</f>
        <v>87.744970802582387</v>
      </c>
      <c r="D754" s="25" t="s">
        <v>366</v>
      </c>
      <c r="E754" s="25" t="s">
        <v>974</v>
      </c>
      <c r="F754" s="187" t="s">
        <v>247</v>
      </c>
      <c r="G754" s="313">
        <f>C754*E734</f>
        <v>87.744970802582387</v>
      </c>
      <c r="H754" s="35" t="s">
        <v>242</v>
      </c>
      <c r="I754" s="499" t="s">
        <v>249</v>
      </c>
      <c r="J754" s="499"/>
      <c r="K754" s="218">
        <f>1.5*G754</f>
        <v>131.61745620387359</v>
      </c>
      <c r="L754" s="35" t="s">
        <v>242</v>
      </c>
      <c r="M754" s="7" t="s">
        <v>975</v>
      </c>
    </row>
    <row r="755" spans="1:14" ht="20.100000000000001" customHeight="1" x14ac:dyDescent="0.25">
      <c r="A755" s="25"/>
      <c r="B755" s="25"/>
      <c r="C755" s="130"/>
      <c r="D755" s="25"/>
      <c r="E755" s="25"/>
      <c r="F755" s="481"/>
      <c r="G755" s="479"/>
      <c r="H755" s="35"/>
      <c r="I755" s="482"/>
      <c r="J755" s="482"/>
      <c r="K755" s="218"/>
      <c r="L755" s="35"/>
    </row>
    <row r="756" spans="1:14" ht="20.100000000000001" customHeight="1" x14ac:dyDescent="0.25">
      <c r="A756" s="489" t="s">
        <v>250</v>
      </c>
      <c r="B756" s="25"/>
      <c r="C756" s="25"/>
      <c r="D756" s="25"/>
      <c r="E756" s="25"/>
      <c r="F756" s="25"/>
      <c r="G756" s="25"/>
      <c r="H756" s="35"/>
      <c r="I756" s="35"/>
      <c r="J756" s="35" t="s">
        <v>144</v>
      </c>
      <c r="K756" s="496">
        <v>2100000</v>
      </c>
      <c r="L756" s="496"/>
      <c r="M756" s="35" t="s">
        <v>547</v>
      </c>
      <c r="N756" s="25"/>
    </row>
    <row r="757" spans="1:14" ht="20.100000000000001" customHeight="1" x14ac:dyDescent="0.25">
      <c r="A757" s="25" t="s">
        <v>976</v>
      </c>
      <c r="B757" s="25"/>
      <c r="C757" s="25"/>
      <c r="D757" s="25"/>
      <c r="E757" s="25"/>
      <c r="F757" s="25"/>
      <c r="G757" s="25"/>
      <c r="H757" s="35"/>
      <c r="I757" s="35"/>
      <c r="J757" s="35"/>
      <c r="K757" s="480"/>
      <c r="L757" s="480"/>
      <c r="M757" s="35"/>
      <c r="N757" s="25"/>
    </row>
    <row r="758" spans="1:14" ht="20.100000000000001" customHeight="1" x14ac:dyDescent="0.25">
      <c r="A758" s="25" t="s">
        <v>977</v>
      </c>
      <c r="B758" s="25"/>
      <c r="C758" s="25"/>
      <c r="D758" s="25"/>
      <c r="E758" s="25"/>
      <c r="F758" s="25"/>
      <c r="G758" s="25"/>
      <c r="H758" s="35"/>
      <c r="I758" s="35"/>
      <c r="J758" s="35"/>
      <c r="K758" s="480"/>
      <c r="L758" s="480"/>
      <c r="M758" s="35"/>
      <c r="N758" s="25"/>
    </row>
    <row r="759" spans="1:14" ht="20.100000000000001" customHeight="1" x14ac:dyDescent="0.25">
      <c r="A759" s="25" t="s">
        <v>978</v>
      </c>
      <c r="B759" s="25"/>
      <c r="C759" s="25"/>
      <c r="D759" s="25"/>
      <c r="E759" s="25"/>
      <c r="F759" s="25"/>
      <c r="G759" s="25"/>
      <c r="H759" s="35"/>
      <c r="I759" s="35"/>
      <c r="J759" s="35"/>
      <c r="K759" s="480"/>
      <c r="L759" s="480"/>
      <c r="M759" s="35"/>
      <c r="N759" s="25"/>
    </row>
    <row r="760" spans="1:14" ht="20.100000000000001" customHeight="1" x14ac:dyDescent="0.25">
      <c r="A760" s="25" t="s">
        <v>981</v>
      </c>
      <c r="B760" s="25"/>
      <c r="C760" s="25"/>
      <c r="D760" s="130">
        <f>K754*B733^2/8</f>
        <v>263.23491240774717</v>
      </c>
      <c r="E760" s="25" t="s">
        <v>251</v>
      </c>
      <c r="F760" s="25" t="s">
        <v>979</v>
      </c>
      <c r="H760" s="25" t="s">
        <v>983</v>
      </c>
      <c r="I760" s="35"/>
      <c r="J760" s="35"/>
      <c r="K760" s="218">
        <f>K754*B733/2</f>
        <v>263.23491240774717</v>
      </c>
      <c r="L760" s="35" t="s">
        <v>120</v>
      </c>
      <c r="M760" s="35" t="s">
        <v>985</v>
      </c>
      <c r="N760" s="25"/>
    </row>
    <row r="761" spans="1:14" ht="20.100000000000001" customHeight="1" x14ac:dyDescent="0.25">
      <c r="A761" s="25" t="s">
        <v>982</v>
      </c>
      <c r="B761" s="25"/>
      <c r="C761" s="25"/>
      <c r="D761" s="130">
        <f>K742*B733^2/8</f>
        <v>57.68</v>
      </c>
      <c r="E761" s="25" t="s">
        <v>251</v>
      </c>
      <c r="F761" s="25" t="s">
        <v>980</v>
      </c>
      <c r="H761" s="25" t="s">
        <v>984</v>
      </c>
      <c r="I761" s="35"/>
      <c r="J761" s="35"/>
      <c r="K761" s="218">
        <f>K742*B733/2</f>
        <v>57.68</v>
      </c>
      <c r="L761" s="35" t="s">
        <v>120</v>
      </c>
      <c r="M761" s="35" t="s">
        <v>986</v>
      </c>
      <c r="N761" s="25"/>
    </row>
    <row r="763" spans="1:14" ht="20.100000000000001" customHeight="1" x14ac:dyDescent="0.25">
      <c r="A763" s="485" t="s">
        <v>987</v>
      </c>
    </row>
    <row r="764" spans="1:14" ht="20.100000000000001" customHeight="1" x14ac:dyDescent="0.25">
      <c r="A764" s="488" t="s">
        <v>988</v>
      </c>
    </row>
    <row r="765" spans="1:14" ht="20.100000000000001" customHeight="1" x14ac:dyDescent="0.25">
      <c r="A765" s="488" t="s">
        <v>989</v>
      </c>
    </row>
    <row r="766" spans="1:14" ht="20.100000000000001" customHeight="1" x14ac:dyDescent="0.25">
      <c r="A766" s="28" t="s">
        <v>252</v>
      </c>
      <c r="F766" s="483" t="s">
        <v>1015</v>
      </c>
    </row>
    <row r="767" spans="1:14" ht="20.100000000000001" customHeight="1" x14ac:dyDescent="0.25">
      <c r="A767" s="35" t="s">
        <v>253</v>
      </c>
      <c r="B767" s="35"/>
      <c r="C767" s="44">
        <v>150</v>
      </c>
      <c r="D767" s="315" t="s">
        <v>189</v>
      </c>
      <c r="E767" s="35">
        <f>B733*100/C767</f>
        <v>2.6666666666666665</v>
      </c>
      <c r="F767" s="35" t="s">
        <v>143</v>
      </c>
    </row>
    <row r="768" spans="1:14" s="25" customFormat="1" ht="20.100000000000001" customHeight="1" x14ac:dyDescent="0.25">
      <c r="A768" s="25" t="s">
        <v>637</v>
      </c>
      <c r="E768" s="313">
        <f>((5/48)*D760*100*((B733*100)^2)/(K756*E767))</f>
        <v>78.343723930877132</v>
      </c>
      <c r="F768" s="25" t="s">
        <v>426</v>
      </c>
      <c r="H768" s="35"/>
      <c r="I768" s="35"/>
      <c r="J768" s="35"/>
      <c r="K768" s="35"/>
      <c r="L768" s="35"/>
      <c r="M768" s="35"/>
    </row>
    <row r="769" spans="1:20" s="25" customFormat="1" ht="20.100000000000001" customHeight="1" x14ac:dyDescent="0.25">
      <c r="H769" s="35"/>
      <c r="I769" s="35"/>
      <c r="J769" s="35"/>
      <c r="K769" s="35"/>
      <c r="L769" s="35"/>
      <c r="M769" s="35"/>
    </row>
    <row r="770" spans="1:20" s="25" customFormat="1" ht="20.100000000000001" customHeight="1" x14ac:dyDescent="0.25">
      <c r="A770" s="35" t="s">
        <v>241</v>
      </c>
      <c r="D770" s="314">
        <v>80</v>
      </c>
      <c r="H770" s="35"/>
      <c r="I770" s="35"/>
      <c r="J770" s="35"/>
      <c r="K770" s="35"/>
      <c r="L770" s="35"/>
      <c r="M770" s="35"/>
    </row>
    <row r="771" spans="1:20" s="25" customFormat="1" ht="20.100000000000001" customHeight="1" x14ac:dyDescent="0.25">
      <c r="B771" s="60" t="s">
        <v>435</v>
      </c>
      <c r="C771" s="44">
        <v>106</v>
      </c>
      <c r="D771" s="25" t="s">
        <v>426</v>
      </c>
      <c r="E771" s="60" t="s">
        <v>548</v>
      </c>
      <c r="F771" s="44">
        <v>3.1</v>
      </c>
      <c r="G771" s="25" t="s">
        <v>143</v>
      </c>
      <c r="H771" s="35"/>
      <c r="I771" s="35"/>
      <c r="J771" s="35"/>
      <c r="K771" s="35"/>
      <c r="L771" s="35"/>
      <c r="M771" s="35"/>
    </row>
    <row r="772" spans="1:20" s="25" customFormat="1" ht="20.100000000000001" customHeight="1" x14ac:dyDescent="0.25">
      <c r="B772" s="318" t="s">
        <v>639</v>
      </c>
      <c r="C772" s="256">
        <v>31.8</v>
      </c>
      <c r="D772" s="25" t="s">
        <v>418</v>
      </c>
      <c r="E772" s="60" t="s">
        <v>173</v>
      </c>
      <c r="F772" s="44">
        <v>8</v>
      </c>
      <c r="G772" s="25" t="s">
        <v>143</v>
      </c>
      <c r="H772" s="35"/>
      <c r="I772" s="35"/>
      <c r="J772" s="35"/>
      <c r="K772" s="35"/>
      <c r="L772" s="35"/>
      <c r="M772" s="35"/>
    </row>
    <row r="773" spans="1:20" s="25" customFormat="1" ht="20.100000000000001" customHeight="1" x14ac:dyDescent="0.25">
      <c r="B773" s="187" t="s">
        <v>6</v>
      </c>
      <c r="C773" s="26">
        <v>11</v>
      </c>
      <c r="D773" s="25" t="s">
        <v>433</v>
      </c>
      <c r="E773" s="317" t="s">
        <v>171</v>
      </c>
      <c r="F773" s="26">
        <v>26.5</v>
      </c>
      <c r="G773" s="25" t="s">
        <v>418</v>
      </c>
      <c r="H773" s="35"/>
      <c r="I773" s="35"/>
      <c r="J773" s="35"/>
      <c r="K773" s="35"/>
      <c r="L773" s="35"/>
      <c r="M773" s="35"/>
    </row>
    <row r="774" spans="1:20" s="25" customFormat="1" ht="20.100000000000001" customHeight="1" x14ac:dyDescent="0.25">
      <c r="B774" s="187" t="s">
        <v>167</v>
      </c>
      <c r="C774" s="26">
        <v>4.5</v>
      </c>
      <c r="D774" s="30" t="s">
        <v>143</v>
      </c>
      <c r="E774" s="283" t="s">
        <v>641</v>
      </c>
      <c r="F774" s="44">
        <v>6.36</v>
      </c>
      <c r="G774" s="25" t="s">
        <v>418</v>
      </c>
      <c r="I774" s="35" t="s">
        <v>257</v>
      </c>
      <c r="J774" s="35"/>
      <c r="K774" s="35"/>
      <c r="L774" s="35">
        <f>C775*(F776-F775)</f>
        <v>0.68</v>
      </c>
      <c r="M774" s="35"/>
    </row>
    <row r="775" spans="1:20" s="25" customFormat="1" ht="20.100000000000001" customHeight="1" x14ac:dyDescent="0.25">
      <c r="B775" s="318" t="s">
        <v>651</v>
      </c>
      <c r="C775" s="44">
        <v>0.8</v>
      </c>
      <c r="D775" s="25" t="s">
        <v>143</v>
      </c>
      <c r="E775" s="283" t="s">
        <v>650</v>
      </c>
      <c r="F775" s="44">
        <v>0.6</v>
      </c>
      <c r="G775" s="25" t="s">
        <v>143</v>
      </c>
      <c r="I775" s="35" t="s">
        <v>258</v>
      </c>
      <c r="J775" s="50"/>
      <c r="K775" s="50"/>
      <c r="L775" s="50">
        <f>F772*F775</f>
        <v>4.8</v>
      </c>
      <c r="M775" s="50"/>
      <c r="N775" s="12"/>
    </row>
    <row r="776" spans="1:20" s="25" customFormat="1" ht="20.100000000000001" customHeight="1" x14ac:dyDescent="0.25">
      <c r="A776" s="25" t="s">
        <v>144</v>
      </c>
      <c r="B776" s="515">
        <v>200000</v>
      </c>
      <c r="C776" s="515"/>
      <c r="D776" s="30" t="s">
        <v>168</v>
      </c>
      <c r="E776" s="187" t="s">
        <v>549</v>
      </c>
      <c r="F776" s="284">
        <v>1.45</v>
      </c>
      <c r="G776" s="25" t="s">
        <v>143</v>
      </c>
      <c r="I776" s="35" t="s">
        <v>550</v>
      </c>
      <c r="J776" s="50"/>
      <c r="K776" s="50"/>
      <c r="L776" s="132">
        <f>(C774-F776)/2</f>
        <v>1.5249999999999999</v>
      </c>
      <c r="M776" s="50"/>
      <c r="N776" s="122"/>
      <c r="O776" s="35"/>
      <c r="P776" s="35"/>
    </row>
    <row r="777" spans="1:20" s="25" customFormat="1" ht="20.100000000000001" customHeight="1" x14ac:dyDescent="0.25">
      <c r="A777" s="25" t="s">
        <v>169</v>
      </c>
      <c r="B777" s="515">
        <v>235</v>
      </c>
      <c r="C777" s="515"/>
      <c r="D777" s="30" t="s">
        <v>168</v>
      </c>
      <c r="E777" s="283" t="s">
        <v>256</v>
      </c>
      <c r="F777" s="326">
        <f>F772*F775*L778</f>
        <v>12.071688311688311</v>
      </c>
      <c r="G777" s="25" t="s">
        <v>418</v>
      </c>
      <c r="H777" s="35" t="s">
        <v>551</v>
      </c>
      <c r="I777" s="50"/>
      <c r="J777" s="50"/>
      <c r="K777" s="50"/>
      <c r="L777" s="50"/>
      <c r="M777" s="50"/>
      <c r="N777" s="12"/>
    </row>
    <row r="778" spans="1:20" s="25" customFormat="1" ht="20.100000000000001" customHeight="1" x14ac:dyDescent="0.25">
      <c r="C778" s="30"/>
      <c r="D778" s="30"/>
      <c r="E778" s="283"/>
      <c r="F778" s="284"/>
      <c r="H778" s="35" t="s">
        <v>552</v>
      </c>
      <c r="I778" s="122">
        <f>(L774*(F776-F775)+L775*(F776-(F775/2)))/(2*L774+L775)</f>
        <v>0.98993506493506489</v>
      </c>
      <c r="J778" s="50"/>
      <c r="K778" s="50" t="s">
        <v>553</v>
      </c>
      <c r="L778" s="122">
        <f>L776+I778</f>
        <v>2.5149350649350648</v>
      </c>
      <c r="M778" s="50" t="s">
        <v>143</v>
      </c>
      <c r="N778" s="12"/>
    </row>
    <row r="779" spans="1:20" s="25" customFormat="1" ht="20.100000000000001" customHeight="1" x14ac:dyDescent="0.25">
      <c r="C779" s="30"/>
      <c r="D779" s="30"/>
      <c r="E779" s="283"/>
      <c r="F779" s="284"/>
      <c r="H779" s="35"/>
      <c r="I779" s="122"/>
      <c r="J779" s="50"/>
      <c r="K779" s="50"/>
      <c r="L779" s="122"/>
      <c r="M779" s="50"/>
      <c r="N779" s="12"/>
      <c r="S779" s="25">
        <v>1.5</v>
      </c>
    </row>
    <row r="780" spans="1:20" s="25" customFormat="1" ht="20.100000000000001" customHeight="1" x14ac:dyDescent="0.25">
      <c r="A780" s="28" t="s">
        <v>992</v>
      </c>
      <c r="C780" s="30"/>
      <c r="D780" s="30"/>
      <c r="E780" s="283"/>
      <c r="F780" s="284"/>
      <c r="H780" s="35"/>
      <c r="I780" s="122"/>
      <c r="J780" s="50"/>
      <c r="K780" s="50"/>
      <c r="L780" s="122"/>
      <c r="M780" s="50"/>
      <c r="N780" s="12"/>
    </row>
    <row r="781" spans="1:20" s="25" customFormat="1" ht="20.100000000000001" customHeight="1" x14ac:dyDescent="0.25">
      <c r="A781" s="25" t="s">
        <v>993</v>
      </c>
      <c r="C781" s="30"/>
      <c r="D781" s="30"/>
      <c r="E781" s="283"/>
      <c r="F781" s="490" t="s">
        <v>995</v>
      </c>
      <c r="H781" s="35"/>
      <c r="I781" s="122"/>
      <c r="J781" s="50"/>
      <c r="K781" s="50"/>
      <c r="L781" s="122"/>
      <c r="M781" s="50"/>
      <c r="N781" s="12"/>
    </row>
    <row r="782" spans="1:20" s="25" customFormat="1" ht="20.100000000000001" customHeight="1" x14ac:dyDescent="0.25">
      <c r="A782" s="25" t="s">
        <v>981</v>
      </c>
      <c r="D782" s="130">
        <v>263.23491240774717</v>
      </c>
      <c r="E782" s="25" t="s">
        <v>251</v>
      </c>
      <c r="F782" s="25" t="s">
        <v>979</v>
      </c>
      <c r="G782" s="2"/>
      <c r="H782" s="35" t="s">
        <v>994</v>
      </c>
      <c r="I782" s="122"/>
      <c r="J782" s="50"/>
      <c r="K782" s="50" t="s">
        <v>1002</v>
      </c>
      <c r="L782" s="122"/>
      <c r="M782" s="50"/>
      <c r="N782" s="12"/>
    </row>
    <row r="783" spans="1:20" s="25" customFormat="1" ht="20.100000000000001" customHeight="1" x14ac:dyDescent="0.25">
      <c r="C783" s="30"/>
      <c r="D783" s="30"/>
      <c r="E783" s="283"/>
      <c r="F783" s="284"/>
      <c r="H783" s="35"/>
      <c r="I783" s="122"/>
      <c r="J783" s="50"/>
      <c r="K783" s="50" t="s">
        <v>1003</v>
      </c>
      <c r="L783" s="122"/>
      <c r="M783" s="50"/>
      <c r="N783" s="12"/>
    </row>
    <row r="784" spans="1:20" s="25" customFormat="1" ht="20.100000000000001" customHeight="1" x14ac:dyDescent="0.25">
      <c r="B784" s="25" t="s">
        <v>998</v>
      </c>
      <c r="C784" s="30"/>
      <c r="D784" s="30"/>
      <c r="E784" s="491" t="s">
        <v>1004</v>
      </c>
      <c r="F784" s="284" t="s">
        <v>997</v>
      </c>
      <c r="G784" s="25" t="s">
        <v>999</v>
      </c>
      <c r="H784" s="35"/>
      <c r="I784" s="122"/>
      <c r="J784" s="50"/>
      <c r="K784" s="50"/>
      <c r="L784" s="122"/>
      <c r="M784" s="50"/>
      <c r="N784" s="12"/>
      <c r="T784" s="25" t="s">
        <v>1010</v>
      </c>
    </row>
    <row r="785" spans="1:14" s="25" customFormat="1" ht="20.100000000000001" customHeight="1" x14ac:dyDescent="0.25">
      <c r="C785" s="30"/>
      <c r="D785" s="30" t="s">
        <v>1012</v>
      </c>
      <c r="E785" s="283"/>
      <c r="F785" s="284"/>
      <c r="G785" s="25" t="s">
        <v>1000</v>
      </c>
      <c r="H785" s="35"/>
      <c r="I785" s="122"/>
      <c r="J785" s="50"/>
      <c r="K785" s="50"/>
      <c r="L785" s="122"/>
      <c r="M785" s="50"/>
      <c r="N785" s="12"/>
    </row>
    <row r="786" spans="1:14" s="25" customFormat="1" ht="20.100000000000001" customHeight="1" x14ac:dyDescent="0.25">
      <c r="C786" s="30"/>
      <c r="D786" s="30" t="s">
        <v>1001</v>
      </c>
      <c r="E786" s="283" t="s">
        <v>1005</v>
      </c>
      <c r="F786" s="284"/>
      <c r="H786" s="35"/>
      <c r="I786" s="122"/>
      <c r="J786" s="50"/>
      <c r="K786" s="50"/>
      <c r="L786" s="122"/>
      <c r="M786" s="50"/>
      <c r="N786" s="12"/>
    </row>
    <row r="787" spans="1:14" s="25" customFormat="1" ht="20.100000000000001" customHeight="1" x14ac:dyDescent="0.25">
      <c r="B787" s="25" t="s">
        <v>1006</v>
      </c>
      <c r="C787" s="30" t="s">
        <v>1007</v>
      </c>
      <c r="D787" s="30"/>
      <c r="E787" s="283"/>
      <c r="F787" s="284" t="s">
        <v>1008</v>
      </c>
      <c r="G787" s="521" t="s">
        <v>1009</v>
      </c>
      <c r="H787" s="521"/>
      <c r="I787" s="122" t="s">
        <v>1011</v>
      </c>
      <c r="J787" s="50">
        <f>2.63/1.5/0.9/0.001/235</f>
        <v>8.2899921197793525</v>
      </c>
      <c r="K787" s="50" t="s">
        <v>1014</v>
      </c>
      <c r="L787" s="122"/>
      <c r="M787" s="50"/>
      <c r="N787" s="12"/>
    </row>
    <row r="788" spans="1:14" ht="20.100000000000001" customHeight="1" x14ac:dyDescent="0.25">
      <c r="C788" s="18"/>
      <c r="D788" s="18"/>
      <c r="E788" s="20"/>
      <c r="F788" s="19"/>
      <c r="G788" s="488" t="s">
        <v>1013</v>
      </c>
    </row>
    <row r="789" spans="1:14" ht="20.100000000000001" customHeight="1" x14ac:dyDescent="0.25">
      <c r="A789" s="488" t="s">
        <v>1016</v>
      </c>
      <c r="C789" s="18"/>
      <c r="D789" s="18"/>
      <c r="E789" s="20"/>
      <c r="F789" s="19"/>
      <c r="G789" s="488"/>
    </row>
    <row r="790" spans="1:14" ht="20.100000000000001" customHeight="1" x14ac:dyDescent="0.25">
      <c r="C790" s="18"/>
      <c r="D790" s="18"/>
      <c r="E790" s="20"/>
      <c r="F790" s="19"/>
      <c r="G790" s="488"/>
    </row>
    <row r="791" spans="1:14" ht="20.100000000000001" customHeight="1" x14ac:dyDescent="0.25">
      <c r="A791" s="25"/>
      <c r="B791" s="25"/>
      <c r="C791" s="25"/>
      <c r="D791" s="25"/>
      <c r="E791" s="25"/>
      <c r="F791" s="25"/>
      <c r="G791" s="25" t="s">
        <v>260</v>
      </c>
      <c r="H791" s="35"/>
      <c r="I791" s="35"/>
      <c r="J791" s="35"/>
      <c r="K791" s="35"/>
      <c r="L791" s="35"/>
      <c r="M791" s="35"/>
      <c r="N791" s="25"/>
    </row>
    <row r="792" spans="1:14" ht="20.100000000000001" customHeight="1" x14ac:dyDescent="0.25">
      <c r="A792" s="28" t="s">
        <v>990</v>
      </c>
      <c r="B792" s="25"/>
      <c r="C792" s="25"/>
      <c r="D792" s="25"/>
      <c r="E792" s="25"/>
      <c r="F792" s="25"/>
      <c r="G792" s="25"/>
      <c r="H792" s="35"/>
      <c r="I792" s="35"/>
      <c r="J792" s="35"/>
      <c r="K792" s="35"/>
      <c r="L792" s="35"/>
      <c r="M792" s="35"/>
      <c r="N792" s="25"/>
    </row>
    <row r="793" spans="1:14" ht="20.100000000000001" customHeight="1" x14ac:dyDescent="0.25">
      <c r="A793" s="25" t="s">
        <v>408</v>
      </c>
      <c r="B793" s="210">
        <f>K754</f>
        <v>131.61745620387359</v>
      </c>
      <c r="C793" s="25" t="s">
        <v>242</v>
      </c>
      <c r="D793" s="25" t="s">
        <v>991</v>
      </c>
      <c r="E793" s="25"/>
      <c r="F793" s="25"/>
      <c r="G793" s="25"/>
      <c r="H793" s="35"/>
      <c r="I793" s="35"/>
      <c r="J793" s="35"/>
      <c r="K793" s="35"/>
      <c r="L793" s="35"/>
      <c r="M793" s="35"/>
      <c r="N793" s="25"/>
    </row>
    <row r="794" spans="1:14" ht="20.100000000000001" customHeight="1" x14ac:dyDescent="0.25">
      <c r="A794" s="25" t="s">
        <v>254</v>
      </c>
      <c r="B794" s="190">
        <f>B733</f>
        <v>4</v>
      </c>
      <c r="C794" s="25" t="s">
        <v>5</v>
      </c>
      <c r="D794" s="25"/>
      <c r="E794" s="25"/>
      <c r="F794" s="25"/>
      <c r="G794" s="25"/>
      <c r="H794" s="35"/>
      <c r="I794" s="35"/>
      <c r="J794" s="35"/>
      <c r="K794" s="35"/>
      <c r="L794" s="35"/>
      <c r="M794" s="35"/>
      <c r="N794" s="25"/>
    </row>
    <row r="795" spans="1:14" ht="20.100000000000001" customHeight="1" x14ac:dyDescent="0.25">
      <c r="A795" s="25" t="s">
        <v>554</v>
      </c>
      <c r="B795" s="25"/>
      <c r="C795" s="25"/>
      <c r="D795" s="210">
        <f>B793*B794^2/8</f>
        <v>263.23491240774717</v>
      </c>
      <c r="E795" s="25" t="s">
        <v>251</v>
      </c>
      <c r="F795" s="25"/>
      <c r="G795" s="25"/>
      <c r="H795" s="35"/>
      <c r="I795" s="35"/>
      <c r="J795" s="35"/>
      <c r="K795" s="35"/>
      <c r="L795" s="35"/>
      <c r="M795" s="35"/>
      <c r="N795" s="25"/>
    </row>
    <row r="796" spans="1:14" ht="20.100000000000001" customHeight="1" x14ac:dyDescent="0.25">
      <c r="A796" s="25" t="s">
        <v>555</v>
      </c>
      <c r="B796" s="25"/>
      <c r="C796" s="25"/>
      <c r="D796" s="210">
        <f>B793*B794/2</f>
        <v>263.23491240774717</v>
      </c>
      <c r="E796" s="25" t="s">
        <v>120</v>
      </c>
      <c r="F796" s="25"/>
      <c r="G796" s="25"/>
      <c r="H796" s="35"/>
      <c r="I796" s="35"/>
      <c r="J796" s="35"/>
      <c r="K796" s="35"/>
      <c r="L796" s="35"/>
      <c r="M796" s="35"/>
      <c r="N796" s="25"/>
    </row>
    <row r="797" spans="1:14" ht="20.100000000000001" customHeight="1" x14ac:dyDescent="0.25">
      <c r="A797" s="28" t="s">
        <v>255</v>
      </c>
      <c r="B797" s="25"/>
      <c r="C797" s="25"/>
      <c r="D797" s="25"/>
      <c r="E797" s="25"/>
      <c r="F797" s="25"/>
      <c r="G797" s="25"/>
      <c r="H797" s="35"/>
      <c r="I797" s="35"/>
      <c r="J797" s="35"/>
      <c r="K797" s="35"/>
      <c r="L797" s="35"/>
      <c r="M797" s="35"/>
      <c r="N797" s="25"/>
    </row>
    <row r="798" spans="1:14" ht="20.100000000000001" customHeight="1" x14ac:dyDescent="0.25">
      <c r="A798" s="25" t="s">
        <v>556</v>
      </c>
      <c r="B798" s="316">
        <f>K742</f>
        <v>28.84</v>
      </c>
      <c r="C798" s="25" t="s">
        <v>242</v>
      </c>
      <c r="D798" s="25"/>
      <c r="E798" s="25"/>
      <c r="F798" s="25"/>
      <c r="G798" s="25" t="s">
        <v>261</v>
      </c>
      <c r="H798" s="35"/>
      <c r="I798" s="35"/>
      <c r="J798" s="35"/>
      <c r="K798" s="35"/>
      <c r="L798" s="35"/>
      <c r="M798" s="35"/>
      <c r="N798" s="25"/>
    </row>
    <row r="799" spans="1:14" ht="20.100000000000001" customHeight="1" x14ac:dyDescent="0.25">
      <c r="A799" s="25" t="s">
        <v>254</v>
      </c>
      <c r="B799" s="190">
        <f>B733</f>
        <v>4</v>
      </c>
      <c r="C799" s="25" t="s">
        <v>5</v>
      </c>
      <c r="D799" s="25"/>
      <c r="E799" s="25"/>
      <c r="F799" s="25"/>
      <c r="G799" s="25"/>
      <c r="H799" s="35"/>
      <c r="I799" s="35"/>
      <c r="J799" s="35"/>
      <c r="K799" s="35"/>
      <c r="L799" s="35"/>
      <c r="M799" s="35"/>
      <c r="N799" s="25"/>
    </row>
    <row r="800" spans="1:14" ht="20.100000000000001" customHeight="1" x14ac:dyDescent="0.25">
      <c r="A800" s="25"/>
      <c r="B800" s="25"/>
      <c r="C800" s="25"/>
      <c r="D800" s="25"/>
      <c r="E800" s="25"/>
      <c r="F800" s="25"/>
      <c r="G800" s="25"/>
      <c r="H800" s="35"/>
      <c r="I800" s="35"/>
      <c r="J800" s="35"/>
      <c r="K800" s="35"/>
      <c r="L800" s="35"/>
      <c r="M800" s="35"/>
      <c r="N800" s="25"/>
    </row>
    <row r="801" spans="1:14" ht="20.100000000000001" customHeight="1" x14ac:dyDescent="0.25">
      <c r="A801" s="25" t="s">
        <v>557</v>
      </c>
      <c r="B801" s="25"/>
      <c r="C801" s="25"/>
      <c r="D801" s="313">
        <f>B798*(B799/2)^2/8</f>
        <v>14.42</v>
      </c>
      <c r="E801" s="25" t="s">
        <v>251</v>
      </c>
      <c r="F801" s="25"/>
      <c r="G801" s="25"/>
      <c r="H801" s="35"/>
      <c r="I801" s="35"/>
      <c r="J801" s="35"/>
      <c r="K801" s="35"/>
      <c r="L801" s="35"/>
      <c r="M801" s="35"/>
      <c r="N801" s="25"/>
    </row>
    <row r="802" spans="1:14" ht="20.100000000000001" customHeight="1" x14ac:dyDescent="0.25">
      <c r="A802" s="25" t="s">
        <v>559</v>
      </c>
      <c r="B802" s="25"/>
      <c r="C802" s="25"/>
      <c r="D802" s="25"/>
      <c r="E802" s="313">
        <f>(B798*B799/4)-(2*D801/B799)</f>
        <v>21.63</v>
      </c>
      <c r="F802" s="25" t="s">
        <v>120</v>
      </c>
      <c r="G802" s="25"/>
      <c r="H802" s="35"/>
      <c r="I802" s="35"/>
      <c r="J802" s="35"/>
      <c r="K802" s="35"/>
      <c r="L802" s="35"/>
      <c r="M802" s="35"/>
      <c r="N802" s="25"/>
    </row>
    <row r="803" spans="1:14" ht="20.100000000000001" customHeight="1" x14ac:dyDescent="0.25">
      <c r="A803" s="25" t="s">
        <v>560</v>
      </c>
      <c r="B803" s="25"/>
      <c r="C803" s="25"/>
      <c r="D803" s="25"/>
      <c r="E803" s="313">
        <f>((B798*B799/4)+(2*D801/B799))*2</f>
        <v>72.099999999999994</v>
      </c>
      <c r="F803" s="25" t="s">
        <v>561</v>
      </c>
      <c r="G803" s="12"/>
      <c r="H803" s="35"/>
      <c r="I803" s="35"/>
      <c r="J803" s="35"/>
      <c r="K803" s="35"/>
      <c r="L803" s="35"/>
      <c r="M803" s="35"/>
      <c r="N803" s="25"/>
    </row>
    <row r="804" spans="1:14" ht="20.100000000000001" customHeight="1" x14ac:dyDescent="0.25">
      <c r="A804" s="25"/>
      <c r="B804" s="25"/>
      <c r="C804" s="25"/>
      <c r="D804" s="25"/>
      <c r="E804" s="25"/>
      <c r="F804" s="25"/>
      <c r="G804" s="12"/>
      <c r="H804" s="35"/>
      <c r="I804" s="35"/>
      <c r="J804" s="35"/>
      <c r="K804" s="35"/>
      <c r="L804" s="35"/>
      <c r="M804" s="35"/>
      <c r="N804" s="25"/>
    </row>
    <row r="805" spans="1:14" ht="20.100000000000001" customHeight="1" x14ac:dyDescent="0.25">
      <c r="A805" s="25"/>
      <c r="B805" s="25"/>
      <c r="C805" s="25"/>
      <c r="D805" s="25"/>
      <c r="E805" s="25"/>
      <c r="F805" s="25"/>
      <c r="G805" s="12"/>
      <c r="H805" s="35"/>
      <c r="I805" s="35"/>
      <c r="J805" s="35"/>
      <c r="K805" s="35"/>
      <c r="L805" s="35"/>
      <c r="M805" s="35"/>
      <c r="N805" s="25"/>
    </row>
    <row r="806" spans="1:14" ht="20.100000000000001" customHeight="1" x14ac:dyDescent="0.25">
      <c r="A806" s="25" t="s">
        <v>1017</v>
      </c>
      <c r="B806" s="25"/>
      <c r="C806" s="25"/>
      <c r="D806" s="25"/>
      <c r="E806" s="25"/>
      <c r="F806" s="25"/>
      <c r="G806" s="12"/>
      <c r="H806" s="35"/>
      <c r="I806" s="35"/>
      <c r="J806" s="35"/>
      <c r="K806" s="35"/>
      <c r="L806" s="35"/>
      <c r="M806" s="35"/>
      <c r="N806" s="25"/>
    </row>
    <row r="807" spans="1:14" ht="20.100000000000001" customHeight="1" x14ac:dyDescent="0.25">
      <c r="A807" s="25" t="s">
        <v>1018</v>
      </c>
      <c r="B807" s="25"/>
      <c r="C807" s="25"/>
      <c r="D807" s="25"/>
      <c r="E807" s="25"/>
      <c r="F807" s="25"/>
      <c r="G807" s="12"/>
      <c r="H807" s="35"/>
      <c r="I807" s="35"/>
      <c r="J807" s="35"/>
      <c r="K807" s="35"/>
      <c r="L807" s="35"/>
      <c r="M807" s="35"/>
      <c r="N807" s="25"/>
    </row>
    <row r="808" spans="1:14" ht="20.100000000000001" customHeight="1" x14ac:dyDescent="0.25">
      <c r="A808" s="25" t="s">
        <v>1019</v>
      </c>
      <c r="B808" s="25"/>
      <c r="C808" s="25"/>
      <c r="D808" s="25"/>
      <c r="E808" s="25"/>
      <c r="F808" s="25"/>
      <c r="G808" s="12"/>
      <c r="H808" s="35"/>
      <c r="I808" s="35"/>
      <c r="J808" s="35"/>
      <c r="K808" s="35"/>
      <c r="L808" s="35"/>
      <c r="M808" s="35"/>
      <c r="N808" s="25"/>
    </row>
    <row r="809" spans="1:14" ht="20.100000000000001" customHeight="1" x14ac:dyDescent="0.25">
      <c r="A809" s="28" t="s">
        <v>165</v>
      </c>
      <c r="B809" s="25"/>
      <c r="C809" s="25"/>
      <c r="D809" s="25"/>
      <c r="E809" s="25"/>
      <c r="F809" s="25"/>
      <c r="G809" s="25"/>
      <c r="H809" s="35"/>
      <c r="I809" s="35"/>
      <c r="J809" s="35"/>
      <c r="K809" s="35"/>
      <c r="L809" s="35"/>
      <c r="M809" s="35"/>
      <c r="N809" s="25"/>
    </row>
    <row r="810" spans="1:14" ht="20.100000000000001" customHeight="1" x14ac:dyDescent="0.25">
      <c r="A810" s="25" t="s">
        <v>166</v>
      </c>
      <c r="B810" s="25"/>
      <c r="C810" s="25"/>
      <c r="D810" s="317" t="s">
        <v>638</v>
      </c>
      <c r="E810" s="316">
        <f>C774/C775</f>
        <v>5.625</v>
      </c>
      <c r="F810" s="25"/>
      <c r="G810" s="25"/>
      <c r="H810" s="35"/>
      <c r="I810" s="35"/>
      <c r="J810" s="35"/>
      <c r="K810" s="35"/>
      <c r="L810" s="35"/>
      <c r="M810" s="35"/>
      <c r="N810" s="25"/>
    </row>
    <row r="811" spans="1:14" ht="20.100000000000001" customHeight="1" x14ac:dyDescent="0.25">
      <c r="A811" s="25"/>
      <c r="B811" s="25" t="s">
        <v>558</v>
      </c>
      <c r="C811" s="25"/>
      <c r="D811" s="25"/>
      <c r="E811" s="191">
        <f>0.38*SQRT(B776/B777)</f>
        <v>11.085739353839987</v>
      </c>
      <c r="F811" s="25"/>
      <c r="G811" s="28" t="str">
        <f>IF(E810&lt;E811,"si b/2t &lt; Sección Compacta","si b/2t &gt;Sección No compacta")</f>
        <v>si b/2t &lt; Sección Compacta</v>
      </c>
      <c r="H811" s="35"/>
      <c r="I811" s="35"/>
      <c r="J811" s="35"/>
      <c r="K811" s="35"/>
      <c r="L811" s="35"/>
      <c r="M811" s="35"/>
      <c r="N811" s="25"/>
    </row>
    <row r="812" spans="1:14" ht="20.100000000000001" customHeight="1" x14ac:dyDescent="0.25">
      <c r="A812" s="25"/>
      <c r="B812" s="25"/>
      <c r="C812" s="25"/>
      <c r="D812" s="25"/>
      <c r="E812" s="191"/>
      <c r="F812" s="25"/>
      <c r="G812" s="28"/>
      <c r="H812" s="35"/>
      <c r="I812" s="35"/>
      <c r="J812" s="35"/>
      <c r="K812" s="35"/>
      <c r="L812" s="35"/>
      <c r="M812" s="35"/>
      <c r="N812" s="25"/>
    </row>
    <row r="813" spans="1:14" ht="20.100000000000001" customHeight="1" x14ac:dyDescent="0.25">
      <c r="A813" s="4" t="s">
        <v>1020</v>
      </c>
      <c r="B813" s="25"/>
      <c r="C813" s="25"/>
      <c r="D813" s="25"/>
      <c r="E813" s="25"/>
      <c r="F813" s="25"/>
      <c r="G813" s="25"/>
      <c r="H813" s="35"/>
      <c r="I813" s="35"/>
      <c r="J813" s="35"/>
      <c r="K813" s="35"/>
      <c r="L813" s="35"/>
      <c r="M813" s="35"/>
      <c r="N813" s="25"/>
    </row>
    <row r="814" spans="1:14" ht="20.100000000000001" customHeight="1" x14ac:dyDescent="0.25">
      <c r="A814" s="4"/>
      <c r="B814" s="25"/>
      <c r="C814" s="25"/>
      <c r="D814" s="25"/>
      <c r="E814" s="25"/>
      <c r="F814" s="25"/>
      <c r="G814" s="25"/>
      <c r="H814" s="35"/>
      <c r="I814" s="35"/>
      <c r="J814" s="35"/>
      <c r="K814" s="35"/>
      <c r="L814" s="35"/>
      <c r="M814" s="35"/>
      <c r="N814" s="25"/>
    </row>
    <row r="815" spans="1:14" ht="20.100000000000001" customHeight="1" x14ac:dyDescent="0.25">
      <c r="A815" s="492" t="s">
        <v>1021</v>
      </c>
      <c r="B815" s="25"/>
      <c r="C815" s="25"/>
      <c r="D815" s="25"/>
      <c r="E815" s="25"/>
      <c r="F815" s="435" t="s">
        <v>1022</v>
      </c>
      <c r="G815" s="25"/>
      <c r="H815" s="35"/>
      <c r="I815" s="35"/>
      <c r="J815" s="35"/>
      <c r="K815" s="35"/>
      <c r="L815" s="35"/>
      <c r="M815" s="35"/>
      <c r="N815" s="25"/>
    </row>
    <row r="816" spans="1:14" ht="20.100000000000001" customHeight="1" x14ac:dyDescent="0.25">
      <c r="A816" s="492" t="s">
        <v>1023</v>
      </c>
      <c r="B816" s="25"/>
      <c r="C816" s="25"/>
      <c r="D816" s="25"/>
      <c r="E816" s="25"/>
      <c r="F816" s="25"/>
      <c r="G816" s="25"/>
      <c r="H816" s="35"/>
      <c r="I816" s="35"/>
      <c r="J816" s="35"/>
      <c r="K816" s="35"/>
      <c r="L816" s="35"/>
      <c r="M816" s="35"/>
      <c r="N816" s="25"/>
    </row>
    <row r="817" spans="1:15" ht="20.100000000000001" customHeight="1" x14ac:dyDescent="0.25">
      <c r="A817" s="28" t="s">
        <v>1036</v>
      </c>
      <c r="B817" s="25"/>
      <c r="C817" s="25"/>
      <c r="D817" s="25"/>
      <c r="E817" s="25"/>
      <c r="F817" s="25"/>
      <c r="G817" s="25"/>
      <c r="H817" s="35"/>
      <c r="I817" s="35"/>
      <c r="J817" s="35"/>
      <c r="K817" s="35"/>
      <c r="L817" s="35"/>
      <c r="M817" s="35"/>
      <c r="N817" s="25"/>
    </row>
    <row r="818" spans="1:15" ht="20.100000000000001" customHeight="1" x14ac:dyDescent="0.25">
      <c r="A818" s="4"/>
      <c r="B818" s="25"/>
      <c r="C818" s="25"/>
      <c r="D818" s="25"/>
      <c r="E818" s="25"/>
      <c r="F818" s="25"/>
      <c r="G818" s="25"/>
      <c r="H818" s="35"/>
      <c r="I818" s="35"/>
      <c r="J818" s="35"/>
      <c r="K818" s="35"/>
      <c r="L818" s="35"/>
      <c r="M818" s="35"/>
      <c r="N818" s="25"/>
    </row>
    <row r="819" spans="1:15" ht="20.100000000000001" customHeight="1" x14ac:dyDescent="0.25">
      <c r="A819" s="4"/>
      <c r="B819" s="25" t="s">
        <v>1024</v>
      </c>
      <c r="C819" s="25"/>
      <c r="D819" s="25"/>
      <c r="E819" s="25"/>
      <c r="F819" s="25"/>
      <c r="G819" s="25"/>
      <c r="H819" s="35"/>
      <c r="I819" s="35"/>
      <c r="J819" s="35"/>
      <c r="K819" s="35"/>
      <c r="L819" s="35"/>
      <c r="M819" s="35"/>
      <c r="N819" s="25"/>
    </row>
    <row r="820" spans="1:15" ht="20.100000000000001" customHeight="1" x14ac:dyDescent="0.25">
      <c r="A820" s="4"/>
      <c r="B820" s="25" t="s">
        <v>996</v>
      </c>
      <c r="C820" s="25"/>
      <c r="D820" s="25"/>
      <c r="E820" s="25"/>
      <c r="F820" s="25"/>
      <c r="G820" s="25"/>
      <c r="H820" s="35"/>
      <c r="I820" s="35"/>
      <c r="J820" s="35"/>
      <c r="K820" s="35"/>
      <c r="L820" s="35"/>
      <c r="M820" s="35"/>
      <c r="N820" s="25"/>
    </row>
    <row r="821" spans="1:15" ht="20.100000000000001" customHeight="1" x14ac:dyDescent="0.25">
      <c r="A821" s="4"/>
      <c r="B821" s="25" t="s">
        <v>1025</v>
      </c>
      <c r="C821" s="25"/>
      <c r="D821" s="25"/>
      <c r="E821" s="25"/>
      <c r="F821" s="25"/>
      <c r="G821" s="25"/>
      <c r="H821" s="35"/>
      <c r="I821" s="35"/>
      <c r="J821" s="35"/>
      <c r="K821" s="35"/>
      <c r="L821" s="35"/>
      <c r="M821" s="35"/>
      <c r="N821" s="25"/>
    </row>
    <row r="822" spans="1:15" ht="20.100000000000001" customHeight="1" x14ac:dyDescent="0.25">
      <c r="A822" s="4"/>
      <c r="B822" s="25" t="s">
        <v>1026</v>
      </c>
      <c r="C822" s="25"/>
      <c r="D822" s="25"/>
      <c r="E822" s="25"/>
      <c r="F822" s="25" t="s">
        <v>1027</v>
      </c>
      <c r="G822" s="25"/>
      <c r="H822" s="35"/>
      <c r="I822" s="35"/>
      <c r="J822" s="35"/>
      <c r="K822" s="35"/>
      <c r="L822" s="35"/>
      <c r="M822" s="35"/>
      <c r="N822" s="25"/>
    </row>
    <row r="823" spans="1:15" ht="20.100000000000001" customHeight="1" x14ac:dyDescent="0.25">
      <c r="A823" s="492" t="s">
        <v>1028</v>
      </c>
      <c r="B823" s="25"/>
      <c r="C823" s="25"/>
      <c r="D823" s="25"/>
      <c r="E823" s="25"/>
      <c r="F823" s="25"/>
      <c r="G823" s="25"/>
      <c r="H823" s="35"/>
      <c r="I823" s="35"/>
      <c r="J823" s="35"/>
      <c r="K823" s="35"/>
      <c r="L823" s="35"/>
      <c r="M823" s="35"/>
      <c r="N823" s="25"/>
    </row>
    <row r="824" spans="1:15" ht="20.100000000000001" customHeight="1" x14ac:dyDescent="0.25">
      <c r="A824" s="4"/>
      <c r="B824" s="25"/>
      <c r="C824" s="25"/>
      <c r="D824" s="123" t="s">
        <v>1029</v>
      </c>
      <c r="E824" s="124"/>
      <c r="F824" s="25"/>
      <c r="G824" s="25"/>
      <c r="H824" s="35"/>
      <c r="I824" s="35"/>
      <c r="J824" s="35"/>
      <c r="K824" s="35"/>
      <c r="L824" s="35"/>
      <c r="M824" s="35"/>
      <c r="N824" s="25"/>
    </row>
    <row r="825" spans="1:15" ht="20.100000000000001" customHeight="1" x14ac:dyDescent="0.25">
      <c r="A825" s="4"/>
      <c r="B825" s="25"/>
      <c r="C825" s="25"/>
      <c r="D825" s="25" t="s">
        <v>1030</v>
      </c>
      <c r="E825" s="25" t="s">
        <v>1031</v>
      </c>
      <c r="F825" s="25"/>
      <c r="G825" s="25"/>
      <c r="H825" s="35"/>
      <c r="I825" s="35"/>
      <c r="J825" s="35"/>
      <c r="K825" s="35"/>
      <c r="L825" s="35"/>
      <c r="M825" s="35"/>
      <c r="N825" s="25"/>
    </row>
    <row r="826" spans="1:15" ht="20.100000000000001" customHeight="1" x14ac:dyDescent="0.25">
      <c r="A826" s="4"/>
      <c r="B826" s="25"/>
      <c r="C826" s="25"/>
      <c r="D826" s="25" t="s">
        <v>1032</v>
      </c>
      <c r="E826" s="25"/>
      <c r="F826" s="25"/>
      <c r="G826" s="25"/>
      <c r="H826" s="493" t="s">
        <v>1033</v>
      </c>
      <c r="I826" s="494"/>
      <c r="J826" s="494"/>
      <c r="K826" s="494"/>
      <c r="L826" s="494" t="s">
        <v>1034</v>
      </c>
      <c r="M826" s="494"/>
      <c r="N826" s="124"/>
      <c r="O826" s="2" t="s">
        <v>1035</v>
      </c>
    </row>
    <row r="827" spans="1:15" ht="20.100000000000001" customHeight="1" x14ac:dyDescent="0.25">
      <c r="A827" s="4"/>
      <c r="B827" s="25"/>
      <c r="C827" s="25"/>
      <c r="D827" s="25"/>
      <c r="E827" s="25"/>
      <c r="F827" s="25"/>
      <c r="G827" s="25"/>
      <c r="H827" s="35"/>
      <c r="I827" s="35"/>
      <c r="J827" s="35"/>
      <c r="K827" s="35"/>
      <c r="L827" s="35"/>
      <c r="M827" s="35"/>
      <c r="N827" s="25"/>
    </row>
    <row r="828" spans="1:15" ht="20.100000000000001" customHeight="1" x14ac:dyDescent="0.25">
      <c r="A828" s="28" t="s">
        <v>1037</v>
      </c>
      <c r="B828" s="25"/>
      <c r="C828" s="25"/>
      <c r="D828" s="25"/>
      <c r="E828" s="25"/>
      <c r="F828" s="25"/>
      <c r="G828" s="25"/>
      <c r="H828" s="35"/>
      <c r="I828" s="35"/>
      <c r="J828" s="35"/>
      <c r="K828" s="35"/>
      <c r="L828" s="35"/>
      <c r="M828" s="35"/>
      <c r="N828" s="25"/>
    </row>
    <row r="829" spans="1:15" ht="20.100000000000001" customHeight="1" x14ac:dyDescent="0.25">
      <c r="A829" s="488" t="s">
        <v>1038</v>
      </c>
      <c r="B829" s="25"/>
      <c r="C829" s="25"/>
      <c r="D829" s="25"/>
      <c r="E829" s="25"/>
      <c r="F829" s="25"/>
      <c r="G829" s="25"/>
      <c r="H829" s="35"/>
      <c r="I829" s="35"/>
      <c r="J829" s="35"/>
      <c r="K829" s="35"/>
      <c r="L829" s="35"/>
      <c r="M829" s="35"/>
      <c r="N829" s="25"/>
    </row>
    <row r="830" spans="1:15" ht="20.100000000000001" customHeight="1" x14ac:dyDescent="0.25">
      <c r="A830" s="4"/>
      <c r="B830" s="25"/>
      <c r="C830" s="25" t="s">
        <v>1039</v>
      </c>
      <c r="D830" s="25"/>
      <c r="E830" s="25"/>
      <c r="F830" s="25" t="s">
        <v>1040</v>
      </c>
      <c r="G830" s="25"/>
      <c r="H830" s="35"/>
      <c r="I830" s="35"/>
      <c r="J830" s="35"/>
      <c r="K830" s="35"/>
      <c r="L830" s="35"/>
      <c r="M830" s="35"/>
      <c r="N830" s="25"/>
    </row>
    <row r="831" spans="1:15" ht="20.100000000000001" customHeight="1" x14ac:dyDescent="0.25">
      <c r="A831" s="4"/>
      <c r="B831" s="25"/>
      <c r="C831" s="25"/>
      <c r="D831" s="25"/>
      <c r="E831" s="25"/>
      <c r="F831" s="25" t="s">
        <v>1041</v>
      </c>
      <c r="G831" s="25"/>
      <c r="H831" s="35"/>
      <c r="I831" s="35"/>
      <c r="J831" s="35"/>
      <c r="K831" s="35"/>
      <c r="L831" s="35"/>
      <c r="M831" s="35"/>
      <c r="N831" s="25"/>
    </row>
    <row r="832" spans="1:15" ht="20.100000000000001" customHeight="1" x14ac:dyDescent="0.25">
      <c r="A832" s="4"/>
      <c r="B832" s="25"/>
      <c r="C832" s="25"/>
      <c r="D832" s="25"/>
      <c r="E832" s="25"/>
      <c r="F832" s="25"/>
      <c r="G832" s="25"/>
      <c r="H832" s="35"/>
      <c r="I832" s="35"/>
      <c r="J832" s="35"/>
      <c r="K832" s="35"/>
      <c r="L832" s="35"/>
      <c r="M832" s="35"/>
      <c r="N832" s="25"/>
    </row>
    <row r="833" spans="1:14" ht="20.100000000000001" customHeight="1" x14ac:dyDescent="0.25">
      <c r="A833" s="4"/>
      <c r="B833" s="25"/>
      <c r="C833" s="25"/>
      <c r="D833" s="25"/>
      <c r="E833" s="25"/>
      <c r="F833" s="25"/>
      <c r="G833" s="25"/>
      <c r="H833" s="35"/>
      <c r="I833" s="35"/>
      <c r="J833" s="35"/>
      <c r="K833" s="35"/>
      <c r="L833" s="35"/>
      <c r="M833" s="35"/>
      <c r="N833" s="25"/>
    </row>
    <row r="834" spans="1:14" ht="20.100000000000001" customHeight="1" x14ac:dyDescent="0.25">
      <c r="A834" s="4"/>
      <c r="B834" s="25"/>
      <c r="C834" s="25"/>
      <c r="D834" s="25"/>
      <c r="E834" s="25"/>
      <c r="F834" s="25"/>
      <c r="G834" s="25"/>
      <c r="H834" s="35"/>
      <c r="I834" s="35"/>
      <c r="J834" s="35"/>
      <c r="K834" s="35"/>
      <c r="L834" s="35"/>
      <c r="M834" s="35"/>
      <c r="N834" s="25"/>
    </row>
    <row r="835" spans="1:14" ht="20.100000000000001" customHeight="1" x14ac:dyDescent="0.25">
      <c r="A835" s="4"/>
      <c r="B835" s="25"/>
      <c r="C835" s="25"/>
      <c r="D835" s="25"/>
      <c r="E835" s="25"/>
      <c r="F835" s="25"/>
      <c r="G835" s="25"/>
      <c r="H835" s="35"/>
      <c r="I835" s="35"/>
      <c r="J835" s="35"/>
      <c r="K835" s="35"/>
      <c r="L835" s="35"/>
      <c r="M835" s="35"/>
      <c r="N835" s="25"/>
    </row>
    <row r="836" spans="1:14" ht="20.100000000000001" customHeight="1" x14ac:dyDescent="0.25">
      <c r="A836" s="4"/>
      <c r="B836" s="25"/>
      <c r="C836" s="25"/>
      <c r="D836" s="25"/>
      <c r="E836" s="25"/>
      <c r="F836" s="25"/>
      <c r="G836" s="25"/>
      <c r="H836" s="35"/>
      <c r="I836" s="35"/>
      <c r="J836" s="35"/>
      <c r="K836" s="35"/>
      <c r="L836" s="35"/>
      <c r="M836" s="35"/>
      <c r="N836" s="25"/>
    </row>
    <row r="837" spans="1:14" ht="20.100000000000001" customHeight="1" x14ac:dyDescent="0.25">
      <c r="A837" s="4"/>
      <c r="B837" s="25"/>
      <c r="C837" s="25"/>
      <c r="D837" s="25"/>
      <c r="E837" s="25"/>
      <c r="F837" s="25"/>
      <c r="G837" s="25"/>
      <c r="H837" s="35"/>
      <c r="I837" s="35"/>
      <c r="J837" s="35"/>
      <c r="K837" s="35"/>
      <c r="L837" s="35"/>
      <c r="M837" s="35"/>
      <c r="N837" s="25"/>
    </row>
    <row r="838" spans="1:14" ht="20.100000000000001" customHeight="1" x14ac:dyDescent="0.25">
      <c r="A838" s="4"/>
      <c r="B838" s="25"/>
      <c r="C838" s="25"/>
      <c r="D838" s="25"/>
      <c r="E838" s="25"/>
      <c r="F838" s="25"/>
      <c r="G838" s="25"/>
      <c r="H838" s="35"/>
      <c r="I838" s="35"/>
      <c r="J838" s="35"/>
      <c r="K838" s="35"/>
      <c r="L838" s="35"/>
      <c r="M838" s="35"/>
      <c r="N838" s="25"/>
    </row>
    <row r="839" spans="1:14" ht="20.100000000000001" customHeight="1" x14ac:dyDescent="0.25">
      <c r="A839" s="4"/>
      <c r="B839" s="25"/>
      <c r="C839" s="25"/>
      <c r="D839" s="25"/>
      <c r="E839" s="25"/>
      <c r="F839" s="25"/>
      <c r="G839" s="25"/>
      <c r="H839" s="35"/>
      <c r="I839" s="35"/>
      <c r="J839" s="35"/>
      <c r="K839" s="35"/>
      <c r="L839" s="35"/>
      <c r="M839" s="35"/>
      <c r="N839" s="25"/>
    </row>
    <row r="840" spans="1:14" ht="20.100000000000001" customHeight="1" x14ac:dyDescent="0.25">
      <c r="A840" s="4"/>
      <c r="B840" s="25"/>
      <c r="C840" s="25"/>
      <c r="D840" s="25"/>
      <c r="E840" s="25"/>
      <c r="F840" s="25"/>
      <c r="G840" s="25"/>
      <c r="H840" s="35"/>
      <c r="I840" s="35"/>
      <c r="J840" s="35"/>
      <c r="K840" s="35"/>
      <c r="L840" s="35"/>
      <c r="M840" s="35"/>
      <c r="N840" s="25"/>
    </row>
    <row r="841" spans="1:14" ht="20.100000000000001" customHeight="1" x14ac:dyDescent="0.25">
      <c r="A841" s="4"/>
      <c r="B841" s="25"/>
      <c r="C841" s="25"/>
      <c r="D841" s="25"/>
      <c r="E841" s="25"/>
      <c r="F841" s="25"/>
      <c r="G841" s="25"/>
      <c r="H841" s="35"/>
      <c r="I841" s="35"/>
      <c r="J841" s="35"/>
      <c r="K841" s="35"/>
      <c r="L841" s="35"/>
      <c r="M841" s="35"/>
      <c r="N841" s="25"/>
    </row>
    <row r="842" spans="1:14" ht="20.100000000000001" customHeight="1" x14ac:dyDescent="0.25">
      <c r="A842" s="4"/>
      <c r="B842" s="25"/>
      <c r="C842" s="25"/>
      <c r="D842" s="25"/>
      <c r="E842" s="25"/>
      <c r="F842" s="25"/>
      <c r="G842" s="25"/>
      <c r="H842" s="35"/>
      <c r="I842" s="35"/>
      <c r="J842" s="35"/>
      <c r="K842" s="35"/>
      <c r="L842" s="35"/>
      <c r="M842" s="35"/>
      <c r="N842" s="25"/>
    </row>
    <row r="843" spans="1:14" ht="20.100000000000001" customHeight="1" x14ac:dyDescent="0.25">
      <c r="A843" s="4"/>
      <c r="B843" s="25"/>
      <c r="C843" s="25"/>
      <c r="D843" s="25"/>
      <c r="E843" s="25"/>
      <c r="F843" s="25"/>
      <c r="G843" s="25"/>
      <c r="H843" s="35"/>
      <c r="I843" s="35"/>
      <c r="J843" s="35"/>
      <c r="K843" s="35"/>
      <c r="L843" s="35"/>
      <c r="M843" s="35"/>
      <c r="N843" s="25"/>
    </row>
    <row r="844" spans="1:14" ht="20.100000000000001" customHeight="1" x14ac:dyDescent="0.25">
      <c r="A844" s="4"/>
      <c r="B844" s="25"/>
      <c r="C844" s="25"/>
      <c r="D844" s="25"/>
      <c r="E844" s="25"/>
      <c r="F844" s="25"/>
      <c r="G844" s="25"/>
      <c r="H844" s="35"/>
      <c r="I844" s="35"/>
      <c r="J844" s="35"/>
      <c r="K844" s="35"/>
      <c r="L844" s="35"/>
      <c r="M844" s="35"/>
      <c r="N844" s="25"/>
    </row>
    <row r="845" spans="1:14" ht="20.100000000000001" customHeight="1" x14ac:dyDescent="0.25">
      <c r="A845" s="28" t="s">
        <v>170</v>
      </c>
      <c r="B845" s="25"/>
      <c r="C845" s="25"/>
      <c r="D845" s="25"/>
      <c r="E845" s="25"/>
      <c r="F845" s="483" t="s">
        <v>645</v>
      </c>
      <c r="G845" s="25"/>
      <c r="H845" s="35"/>
      <c r="I845" s="35"/>
      <c r="J845" s="35"/>
      <c r="K845" s="35"/>
      <c r="L845" s="35"/>
      <c r="M845" s="35"/>
      <c r="N845" s="25"/>
    </row>
    <row r="846" spans="1:14" ht="20.100000000000001" customHeight="1" x14ac:dyDescent="0.25">
      <c r="A846" s="25" t="s">
        <v>448</v>
      </c>
      <c r="B846" s="25"/>
      <c r="C846" s="25"/>
      <c r="D846" s="25"/>
      <c r="E846" s="25"/>
      <c r="F846" s="25"/>
      <c r="G846" s="25"/>
      <c r="H846" s="35"/>
      <c r="I846" s="35"/>
      <c r="J846" s="35"/>
      <c r="K846" s="35"/>
      <c r="L846" s="35"/>
      <c r="M846" s="35"/>
      <c r="N846" s="25"/>
    </row>
    <row r="847" spans="1:14" ht="20.100000000000001" customHeight="1" x14ac:dyDescent="0.25">
      <c r="A847" s="25"/>
      <c r="B847" s="25"/>
      <c r="C847" s="25"/>
      <c r="D847" s="25"/>
      <c r="E847" s="25"/>
      <c r="F847" s="25"/>
      <c r="G847" s="25"/>
      <c r="H847" s="35"/>
      <c r="I847" s="35"/>
      <c r="J847" s="35"/>
      <c r="K847" s="35"/>
      <c r="L847" s="35"/>
      <c r="M847" s="35"/>
      <c r="N847" s="25"/>
    </row>
    <row r="848" spans="1:14" ht="20.100000000000001" customHeight="1" x14ac:dyDescent="0.25">
      <c r="A848" s="25" t="s">
        <v>449</v>
      </c>
      <c r="B848" s="25"/>
      <c r="C848" s="25"/>
      <c r="D848" s="25"/>
      <c r="E848" s="25"/>
      <c r="F848" s="25"/>
      <c r="G848" s="25"/>
      <c r="H848" s="35"/>
      <c r="I848" s="35"/>
      <c r="J848" s="35"/>
      <c r="K848" s="35"/>
      <c r="L848" s="35"/>
      <c r="M848" s="35"/>
      <c r="N848" s="25"/>
    </row>
    <row r="849" spans="1:14" ht="20.100000000000001" customHeight="1" x14ac:dyDescent="0.25">
      <c r="A849" s="25" t="s">
        <v>176</v>
      </c>
      <c r="B849" s="25"/>
      <c r="C849" s="25"/>
      <c r="D849" s="25"/>
      <c r="E849" s="25"/>
      <c r="F849" s="25"/>
      <c r="G849" s="25"/>
      <c r="H849" s="35"/>
      <c r="I849" s="35"/>
      <c r="J849" s="35"/>
      <c r="K849" s="35"/>
      <c r="L849" s="35"/>
      <c r="M849" s="35"/>
      <c r="N849" s="25"/>
    </row>
    <row r="850" spans="1:14" ht="20.100000000000001" customHeight="1" x14ac:dyDescent="0.25">
      <c r="B850" s="25" t="s">
        <v>640</v>
      </c>
      <c r="C850" s="191">
        <f>C772</f>
        <v>31.8</v>
      </c>
      <c r="D850" s="25" t="s">
        <v>418</v>
      </c>
      <c r="F850" s="25"/>
      <c r="G850" s="25"/>
      <c r="H850" s="35"/>
      <c r="I850" s="25" t="s">
        <v>256</v>
      </c>
      <c r="J850" s="50">
        <f>F777</f>
        <v>12.071688311688311</v>
      </c>
      <c r="K850" s="35" t="s">
        <v>418</v>
      </c>
      <c r="L850" s="35"/>
      <c r="M850" s="35"/>
      <c r="N850" s="25"/>
    </row>
    <row r="851" spans="1:14" ht="20.100000000000001" customHeight="1" x14ac:dyDescent="0.25">
      <c r="A851" s="25"/>
      <c r="B851" s="25" t="s">
        <v>171</v>
      </c>
      <c r="C851" s="191">
        <f>F773</f>
        <v>26.5</v>
      </c>
      <c r="D851" s="25" t="s">
        <v>418</v>
      </c>
      <c r="F851" s="25"/>
      <c r="G851" s="25"/>
      <c r="H851" s="35"/>
      <c r="I851" s="25" t="s">
        <v>641</v>
      </c>
      <c r="J851" s="192">
        <f>F774</f>
        <v>6.36</v>
      </c>
      <c r="K851" s="35" t="s">
        <v>418</v>
      </c>
      <c r="L851" s="35"/>
      <c r="M851" s="35"/>
      <c r="N851" s="25"/>
    </row>
    <row r="852" spans="1:14" ht="20.100000000000001" customHeight="1" x14ac:dyDescent="0.25">
      <c r="A852" s="25"/>
      <c r="B852" s="25"/>
      <c r="C852" s="25"/>
      <c r="D852" s="25"/>
      <c r="E852" s="25"/>
      <c r="F852" s="25"/>
      <c r="G852" s="25"/>
      <c r="H852" s="35"/>
      <c r="I852" s="192"/>
      <c r="J852" s="35"/>
      <c r="K852" s="35"/>
      <c r="L852" s="35"/>
      <c r="M852" s="35"/>
      <c r="N852" s="25"/>
    </row>
    <row r="853" spans="1:14" ht="20.100000000000001" customHeight="1" x14ac:dyDescent="0.25">
      <c r="A853" s="25"/>
      <c r="B853" s="25"/>
      <c r="C853" s="25" t="s">
        <v>644</v>
      </c>
      <c r="D853" s="25"/>
      <c r="E853" s="25"/>
      <c r="F853" s="190">
        <f>B777*C850/10^3</f>
        <v>7.4729999999999999</v>
      </c>
      <c r="G853" s="25" t="s">
        <v>179</v>
      </c>
      <c r="H853" s="35"/>
      <c r="I853" s="35"/>
      <c r="J853" s="35"/>
      <c r="K853" s="35"/>
      <c r="L853" s="35"/>
      <c r="M853" s="35"/>
      <c r="N853" s="25"/>
    </row>
    <row r="854" spans="1:14" ht="20.100000000000001" customHeight="1" x14ac:dyDescent="0.25">
      <c r="A854" s="25"/>
      <c r="B854" s="25"/>
      <c r="C854" s="214" t="s">
        <v>646</v>
      </c>
      <c r="D854" s="214"/>
      <c r="E854" s="214"/>
      <c r="F854" s="285">
        <f>B777*C851/10^3</f>
        <v>6.2275</v>
      </c>
      <c r="G854" s="261" t="s">
        <v>179</v>
      </c>
      <c r="H854" s="35"/>
      <c r="I854" s="35"/>
      <c r="J854" s="35"/>
      <c r="K854" s="35"/>
      <c r="L854" s="35"/>
      <c r="M854" s="35"/>
      <c r="N854" s="25"/>
    </row>
    <row r="855" spans="1:14" ht="20.100000000000001" customHeight="1" x14ac:dyDescent="0.25">
      <c r="A855" s="25"/>
      <c r="B855" s="25"/>
      <c r="C855" s="25"/>
      <c r="D855" s="25" t="s">
        <v>642</v>
      </c>
      <c r="E855" s="25"/>
      <c r="F855" s="190">
        <f>F853/F854</f>
        <v>1.2</v>
      </c>
      <c r="G855" s="25"/>
      <c r="H855" s="35"/>
      <c r="I855" s="35" t="str">
        <f>IF(F853&lt;1.5*F854,"Mpx &lt; 1,5 Myx","Mpx&gt;1,5Myx")</f>
        <v>Mpx &lt; 1,5 Myx</v>
      </c>
      <c r="J855" s="35"/>
      <c r="K855" s="35"/>
      <c r="L855" s="21" t="str">
        <f>IF(C850&lt;1.5*C851,"Mnx = Mpx","Mnx=1,5 Mx")</f>
        <v>Mnx = Mpx</v>
      </c>
      <c r="M855" s="35"/>
      <c r="N855" s="25"/>
    </row>
    <row r="856" spans="1:14" ht="20.100000000000001" customHeight="1" x14ac:dyDescent="0.25">
      <c r="A856" s="25"/>
      <c r="B856" s="25"/>
      <c r="C856" s="25"/>
      <c r="D856" s="25"/>
      <c r="E856" s="25"/>
      <c r="F856" s="25"/>
      <c r="G856" s="25"/>
      <c r="H856" s="35"/>
      <c r="I856" s="35"/>
      <c r="J856" s="35"/>
      <c r="K856" s="35"/>
      <c r="L856" s="35"/>
      <c r="M856" s="35"/>
      <c r="N856" s="25"/>
    </row>
    <row r="857" spans="1:14" ht="20.100000000000001" customHeight="1" x14ac:dyDescent="0.25">
      <c r="A857" s="25"/>
      <c r="B857" s="25"/>
      <c r="C857" s="25" t="s">
        <v>453</v>
      </c>
      <c r="D857" s="25"/>
      <c r="E857" s="25"/>
      <c r="F857" s="190">
        <f>B777*J850/10^3</f>
        <v>2.836846753246753</v>
      </c>
      <c r="G857" s="25" t="s">
        <v>179</v>
      </c>
      <c r="H857" s="35"/>
      <c r="I857" s="35"/>
      <c r="J857" s="35"/>
      <c r="K857" s="35"/>
      <c r="L857" s="35"/>
      <c r="M857" s="35"/>
      <c r="N857" s="25"/>
    </row>
    <row r="858" spans="1:14" ht="20.100000000000001" customHeight="1" x14ac:dyDescent="0.25">
      <c r="A858" s="25"/>
      <c r="B858" s="25"/>
      <c r="C858" s="214" t="s">
        <v>647</v>
      </c>
      <c r="D858" s="214"/>
      <c r="E858" s="214"/>
      <c r="F858" s="285">
        <f>B777*J851/10^3</f>
        <v>1.4946000000000002</v>
      </c>
      <c r="G858" s="214" t="s">
        <v>179</v>
      </c>
      <c r="H858" s="35"/>
      <c r="I858" s="35"/>
      <c r="J858" s="35"/>
      <c r="K858" s="35"/>
      <c r="L858" s="35"/>
      <c r="M858" s="35"/>
      <c r="N858" s="25"/>
    </row>
    <row r="859" spans="1:14" ht="20.100000000000001" customHeight="1" x14ac:dyDescent="0.25">
      <c r="A859" s="25"/>
      <c r="B859" s="25"/>
      <c r="C859" s="25"/>
      <c r="D859" s="25" t="s">
        <v>643</v>
      </c>
      <c r="E859" s="25"/>
      <c r="F859" s="190">
        <f>F857/F858</f>
        <v>1.898064199950992</v>
      </c>
      <c r="G859" s="25" t="s">
        <v>179</v>
      </c>
      <c r="H859" s="35"/>
      <c r="I859" s="35" t="str">
        <f>IF(F859&lt;1.5,"Mpyy &lt; 1,5 My","Mpy &gt;1,5 Myy")</f>
        <v>Mpy &gt;1,5 Myy</v>
      </c>
      <c r="J859" s="35"/>
      <c r="K859" s="35"/>
      <c r="L859" s="35" t="str">
        <f>IF(J850&lt;1.5*J851,"BC","Mny = 1,5 Myy")</f>
        <v>Mny = 1,5 Myy</v>
      </c>
      <c r="M859" s="35"/>
      <c r="N859" s="25"/>
    </row>
    <row r="860" spans="1:14" ht="20.100000000000001" customHeight="1" x14ac:dyDescent="0.25">
      <c r="A860" s="25"/>
      <c r="B860" s="25"/>
      <c r="C860" s="25"/>
      <c r="D860" s="25"/>
      <c r="E860" s="25"/>
      <c r="F860" s="25"/>
      <c r="G860" s="25"/>
      <c r="H860" s="35"/>
      <c r="I860" s="286" t="s">
        <v>648</v>
      </c>
      <c r="J860" s="35"/>
      <c r="K860" s="35"/>
      <c r="L860" s="35"/>
      <c r="M860" s="35"/>
      <c r="N860" s="25"/>
    </row>
    <row r="861" spans="1:14" ht="20.100000000000001" customHeight="1" x14ac:dyDescent="0.25">
      <c r="A861" s="483" t="s">
        <v>649</v>
      </c>
      <c r="B861" s="25"/>
      <c r="C861" s="25"/>
      <c r="D861" s="25" t="s">
        <v>181</v>
      </c>
      <c r="E861" s="267">
        <f>F853</f>
        <v>7.4729999999999999</v>
      </c>
      <c r="F861" s="25" t="s">
        <v>179</v>
      </c>
      <c r="G861" s="25"/>
      <c r="H861" s="35"/>
      <c r="I861" s="35"/>
      <c r="J861" s="35"/>
      <c r="K861" s="35"/>
      <c r="L861" s="35"/>
      <c r="M861" s="35"/>
      <c r="N861" s="25"/>
    </row>
    <row r="862" spans="1:14" ht="20.100000000000001" customHeight="1" x14ac:dyDescent="0.25">
      <c r="A862" s="25"/>
      <c r="B862" s="25"/>
      <c r="C862" s="25"/>
      <c r="D862" s="25" t="s">
        <v>182</v>
      </c>
      <c r="E862" s="267">
        <f>F858*1.5</f>
        <v>2.2419000000000002</v>
      </c>
      <c r="F862" s="25" t="s">
        <v>179</v>
      </c>
      <c r="G862" s="25"/>
      <c r="H862" s="35"/>
      <c r="I862" s="35"/>
      <c r="J862" s="35"/>
      <c r="K862" s="35"/>
      <c r="L862" s="35"/>
      <c r="M862" s="35"/>
      <c r="N862" s="25"/>
    </row>
    <row r="863" spans="1:14" ht="20.100000000000001" customHeight="1" x14ac:dyDescent="0.25">
      <c r="A863" s="25"/>
      <c r="B863" s="25" t="s">
        <v>183</v>
      </c>
      <c r="C863" s="190">
        <f>C774/F772</f>
        <v>0.5625</v>
      </c>
      <c r="D863" s="25"/>
      <c r="E863" s="25" t="s">
        <v>454</v>
      </c>
      <c r="F863" s="25"/>
      <c r="G863" s="257">
        <v>1.6</v>
      </c>
      <c r="H863" s="35"/>
      <c r="I863" s="35"/>
      <c r="J863" s="35"/>
      <c r="K863" s="35"/>
      <c r="L863" s="35"/>
      <c r="M863" s="35"/>
      <c r="N863" s="25"/>
    </row>
    <row r="864" spans="1:14" ht="20.100000000000001" customHeight="1" x14ac:dyDescent="0.25">
      <c r="A864" s="25" t="s">
        <v>184</v>
      </c>
      <c r="B864" s="25"/>
      <c r="C864" s="25"/>
      <c r="D864" s="25"/>
      <c r="E864" s="25"/>
      <c r="F864" s="187" t="s">
        <v>17</v>
      </c>
      <c r="G864" s="25" t="s">
        <v>185</v>
      </c>
      <c r="H864" s="35"/>
      <c r="I864" s="274">
        <f>C863+0.4</f>
        <v>0.96250000000000002</v>
      </c>
      <c r="J864" s="35" t="s">
        <v>186</v>
      </c>
      <c r="K864" s="35"/>
      <c r="L864" s="314">
        <v>1</v>
      </c>
      <c r="N864" s="25"/>
    </row>
    <row r="865" spans="1:14" ht="20.100000000000001" customHeight="1" x14ac:dyDescent="0.25">
      <c r="A865" s="25"/>
      <c r="B865" s="25"/>
      <c r="C865" s="25"/>
      <c r="D865" s="25"/>
      <c r="E865" s="25"/>
      <c r="F865" s="25"/>
      <c r="G865" s="25"/>
      <c r="H865" s="35"/>
      <c r="I865" s="35"/>
      <c r="J865" s="35"/>
      <c r="K865" s="35"/>
      <c r="L865" s="35"/>
      <c r="M865" s="35"/>
      <c r="N865" s="25"/>
    </row>
    <row r="866" spans="1:14" ht="20.100000000000001" customHeight="1" x14ac:dyDescent="0.25">
      <c r="A866" s="25" t="s">
        <v>467</v>
      </c>
      <c r="B866" s="25"/>
      <c r="C866" s="25"/>
      <c r="D866" s="25"/>
      <c r="E866" s="25"/>
      <c r="F866" s="260"/>
      <c r="G866" s="25"/>
      <c r="H866" s="35"/>
      <c r="I866" s="35" t="s">
        <v>455</v>
      </c>
      <c r="J866" s="193">
        <v>0.9</v>
      </c>
      <c r="K866" s="35"/>
      <c r="L866" s="25" t="s">
        <v>259</v>
      </c>
      <c r="M866" s="39">
        <v>0</v>
      </c>
      <c r="N866" s="25"/>
    </row>
    <row r="867" spans="1:14" ht="20.100000000000001" customHeight="1" x14ac:dyDescent="0.25">
      <c r="A867" s="25" t="s">
        <v>187</v>
      </c>
      <c r="B867" s="25"/>
      <c r="C867" s="25"/>
      <c r="D867" s="25"/>
      <c r="E867" s="25"/>
      <c r="F867" s="25"/>
      <c r="G867" s="25"/>
      <c r="H867" s="35"/>
      <c r="I867" s="35"/>
      <c r="J867" s="35"/>
      <c r="K867" s="35"/>
      <c r="L867" s="35"/>
      <c r="M867" s="35"/>
      <c r="N867" s="25"/>
    </row>
    <row r="868" spans="1:14" ht="20.100000000000001" customHeight="1" x14ac:dyDescent="0.25">
      <c r="A868" s="25"/>
      <c r="B868" s="25"/>
      <c r="C868" s="25"/>
      <c r="D868" s="327">
        <f>(D795/(100*J866*E861))^G863</f>
        <v>0.2229305538096531</v>
      </c>
      <c r="E868" s="197" t="s">
        <v>188</v>
      </c>
      <c r="F868" s="327">
        <f>(D801)/(100*J866*E862)^G863</f>
        <v>2.9593154814196534E-3</v>
      </c>
      <c r="G868" s="197" t="s">
        <v>189</v>
      </c>
      <c r="H868" s="276">
        <f>D868+F868</f>
        <v>0.22588986929107274</v>
      </c>
      <c r="I868" s="35"/>
      <c r="J868" s="21" t="str">
        <f>IF(H868&lt;1,"&lt; 1 BC","&gt; 1 MC")</f>
        <v>&lt; 1 BC</v>
      </c>
      <c r="K868" s="35"/>
      <c r="L868" s="35"/>
      <c r="M868" s="35"/>
      <c r="N868" s="25"/>
    </row>
    <row r="869" spans="1:14" ht="20.100000000000001" customHeight="1" x14ac:dyDescent="0.25">
      <c r="A869" s="489" t="s">
        <v>190</v>
      </c>
      <c r="B869" s="25"/>
      <c r="C869" s="25"/>
      <c r="D869" s="25"/>
      <c r="E869" s="25"/>
      <c r="F869" s="25"/>
      <c r="G869" s="25"/>
      <c r="H869" s="35"/>
      <c r="I869" s="35"/>
      <c r="J869" s="35"/>
      <c r="K869" s="35"/>
      <c r="L869" s="35"/>
      <c r="M869" s="35"/>
      <c r="N869" s="25"/>
    </row>
    <row r="870" spans="1:14" ht="20.100000000000001" customHeight="1" x14ac:dyDescent="0.25">
      <c r="B870" s="25"/>
      <c r="C870" s="25"/>
      <c r="D870" s="25"/>
      <c r="E870" s="25" t="s">
        <v>652</v>
      </c>
      <c r="F870" s="25"/>
      <c r="G870" s="25"/>
      <c r="H870" s="25"/>
      <c r="I870" s="25">
        <f>(F772-2*C775)*F775</f>
        <v>3.84</v>
      </c>
      <c r="J870" s="25" t="s">
        <v>433</v>
      </c>
      <c r="K870" s="25"/>
      <c r="L870" s="286" t="s">
        <v>1042</v>
      </c>
      <c r="M870" s="35"/>
      <c r="N870" s="25"/>
    </row>
    <row r="871" spans="1:14" ht="20.100000000000001" customHeight="1" x14ac:dyDescent="0.25">
      <c r="E871" s="25"/>
      <c r="F871" s="25" t="s">
        <v>653</v>
      </c>
      <c r="G871" s="25"/>
      <c r="H871" s="25"/>
      <c r="I871" s="191">
        <f>(F772-2*C775)/F775</f>
        <v>10.666666666666668</v>
      </c>
      <c r="J871" s="28" t="str">
        <f>IF(I871&lt;260,"&lt; 260 BC","&gt; 260 MC")</f>
        <v>&lt; 260 BC</v>
      </c>
      <c r="K871" s="25"/>
      <c r="L871" s="35"/>
      <c r="M871" s="35"/>
      <c r="N871" s="25"/>
    </row>
    <row r="872" spans="1:14" ht="20.100000000000001" customHeight="1" x14ac:dyDescent="0.25">
      <c r="A872" s="25" t="s">
        <v>193</v>
      </c>
      <c r="B872" s="25"/>
      <c r="C872" s="25"/>
      <c r="D872" s="25"/>
      <c r="E872" s="25"/>
      <c r="F872" s="25"/>
      <c r="G872" s="25"/>
      <c r="H872" s="35"/>
      <c r="I872" s="35"/>
      <c r="J872" s="35"/>
      <c r="K872" s="35"/>
      <c r="L872" s="35"/>
      <c r="M872" s="35"/>
      <c r="N872" s="25"/>
    </row>
    <row r="873" spans="1:14" ht="20.100000000000001" customHeight="1" x14ac:dyDescent="0.25">
      <c r="A873" s="25" t="s">
        <v>654</v>
      </c>
      <c r="B873" s="25"/>
      <c r="C873" s="25"/>
      <c r="D873" s="313">
        <f>2.45*SQRT(B776/B777)</f>
        <v>71.47384583396834</v>
      </c>
      <c r="E873" s="25" t="str">
        <f>IF(D873&gt;I871,"&gt; hw/tw se aplica","&lt; hw/tw ver norma")</f>
        <v>&gt; hw/tw se aplica</v>
      </c>
      <c r="F873" s="25"/>
      <c r="G873" s="25"/>
      <c r="H873" s="35" t="s">
        <v>604</v>
      </c>
      <c r="I873" s="35"/>
      <c r="J873" s="35"/>
      <c r="K873" s="35"/>
      <c r="L873" s="259">
        <f>0.6*B777*I870/10</f>
        <v>54.143999999999991</v>
      </c>
      <c r="M873" s="35" t="s">
        <v>195</v>
      </c>
      <c r="N873" s="25"/>
    </row>
    <row r="874" spans="1:14" ht="20.100000000000001" customHeight="1" x14ac:dyDescent="0.25">
      <c r="A874" s="25" t="s">
        <v>655</v>
      </c>
      <c r="B874" s="25"/>
      <c r="C874" s="25"/>
      <c r="D874" s="313">
        <f>3.07*SQRT(B776/B777)</f>
        <v>89.56110477970725</v>
      </c>
      <c r="E874" s="25"/>
      <c r="F874" s="25"/>
      <c r="G874" s="25"/>
      <c r="H874" s="60"/>
      <c r="K874" s="35"/>
      <c r="L874" s="35"/>
      <c r="M874" s="35"/>
      <c r="N874" s="25"/>
    </row>
    <row r="875" spans="1:14" ht="20.100000000000001" customHeight="1" x14ac:dyDescent="0.25">
      <c r="A875" s="60" t="s">
        <v>458</v>
      </c>
      <c r="B875" s="44">
        <v>0.9</v>
      </c>
      <c r="C875" s="25"/>
      <c r="D875" s="25"/>
      <c r="E875" s="28" t="s">
        <v>1043</v>
      </c>
      <c r="F875" s="25"/>
      <c r="G875" s="25">
        <f>B875*L873</f>
        <v>48.729599999999991</v>
      </c>
      <c r="H875" s="25" t="s">
        <v>195</v>
      </c>
      <c r="I875" s="41" t="str">
        <f>IF(G875&gt;J875,"&gt;","&lt;")</f>
        <v>&gt;</v>
      </c>
      <c r="J875" s="192">
        <f>D796/100</f>
        <v>2.6323491240774719</v>
      </c>
      <c r="K875" s="35" t="s">
        <v>196</v>
      </c>
      <c r="L875" s="35">
        <f>J875*100</f>
        <v>263.23491240774717</v>
      </c>
      <c r="M875" s="35" t="s">
        <v>122</v>
      </c>
      <c r="N875" s="25"/>
    </row>
    <row r="876" spans="1:14" ht="20.100000000000001" customHeight="1" x14ac:dyDescent="0.25">
      <c r="A876" s="25"/>
      <c r="B876" s="25"/>
      <c r="C876" s="25"/>
      <c r="M876" s="35"/>
      <c r="N876" s="25"/>
    </row>
    <row r="877" spans="1:14" ht="20.100000000000001" customHeight="1" x14ac:dyDescent="0.25">
      <c r="A877" s="25" t="s">
        <v>197</v>
      </c>
      <c r="B877" s="25"/>
      <c r="C877" s="25"/>
      <c r="D877" s="25"/>
      <c r="E877" s="25"/>
      <c r="F877" s="25"/>
      <c r="G877" s="25"/>
      <c r="H877" s="286" t="s">
        <v>1044</v>
      </c>
      <c r="I877" s="35"/>
      <c r="J877" s="35"/>
      <c r="K877" s="35"/>
      <c r="L877" s="35"/>
      <c r="M877" s="35"/>
      <c r="N877" s="25"/>
    </row>
    <row r="878" spans="1:14" ht="20.100000000000001" customHeight="1" x14ac:dyDescent="0.25">
      <c r="A878" s="25" t="s">
        <v>459</v>
      </c>
      <c r="B878" s="25"/>
      <c r="C878" s="26">
        <v>150</v>
      </c>
      <c r="D878" s="25" t="s">
        <v>189</v>
      </c>
      <c r="E878" s="191">
        <f>B794*100/C878</f>
        <v>2.6666666666666665</v>
      </c>
      <c r="F878" s="25" t="s">
        <v>143</v>
      </c>
      <c r="G878" s="25"/>
      <c r="H878" s="60" t="s">
        <v>144</v>
      </c>
      <c r="I878" s="503">
        <f>B776*10/0.981</f>
        <v>2038735.9836901121</v>
      </c>
      <c r="J878" s="503"/>
      <c r="K878" s="35" t="s">
        <v>420</v>
      </c>
      <c r="L878" s="35"/>
      <c r="M878" s="35"/>
      <c r="N878" s="25"/>
    </row>
    <row r="879" spans="1:14" ht="20.100000000000001" customHeight="1" x14ac:dyDescent="0.25">
      <c r="A879" s="25" t="s">
        <v>460</v>
      </c>
      <c r="B879" s="25"/>
      <c r="C879" s="25"/>
      <c r="D879" s="25"/>
      <c r="E879" s="191">
        <f>(5*D795*100*(B799*100)^2)/(48*C771*I878)</f>
        <v>2.0301371782389932</v>
      </c>
      <c r="F879" s="25" t="s">
        <v>143</v>
      </c>
      <c r="G879" s="28" t="str">
        <f>IF(E879&lt;E878,"BC","MC")</f>
        <v>BC</v>
      </c>
      <c r="H879" s="35"/>
      <c r="I879" s="35"/>
      <c r="J879" s="35"/>
      <c r="K879" s="35"/>
      <c r="L879" s="35"/>
      <c r="M879" s="35"/>
      <c r="N879" s="25"/>
    </row>
    <row r="880" spans="1:14" ht="20.100000000000001" customHeight="1" x14ac:dyDescent="0.25">
      <c r="H880" s="35"/>
      <c r="I880" s="35"/>
      <c r="J880" s="35"/>
      <c r="K880" s="35"/>
      <c r="L880" s="35"/>
      <c r="M880" s="35"/>
      <c r="N880" s="25"/>
    </row>
    <row r="881" spans="1:30" ht="20.100000000000001" customHeight="1" x14ac:dyDescent="0.25">
      <c r="A881" s="25" t="s">
        <v>603</v>
      </c>
      <c r="B881" s="25"/>
      <c r="C881" s="25"/>
      <c r="D881" s="25"/>
      <c r="E881" s="25"/>
      <c r="F881" s="25"/>
      <c r="G881" s="25"/>
      <c r="H881" s="35"/>
      <c r="I881" s="35"/>
      <c r="J881" s="35"/>
      <c r="K881" s="35"/>
      <c r="L881" s="35"/>
      <c r="M881" s="35"/>
      <c r="N881" s="25"/>
    </row>
    <row r="882" spans="1:30" ht="20.100000000000001" customHeight="1" x14ac:dyDescent="0.25">
      <c r="A882" s="3"/>
      <c r="B882" s="14" t="s">
        <v>152</v>
      </c>
      <c r="C882" s="14"/>
      <c r="D882" s="188" t="s">
        <v>162</v>
      </c>
      <c r="E882" s="188" t="s">
        <v>389</v>
      </c>
      <c r="F882" s="188" t="s">
        <v>609</v>
      </c>
      <c r="G882" s="14" t="s">
        <v>608</v>
      </c>
      <c r="H882" s="291" t="s">
        <v>389</v>
      </c>
      <c r="I882" s="35" t="s">
        <v>605</v>
      </c>
      <c r="J882" s="35"/>
      <c r="K882" s="35"/>
    </row>
    <row r="883" spans="1:30" ht="20.100000000000001" customHeight="1" x14ac:dyDescent="0.25">
      <c r="A883" s="3"/>
      <c r="C883" s="14" t="s">
        <v>153</v>
      </c>
      <c r="D883" s="221">
        <f>D296</f>
        <v>42</v>
      </c>
      <c r="E883" s="227"/>
      <c r="F883" s="131"/>
      <c r="G883" s="14">
        <f>D883</f>
        <v>42</v>
      </c>
      <c r="H883" s="35"/>
      <c r="I883" s="35" t="s">
        <v>606</v>
      </c>
      <c r="J883" s="35"/>
      <c r="K883" s="35"/>
    </row>
    <row r="884" spans="1:30" ht="20.100000000000001" customHeight="1" x14ac:dyDescent="0.25">
      <c r="A884" s="3"/>
      <c r="C884" s="14" t="s">
        <v>154</v>
      </c>
      <c r="D884" s="223">
        <f>D297</f>
        <v>82.656000000000006</v>
      </c>
      <c r="E884" s="227"/>
      <c r="F884" s="131"/>
      <c r="G884" s="227">
        <f t="shared" ref="G884:G893" si="16">D884</f>
        <v>82.656000000000006</v>
      </c>
      <c r="H884" s="35"/>
      <c r="I884" s="35" t="s">
        <v>607</v>
      </c>
      <c r="J884" s="35"/>
      <c r="K884" s="35"/>
    </row>
    <row r="885" spans="1:30" ht="20.100000000000001" customHeight="1" x14ac:dyDescent="0.25">
      <c r="A885" s="3"/>
      <c r="C885" s="14"/>
      <c r="D885" s="221">
        <f>D298</f>
        <v>36</v>
      </c>
      <c r="E885" s="523" t="s">
        <v>388</v>
      </c>
      <c r="F885" s="524"/>
      <c r="G885" s="14">
        <f t="shared" si="16"/>
        <v>36</v>
      </c>
      <c r="I885" s="35"/>
      <c r="J885" s="35"/>
    </row>
    <row r="886" spans="1:30" ht="20.100000000000001" customHeight="1" x14ac:dyDescent="0.25">
      <c r="A886" s="3"/>
      <c r="C886" s="14" t="s">
        <v>155</v>
      </c>
      <c r="D886" s="223">
        <f>D299</f>
        <v>185.29920000000001</v>
      </c>
      <c r="E886" s="227"/>
      <c r="F886" s="131"/>
      <c r="G886" s="227">
        <f t="shared" si="16"/>
        <v>185.29920000000001</v>
      </c>
      <c r="H886" s="35"/>
      <c r="I886" s="35"/>
      <c r="J886" s="35"/>
    </row>
    <row r="887" spans="1:30" ht="20.100000000000001" customHeight="1" x14ac:dyDescent="0.25">
      <c r="A887" s="28" t="s">
        <v>601</v>
      </c>
      <c r="C887" s="14" t="s">
        <v>156</v>
      </c>
      <c r="D887" s="290"/>
      <c r="E887" s="222">
        <f>E300</f>
        <v>-127.62551912328425</v>
      </c>
      <c r="F887" s="131">
        <f>E887*M888</f>
        <v>-45.334851101393966</v>
      </c>
      <c r="G887" s="14">
        <f>E887*M887</f>
        <v>-119.30223974051046</v>
      </c>
      <c r="H887" s="293"/>
      <c r="I887" s="119" t="s">
        <v>394</v>
      </c>
      <c r="J887" s="50"/>
      <c r="K887" s="532" t="s">
        <v>396</v>
      </c>
      <c r="L887" s="532"/>
      <c r="M887" s="205">
        <f>L306</f>
        <v>0.93478358058834898</v>
      </c>
      <c r="N887" s="10"/>
    </row>
    <row r="888" spans="1:30" ht="20.100000000000001" customHeight="1" x14ac:dyDescent="0.25">
      <c r="A888" s="3"/>
      <c r="C888" s="14" t="s">
        <v>157</v>
      </c>
      <c r="D888" s="223">
        <f>D301</f>
        <v>82.656000000000006</v>
      </c>
      <c r="E888" s="227"/>
      <c r="F888" s="131"/>
      <c r="G888" s="227">
        <f t="shared" si="16"/>
        <v>82.656000000000006</v>
      </c>
      <c r="H888" s="35"/>
      <c r="I888" s="119" t="s">
        <v>395</v>
      </c>
      <c r="J888" s="50"/>
      <c r="K888" s="532" t="s">
        <v>397</v>
      </c>
      <c r="L888" s="532"/>
      <c r="M888" s="205">
        <f>L307</f>
        <v>0.35521776062357258</v>
      </c>
    </row>
    <row r="889" spans="1:30" ht="20.100000000000001" customHeight="1" x14ac:dyDescent="0.25">
      <c r="A889" s="3"/>
      <c r="C889" s="14" t="s">
        <v>158</v>
      </c>
      <c r="D889" s="292"/>
      <c r="E889" s="222">
        <f>E302</f>
        <v>-136.03857134857938</v>
      </c>
      <c r="F889" s="131">
        <f>E889*M888</f>
        <v>-48.323316672872473</v>
      </c>
      <c r="G889" s="14">
        <f>E889*M887</f>
        <v>-127.16662282334862</v>
      </c>
      <c r="H889" s="35"/>
      <c r="I889" s="35"/>
      <c r="J889" s="35"/>
    </row>
    <row r="890" spans="1:30" ht="20.100000000000001" customHeight="1" x14ac:dyDescent="0.25">
      <c r="A890" s="3"/>
      <c r="C890" s="14" t="s">
        <v>159</v>
      </c>
      <c r="D890" s="222">
        <f>D306</f>
        <v>95.318399999999997</v>
      </c>
      <c r="E890" s="227"/>
      <c r="F890" s="131"/>
      <c r="G890" s="227">
        <f t="shared" si="16"/>
        <v>95.318399999999997</v>
      </c>
      <c r="H890" s="35"/>
      <c r="I890" s="36" t="s">
        <v>610</v>
      </c>
      <c r="J890" s="35"/>
    </row>
    <row r="891" spans="1:30" ht="20.100000000000001" customHeight="1" x14ac:dyDescent="0.25">
      <c r="A891" s="3"/>
      <c r="C891" s="14"/>
      <c r="D891" s="292"/>
      <c r="E891" s="222">
        <f>E307</f>
        <v>-79.474977931992726</v>
      </c>
      <c r="F891" s="131">
        <f>E891*M888</f>
        <v>-28.230923686610303</v>
      </c>
      <c r="G891" s="14">
        <f>E891*M887</f>
        <v>-74.291904438448185</v>
      </c>
      <c r="H891" s="35"/>
      <c r="I891" s="187" t="s">
        <v>57</v>
      </c>
      <c r="J891" s="193">
        <v>1</v>
      </c>
      <c r="K891" s="35" t="s">
        <v>5</v>
      </c>
      <c r="L891" s="60" t="s">
        <v>118</v>
      </c>
      <c r="M891" s="204">
        <f>G15</f>
        <v>4</v>
      </c>
      <c r="N891" s="35" t="s">
        <v>5</v>
      </c>
    </row>
    <row r="892" spans="1:30" ht="20.100000000000001" customHeight="1" x14ac:dyDescent="0.25">
      <c r="A892" s="3"/>
      <c r="B892" s="219" t="s">
        <v>160</v>
      </c>
      <c r="C892" s="220"/>
      <c r="D892" s="292"/>
      <c r="E892" s="222">
        <f>E308</f>
        <v>-47.219432327099767</v>
      </c>
      <c r="F892" s="131">
        <f>E892*M888</f>
        <v>-16.773181009148711</v>
      </c>
      <c r="G892" s="14">
        <f>E892*M888</f>
        <v>-16.773181009148711</v>
      </c>
      <c r="H892" s="35"/>
      <c r="I892" s="35"/>
      <c r="J892" s="35"/>
    </row>
    <row r="893" spans="1:30" ht="20.100000000000001" customHeight="1" x14ac:dyDescent="0.25">
      <c r="A893" s="3"/>
      <c r="B893" s="294" t="s">
        <v>161</v>
      </c>
      <c r="C893" s="295"/>
      <c r="D893" s="230">
        <f>D309</f>
        <v>85.987200000000001</v>
      </c>
      <c r="E893" s="231"/>
      <c r="F893" s="131"/>
      <c r="G893" s="227">
        <f t="shared" si="16"/>
        <v>85.987200000000001</v>
      </c>
    </row>
    <row r="894" spans="1:30" ht="20.100000000000001" customHeight="1" x14ac:dyDescent="0.25">
      <c r="A894" s="3"/>
      <c r="B894" s="296" t="s">
        <v>404</v>
      </c>
      <c r="C894" s="297"/>
      <c r="D894" s="298"/>
      <c r="E894" s="299"/>
      <c r="F894" s="299"/>
      <c r="G894" s="300">
        <f>MAX(G883:G893)</f>
        <v>185.29920000000001</v>
      </c>
      <c r="K894" s="137">
        <f>G894*J891*M891</f>
        <v>741.19680000000005</v>
      </c>
      <c r="L894" s="21" t="s">
        <v>122</v>
      </c>
    </row>
    <row r="895" spans="1:30" ht="20.100000000000001" customHeight="1" x14ac:dyDescent="0.25">
      <c r="A895" s="3"/>
      <c r="B895" s="301" t="s">
        <v>405</v>
      </c>
      <c r="C895" s="302"/>
      <c r="D895" s="303"/>
      <c r="E895" s="304"/>
      <c r="F895" s="304"/>
      <c r="G895" s="305">
        <f>MIN(G883:G893)</f>
        <v>-127.16662282334862</v>
      </c>
      <c r="H895" s="28" t="s">
        <v>601</v>
      </c>
      <c r="I895" s="35"/>
      <c r="J895" s="35"/>
      <c r="K895" s="137">
        <f>G895*J891*M891</f>
        <v>-508.66649129339447</v>
      </c>
      <c r="L895" s="21" t="s">
        <v>122</v>
      </c>
      <c r="AD895" s="25"/>
    </row>
    <row r="896" spans="1:30" ht="20.100000000000001" customHeight="1" x14ac:dyDescent="0.25">
      <c r="A896" s="3"/>
      <c r="F896" s="131"/>
      <c r="G896" s="25"/>
      <c r="H896" s="35"/>
      <c r="I896" s="35"/>
      <c r="J896" s="35"/>
      <c r="AD896" s="25"/>
    </row>
    <row r="897" spans="1:30" ht="20.100000000000001" customHeight="1" x14ac:dyDescent="0.25">
      <c r="F897" s="131"/>
      <c r="AD897" s="25"/>
    </row>
    <row r="898" spans="1:30" ht="20.100000000000001" customHeight="1" x14ac:dyDescent="0.25">
      <c r="A898" s="3"/>
      <c r="F898" s="131"/>
      <c r="AD898" s="25"/>
    </row>
    <row r="899" spans="1:30" ht="20.100000000000001" customHeight="1" x14ac:dyDescent="0.25">
      <c r="A899" s="28" t="s">
        <v>262</v>
      </c>
      <c r="B899" s="25"/>
      <c r="C899" s="25"/>
      <c r="D899" s="25"/>
      <c r="E899" s="25"/>
      <c r="F899" s="25"/>
      <c r="G899" s="25"/>
      <c r="H899" s="192"/>
      <c r="I899" s="35"/>
      <c r="J899" s="35"/>
      <c r="K899" s="35"/>
      <c r="L899" s="35"/>
      <c r="M899" s="35"/>
      <c r="N899" s="25"/>
    </row>
    <row r="900" spans="1:30" ht="20.100000000000001" customHeight="1" x14ac:dyDescent="0.25">
      <c r="A900" s="25" t="s">
        <v>658</v>
      </c>
      <c r="B900" s="25"/>
      <c r="C900" s="25"/>
      <c r="D900" s="25"/>
      <c r="E900" s="25"/>
      <c r="F900" s="25"/>
      <c r="G900" s="25"/>
      <c r="H900" s="35"/>
      <c r="I900" s="25"/>
      <c r="J900" s="35"/>
      <c r="K900" s="35"/>
      <c r="L900" s="35"/>
      <c r="M900" s="35"/>
      <c r="N900" s="25"/>
    </row>
    <row r="901" spans="1:30" ht="20.100000000000001" customHeight="1" x14ac:dyDescent="0.25">
      <c r="A901" s="28" t="s">
        <v>772</v>
      </c>
      <c r="B901" s="25"/>
      <c r="C901" s="25"/>
      <c r="D901" s="25"/>
      <c r="E901" s="25"/>
      <c r="F901" s="25"/>
      <c r="G901" s="25"/>
      <c r="H901" s="35"/>
      <c r="I901" s="25"/>
      <c r="J901" s="35"/>
      <c r="K901" s="35"/>
      <c r="L901" s="35"/>
      <c r="M901" s="35"/>
      <c r="N901" s="25"/>
    </row>
    <row r="902" spans="1:30" ht="20.100000000000001" customHeight="1" x14ac:dyDescent="0.25">
      <c r="A902" s="25" t="s">
        <v>659</v>
      </c>
      <c r="B902" s="210"/>
      <c r="C902" s="25"/>
      <c r="D902" s="25"/>
      <c r="E902" s="25"/>
      <c r="F902" s="25"/>
      <c r="G902" s="25"/>
      <c r="H902" s="35"/>
      <c r="I902" s="25"/>
      <c r="J902" s="35"/>
      <c r="K902" s="35"/>
      <c r="L902" s="35"/>
      <c r="M902" s="35"/>
      <c r="N902" s="25"/>
    </row>
    <row r="903" spans="1:30" ht="20.100000000000001" customHeight="1" x14ac:dyDescent="0.25">
      <c r="A903" s="330" t="s">
        <v>124</v>
      </c>
      <c r="B903" s="210">
        <f>L263</f>
        <v>30</v>
      </c>
      <c r="C903" s="25" t="s">
        <v>660</v>
      </c>
      <c r="D903" s="25"/>
      <c r="E903" s="330" t="s">
        <v>118</v>
      </c>
      <c r="F903" s="190">
        <f>G15</f>
        <v>4</v>
      </c>
      <c r="G903" s="25" t="s">
        <v>5</v>
      </c>
      <c r="H903" s="35"/>
      <c r="I903" s="25"/>
      <c r="J903" s="35"/>
      <c r="K903" s="35"/>
      <c r="L903" s="35"/>
      <c r="M903" s="35"/>
      <c r="N903" s="25"/>
    </row>
    <row r="904" spans="1:30" ht="20.100000000000001" customHeight="1" x14ac:dyDescent="0.25">
      <c r="A904" s="25" t="s">
        <v>27</v>
      </c>
      <c r="B904" s="191">
        <f>L271</f>
        <v>93.311999999999998</v>
      </c>
      <c r="C904" s="25" t="s">
        <v>660</v>
      </c>
      <c r="D904" s="25"/>
      <c r="E904" s="330" t="s">
        <v>57</v>
      </c>
      <c r="F904" s="190">
        <f>G14</f>
        <v>2</v>
      </c>
      <c r="G904" s="25" t="s">
        <v>5</v>
      </c>
      <c r="H904" s="35"/>
      <c r="I904" s="25"/>
      <c r="J904" s="35"/>
      <c r="K904" s="35"/>
      <c r="L904" s="35"/>
      <c r="M904" s="35"/>
      <c r="N904" s="25"/>
      <c r="O904" s="2" t="s">
        <v>657</v>
      </c>
    </row>
    <row r="905" spans="1:30" ht="20.100000000000001" customHeight="1" x14ac:dyDescent="0.25">
      <c r="A905" s="25" t="s">
        <v>715</v>
      </c>
      <c r="B905" s="25"/>
      <c r="C905" s="25"/>
      <c r="D905" s="39"/>
      <c r="E905" s="25"/>
      <c r="F905" s="25"/>
      <c r="G905" s="25"/>
      <c r="H905" s="35"/>
      <c r="I905" s="25"/>
      <c r="J905" s="35"/>
      <c r="K905" s="35"/>
      <c r="L905" s="35"/>
      <c r="M905" s="35"/>
      <c r="N905" s="25"/>
    </row>
    <row r="906" spans="1:30" ht="20.100000000000001" customHeight="1" x14ac:dyDescent="0.25">
      <c r="A906" s="505" t="s">
        <v>676</v>
      </c>
      <c r="B906" s="505"/>
      <c r="C906" s="333">
        <f>-(1.2*B903+1.6*B904)*F903*F904</f>
        <v>-1482.3936000000001</v>
      </c>
      <c r="D906" s="28" t="s">
        <v>120</v>
      </c>
      <c r="E906" s="25"/>
      <c r="F906" s="25"/>
      <c r="G906" s="25"/>
      <c r="H906" s="35"/>
      <c r="I906" s="25"/>
      <c r="J906" s="35"/>
      <c r="K906" s="35"/>
      <c r="L906" s="35"/>
      <c r="M906" s="35"/>
      <c r="N906" s="25"/>
    </row>
    <row r="907" spans="1:30" ht="20.100000000000001" customHeight="1" x14ac:dyDescent="0.25">
      <c r="A907" s="25"/>
      <c r="B907" s="312"/>
      <c r="C907" s="25"/>
      <c r="D907" s="25"/>
      <c r="E907" s="25"/>
      <c r="F907" s="25"/>
      <c r="G907" s="25"/>
      <c r="H907" s="35"/>
      <c r="I907" s="25"/>
      <c r="J907" s="35"/>
      <c r="K907" s="35"/>
      <c r="L907" s="35"/>
      <c r="M907" s="35"/>
      <c r="N907" s="25"/>
      <c r="O907" s="2" t="s">
        <v>656</v>
      </c>
    </row>
    <row r="908" spans="1:30" ht="20.100000000000001" customHeight="1" x14ac:dyDescent="0.25">
      <c r="A908" s="500" t="s">
        <v>662</v>
      </c>
      <c r="B908" s="500"/>
      <c r="C908" s="192">
        <f>M27</f>
        <v>0.35521776062357258</v>
      </c>
      <c r="E908" s="25"/>
      <c r="F908" s="25"/>
      <c r="G908" s="25"/>
      <c r="H908" s="35"/>
      <c r="I908" s="25"/>
      <c r="J908" s="35"/>
      <c r="K908" s="35"/>
      <c r="L908" s="35"/>
      <c r="M908" s="35"/>
      <c r="N908" s="25"/>
      <c r="O908" s="2" t="s">
        <v>616</v>
      </c>
    </row>
    <row r="909" spans="1:30" ht="20.100000000000001" customHeight="1" x14ac:dyDescent="0.25">
      <c r="A909" s="500" t="s">
        <v>663</v>
      </c>
      <c r="B909" s="500"/>
      <c r="C909" s="192">
        <f>M28</f>
        <v>0.93478358058834898</v>
      </c>
      <c r="E909" s="25"/>
      <c r="F909" s="25"/>
      <c r="G909" s="25"/>
      <c r="H909" s="35"/>
      <c r="I909" s="25"/>
      <c r="J909" s="35"/>
      <c r="K909" s="35"/>
      <c r="L909" s="35"/>
      <c r="M909" s="35"/>
      <c r="N909" s="25"/>
    </row>
    <row r="910" spans="1:30" ht="20.100000000000001" customHeight="1" x14ac:dyDescent="0.25">
      <c r="A910" s="513" t="s">
        <v>664</v>
      </c>
      <c r="B910" s="513"/>
      <c r="C910" s="192">
        <f>M29</f>
        <v>-1.9996001199600159E-2</v>
      </c>
      <c r="D910" s="25"/>
      <c r="E910" s="25"/>
      <c r="F910" s="25"/>
      <c r="G910" s="25"/>
      <c r="H910" s="35"/>
      <c r="I910" s="25"/>
      <c r="J910" s="35"/>
      <c r="K910" s="35"/>
      <c r="L910" s="35"/>
      <c r="M910" s="35"/>
      <c r="N910" s="25"/>
    </row>
    <row r="911" spans="1:30" ht="20.100000000000001" customHeight="1" x14ac:dyDescent="0.25">
      <c r="A911" s="513" t="s">
        <v>665</v>
      </c>
      <c r="B911" s="513"/>
      <c r="C911" s="192">
        <f>M30</f>
        <v>0.99980005998000709</v>
      </c>
      <c r="D911" s="25"/>
      <c r="E911" s="25"/>
      <c r="F911" s="25"/>
      <c r="G911" s="25"/>
      <c r="H911" s="35"/>
      <c r="I911" s="25"/>
      <c r="J911" s="35"/>
      <c r="K911" s="35"/>
      <c r="L911" s="35"/>
      <c r="M911" s="35"/>
      <c r="N911" s="25"/>
    </row>
    <row r="912" spans="1:30" ht="20.100000000000001" customHeight="1" x14ac:dyDescent="0.25">
      <c r="A912" s="25" t="s">
        <v>661</v>
      </c>
      <c r="B912" s="313"/>
      <c r="C912" s="25"/>
      <c r="D912" s="25"/>
      <c r="E912" s="232"/>
      <c r="F912" s="232"/>
      <c r="G912" s="232"/>
      <c r="H912" s="345"/>
      <c r="I912" s="232"/>
      <c r="J912" s="345"/>
      <c r="K912" s="35"/>
      <c r="L912" s="35"/>
      <c r="M912" s="35"/>
      <c r="N912" s="25"/>
    </row>
    <row r="913" spans="1:22" ht="20.100000000000001" customHeight="1" x14ac:dyDescent="0.25">
      <c r="A913" s="25" t="s">
        <v>140</v>
      </c>
      <c r="B913" s="514">
        <f>'[1]TABLA FINAL'!$K$54</f>
        <v>-14413.080000000002</v>
      </c>
      <c r="C913" s="514"/>
      <c r="D913" s="25" t="s">
        <v>122</v>
      </c>
      <c r="E913" s="232"/>
      <c r="F913" s="232"/>
      <c r="G913" s="232"/>
      <c r="H913" s="345"/>
      <c r="I913" s="232"/>
      <c r="J913" s="345"/>
      <c r="K913" s="35"/>
      <c r="L913" s="35"/>
      <c r="M913" s="35"/>
      <c r="N913" s="25"/>
    </row>
    <row r="914" spans="1:22" ht="20.100000000000001" customHeight="1" x14ac:dyDescent="0.25">
      <c r="A914" s="232" t="s">
        <v>670</v>
      </c>
      <c r="B914" s="509">
        <f>B913*C908</f>
        <v>-5119.7820012884022</v>
      </c>
      <c r="C914" s="509"/>
      <c r="D914" s="25" t="s">
        <v>122</v>
      </c>
      <c r="E914" s="232"/>
      <c r="F914" s="232"/>
      <c r="G914" s="232"/>
      <c r="H914" s="345"/>
      <c r="I914" s="232"/>
      <c r="J914" s="345"/>
      <c r="K914" s="35"/>
      <c r="L914" s="35"/>
      <c r="M914" s="35"/>
      <c r="N914" s="25"/>
    </row>
    <row r="915" spans="1:22" ht="20.100000000000001" customHeight="1" x14ac:dyDescent="0.25">
      <c r="A915" s="232" t="s">
        <v>671</v>
      </c>
      <c r="B915" s="509">
        <f>B913*C909</f>
        <v>-13473.110529706322</v>
      </c>
      <c r="C915" s="509"/>
      <c r="D915" s="25" t="s">
        <v>122</v>
      </c>
      <c r="E915" s="232"/>
      <c r="F915" s="232"/>
      <c r="G915" s="232"/>
      <c r="H915" s="345"/>
      <c r="I915" s="232"/>
      <c r="J915" s="345"/>
      <c r="K915" s="35"/>
      <c r="L915" s="35"/>
      <c r="M915" s="35"/>
      <c r="N915" s="25"/>
    </row>
    <row r="916" spans="1:22" ht="20.100000000000001" customHeight="1" x14ac:dyDescent="0.25">
      <c r="A916" s="232"/>
      <c r="B916" s="344"/>
      <c r="C916" s="232"/>
      <c r="D916" s="232"/>
      <c r="E916" s="232"/>
      <c r="F916" s="346"/>
      <c r="G916" s="232"/>
      <c r="H916" s="345"/>
      <c r="I916" s="232"/>
      <c r="J916" s="345"/>
      <c r="K916" s="345"/>
      <c r="L916" s="345"/>
      <c r="M916" s="345"/>
      <c r="N916" s="232"/>
      <c r="O916" s="348"/>
      <c r="P916" s="348"/>
      <c r="Q916" s="348"/>
      <c r="R916" s="348"/>
    </row>
    <row r="917" spans="1:22" ht="20.100000000000001" customHeight="1" x14ac:dyDescent="0.25">
      <c r="A917" s="25" t="s">
        <v>666</v>
      </c>
      <c r="B917" s="331"/>
      <c r="C917" s="25"/>
      <c r="D917" s="25"/>
      <c r="E917" s="232"/>
      <c r="F917" s="232" t="s">
        <v>669</v>
      </c>
      <c r="G917" s="232"/>
      <c r="H917" s="345"/>
      <c r="I917" s="345"/>
      <c r="J917" s="345"/>
      <c r="K917" s="345" t="s">
        <v>686</v>
      </c>
      <c r="L917" s="345"/>
      <c r="M917" s="345"/>
      <c r="N917" s="232"/>
      <c r="O917" s="348"/>
      <c r="P917" s="348"/>
      <c r="Q917" s="348"/>
      <c r="R917" s="348"/>
    </row>
    <row r="918" spans="1:22" ht="20.100000000000001" customHeight="1" x14ac:dyDescent="0.25">
      <c r="A918" s="25" t="s">
        <v>140</v>
      </c>
      <c r="B918" s="514">
        <f>'[1]TABLA FINAL'!$K$55</f>
        <v>18359.52</v>
      </c>
      <c r="C918" s="514"/>
      <c r="D918" s="25" t="s">
        <v>122</v>
      </c>
      <c r="E918" s="498" t="s">
        <v>676</v>
      </c>
      <c r="F918" s="498"/>
      <c r="G918" s="522">
        <f>C906</f>
        <v>-1482.3936000000001</v>
      </c>
      <c r="H918" s="522"/>
      <c r="I918" s="42" t="s">
        <v>120</v>
      </c>
      <c r="J918" s="345"/>
      <c r="K918" s="350" t="s">
        <v>679</v>
      </c>
      <c r="L918" s="351">
        <f>G918+G919+G920+G922</f>
        <v>-7084.6525852324858</v>
      </c>
      <c r="M918" s="350" t="s">
        <v>120</v>
      </c>
      <c r="N918" s="232"/>
      <c r="O918" s="348"/>
      <c r="P918" s="348"/>
      <c r="Q918" s="348"/>
      <c r="R918" s="348"/>
    </row>
    <row r="919" spans="1:22" ht="20.100000000000001" customHeight="1" x14ac:dyDescent="0.25">
      <c r="A919" s="232" t="s">
        <v>672</v>
      </c>
      <c r="B919" s="509">
        <f>B918*C910</f>
        <v>-367.11698394408313</v>
      </c>
      <c r="C919" s="509"/>
      <c r="D919" s="25" t="s">
        <v>122</v>
      </c>
      <c r="E919" s="347"/>
      <c r="F919" s="232" t="s">
        <v>670</v>
      </c>
      <c r="G919" s="508">
        <f>B914</f>
        <v>-5119.7820012884022</v>
      </c>
      <c r="H919" s="508"/>
      <c r="I919" s="330" t="s">
        <v>122</v>
      </c>
      <c r="J919" s="232"/>
      <c r="K919" s="350" t="s">
        <v>680</v>
      </c>
      <c r="L919" s="351">
        <f>L918+G921+G922</f>
        <v>-9352.3338316924128</v>
      </c>
      <c r="M919" s="350" t="s">
        <v>120</v>
      </c>
      <c r="N919" s="232"/>
      <c r="O919" s="348"/>
      <c r="P919" s="348"/>
      <c r="Q919" s="348"/>
      <c r="R919" s="348"/>
    </row>
    <row r="920" spans="1:22" ht="20.100000000000001" customHeight="1" x14ac:dyDescent="0.25">
      <c r="A920" s="232" t="s">
        <v>673</v>
      </c>
      <c r="B920" s="509">
        <f>B918*C911</f>
        <v>18355.849197204141</v>
      </c>
      <c r="C920" s="509"/>
      <c r="D920" s="25" t="s">
        <v>122</v>
      </c>
      <c r="E920" s="347"/>
      <c r="F920" s="232" t="s">
        <v>672</v>
      </c>
      <c r="G920" s="508">
        <f>B919</f>
        <v>-367.11698394408313</v>
      </c>
      <c r="H920" s="508"/>
      <c r="I920" s="330" t="s">
        <v>122</v>
      </c>
      <c r="J920" s="232"/>
      <c r="K920" s="350" t="s">
        <v>681</v>
      </c>
      <c r="L920" s="351">
        <f>L919+$G$922</f>
        <v>-9467.6938316924134</v>
      </c>
      <c r="M920" s="350" t="s">
        <v>120</v>
      </c>
      <c r="N920" s="232"/>
      <c r="O920" s="348"/>
      <c r="P920" s="348"/>
      <c r="Q920" s="348"/>
      <c r="R920" s="348"/>
    </row>
    <row r="921" spans="1:22" ht="20.100000000000001" customHeight="1" x14ac:dyDescent="0.25">
      <c r="A921" s="348"/>
      <c r="B921" s="348"/>
      <c r="C921" s="348"/>
      <c r="D921" s="348"/>
      <c r="E921" s="348"/>
      <c r="F921" s="232" t="s">
        <v>677</v>
      </c>
      <c r="G921" s="508">
        <f>B924</f>
        <v>-2152.321246459926</v>
      </c>
      <c r="H921" s="508"/>
      <c r="I921" s="330" t="s">
        <v>122</v>
      </c>
      <c r="J921" s="232"/>
      <c r="K921" s="350" t="s">
        <v>682</v>
      </c>
      <c r="L921" s="351">
        <f>L920+$G$922</f>
        <v>-9583.053831692414</v>
      </c>
      <c r="M921" s="350" t="s">
        <v>120</v>
      </c>
      <c r="N921" s="232"/>
      <c r="O921" s="348"/>
      <c r="P921" s="348"/>
      <c r="Q921" s="348"/>
      <c r="R921" s="348"/>
    </row>
    <row r="922" spans="1:22" ht="20.100000000000001" customHeight="1" x14ac:dyDescent="0.25">
      <c r="A922" s="25" t="s">
        <v>667</v>
      </c>
      <c r="B922" s="331"/>
      <c r="C922" s="25"/>
      <c r="D922" s="25"/>
      <c r="E922" s="348"/>
      <c r="F922" s="347" t="s">
        <v>674</v>
      </c>
      <c r="G922" s="508">
        <f>C929</f>
        <v>-115.36</v>
      </c>
      <c r="H922" s="508"/>
      <c r="I922" s="347" t="s">
        <v>122</v>
      </c>
      <c r="J922" s="345"/>
      <c r="K922" s="350" t="s">
        <v>683</v>
      </c>
      <c r="L922" s="351">
        <f>L921+$G$922</f>
        <v>-9698.4138316924145</v>
      </c>
      <c r="M922" s="350" t="s">
        <v>120</v>
      </c>
      <c r="N922" s="232"/>
      <c r="O922" s="348"/>
      <c r="P922" s="348"/>
      <c r="Q922" s="348"/>
      <c r="R922" s="348"/>
    </row>
    <row r="923" spans="1:22" ht="20.100000000000001" customHeight="1" x14ac:dyDescent="0.25">
      <c r="A923" s="25" t="s">
        <v>140</v>
      </c>
      <c r="B923" s="514">
        <f>'[1]TABLA FINAL'!$K$56</f>
        <v>-6059.16</v>
      </c>
      <c r="C923" s="514"/>
      <c r="D923" s="25" t="s">
        <v>122</v>
      </c>
      <c r="E923" s="232"/>
      <c r="F923" s="232"/>
      <c r="G923" s="329"/>
      <c r="H923" s="345"/>
      <c r="I923" s="232"/>
      <c r="J923" s="347"/>
      <c r="K923" s="350" t="s">
        <v>684</v>
      </c>
      <c r="L923" s="351">
        <f>L922+$G$922</f>
        <v>-9813.7738316924151</v>
      </c>
      <c r="M923" s="350" t="s">
        <v>120</v>
      </c>
      <c r="N923" s="232"/>
      <c r="O923" s="348"/>
      <c r="P923" s="348"/>
      <c r="Q923" s="348"/>
      <c r="R923" s="348"/>
    </row>
    <row r="924" spans="1:22" ht="20.100000000000001" customHeight="1" x14ac:dyDescent="0.25">
      <c r="A924" s="232" t="s">
        <v>677</v>
      </c>
      <c r="B924" s="509">
        <f>B923*C908</f>
        <v>-2152.321246459926</v>
      </c>
      <c r="C924" s="509"/>
      <c r="D924" s="25" t="s">
        <v>122</v>
      </c>
      <c r="E924" s="232"/>
      <c r="F924" s="232"/>
      <c r="G924" s="329"/>
      <c r="H924" s="345"/>
      <c r="I924" s="232"/>
      <c r="J924" s="232"/>
      <c r="K924" s="350" t="s">
        <v>685</v>
      </c>
      <c r="L924" s="351">
        <f>L923+$G$922</f>
        <v>-9929.1338316924157</v>
      </c>
      <c r="M924" s="350" t="s">
        <v>120</v>
      </c>
      <c r="N924" s="232"/>
      <c r="O924" s="348"/>
      <c r="P924" s="348"/>
      <c r="Q924" s="348"/>
      <c r="R924" s="348"/>
    </row>
    <row r="925" spans="1:22" ht="20.100000000000001" customHeight="1" x14ac:dyDescent="0.25">
      <c r="A925" s="232" t="s">
        <v>678</v>
      </c>
      <c r="B925" s="509">
        <f>B923*C909</f>
        <v>-5664.0032801577008</v>
      </c>
      <c r="C925" s="509"/>
      <c r="D925" s="25" t="s">
        <v>122</v>
      </c>
      <c r="E925" s="232"/>
      <c r="F925" s="232"/>
      <c r="G925" s="329"/>
      <c r="H925" s="345"/>
      <c r="I925" s="232"/>
      <c r="J925" s="232"/>
      <c r="K925" s="349"/>
      <c r="L925" s="351"/>
      <c r="M925" s="345"/>
      <c r="N925" s="232"/>
      <c r="O925" s="348"/>
      <c r="P925" s="348"/>
      <c r="Q925" s="348"/>
      <c r="R925" s="348"/>
    </row>
    <row r="926" spans="1:22" ht="20.100000000000001" customHeight="1" x14ac:dyDescent="0.25">
      <c r="A926" s="232"/>
      <c r="B926" s="232"/>
      <c r="C926" s="232"/>
      <c r="D926" s="232"/>
      <c r="E926" s="232"/>
      <c r="F926" s="232" t="s">
        <v>687</v>
      </c>
      <c r="G926" s="232"/>
      <c r="H926" s="345"/>
      <c r="I926" s="345"/>
      <c r="J926" s="345"/>
      <c r="K926" s="345" t="s">
        <v>690</v>
      </c>
      <c r="L926" s="345"/>
      <c r="M926" s="345"/>
      <c r="N926" s="232"/>
      <c r="O926" s="348"/>
      <c r="P926" s="348"/>
      <c r="Q926" s="348"/>
      <c r="R926" s="348"/>
    </row>
    <row r="927" spans="1:22" ht="20.100000000000001" customHeight="1" x14ac:dyDescent="0.25">
      <c r="A927" s="232" t="s">
        <v>668</v>
      </c>
      <c r="B927" s="232"/>
      <c r="C927" s="232"/>
      <c r="D927" s="232"/>
      <c r="E927" s="498" t="s">
        <v>688</v>
      </c>
      <c r="F927" s="498"/>
      <c r="G927" s="522">
        <v>0</v>
      </c>
      <c r="H927" s="522"/>
      <c r="I927" s="42" t="s">
        <v>120</v>
      </c>
      <c r="J927" s="345"/>
      <c r="K927" s="350" t="s">
        <v>707</v>
      </c>
      <c r="L927" s="351">
        <f>G927+G928+G929+G931</f>
        <v>4882.7386674978188</v>
      </c>
      <c r="M927" s="350" t="s">
        <v>120</v>
      </c>
      <c r="N927" s="232"/>
      <c r="O927" s="348"/>
      <c r="P927" s="348"/>
      <c r="Q927" s="348"/>
      <c r="R927" s="348"/>
    </row>
    <row r="928" spans="1:22" ht="20.100000000000001" customHeight="1" x14ac:dyDescent="0.25">
      <c r="A928" s="512" t="s">
        <v>248</v>
      </c>
      <c r="B928" s="512"/>
      <c r="C928" s="235">
        <f>-K742</f>
        <v>-28.84</v>
      </c>
      <c r="D928" s="232" t="s">
        <v>242</v>
      </c>
      <c r="E928" s="347"/>
      <c r="F928" s="232" t="s">
        <v>689</v>
      </c>
      <c r="G928" s="508">
        <f>B915</f>
        <v>-13473.110529706322</v>
      </c>
      <c r="H928" s="508"/>
      <c r="I928" s="330" t="s">
        <v>122</v>
      </c>
      <c r="J928" s="232"/>
      <c r="K928" s="350" t="s">
        <v>708</v>
      </c>
      <c r="L928" s="351">
        <f>L927+G930+G931</f>
        <v>-781.264612659882</v>
      </c>
      <c r="M928" s="350" t="s">
        <v>120</v>
      </c>
      <c r="N928" s="25"/>
      <c r="P928" s="28"/>
      <c r="Q928" s="25"/>
      <c r="R928" s="25"/>
      <c r="S928" s="25"/>
      <c r="T928" s="25"/>
      <c r="U928" s="25"/>
      <c r="V928" s="328"/>
    </row>
    <row r="929" spans="1:22" ht="20.100000000000001" customHeight="1" x14ac:dyDescent="0.25">
      <c r="B929" s="347" t="s">
        <v>674</v>
      </c>
      <c r="C929" s="235">
        <f>C928*F903</f>
        <v>-115.36</v>
      </c>
      <c r="D929" s="232" t="s">
        <v>122</v>
      </c>
      <c r="E929" s="347"/>
      <c r="F929" s="232" t="s">
        <v>673</v>
      </c>
      <c r="G929" s="508">
        <f>B920</f>
        <v>18355.849197204141</v>
      </c>
      <c r="H929" s="508"/>
      <c r="I929" s="330" t="s">
        <v>122</v>
      </c>
      <c r="J929" s="232"/>
      <c r="K929" s="350" t="s">
        <v>709</v>
      </c>
      <c r="L929" s="351">
        <f>L928+$G$931</f>
        <v>-781.264612659882</v>
      </c>
      <c r="M929" s="350" t="s">
        <v>120</v>
      </c>
      <c r="N929" s="25"/>
      <c r="P929" s="28"/>
      <c r="Q929" s="25"/>
      <c r="R929" s="25"/>
      <c r="S929" s="25"/>
      <c r="T929" s="25"/>
      <c r="U929" s="25"/>
      <c r="V929" s="328"/>
    </row>
    <row r="930" spans="1:22" ht="20.100000000000001" customHeight="1" x14ac:dyDescent="0.25">
      <c r="A930" s="25"/>
      <c r="B930" s="330" t="s">
        <v>675</v>
      </c>
      <c r="C930" s="25">
        <v>0</v>
      </c>
      <c r="D930" s="25" t="s">
        <v>122</v>
      </c>
      <c r="E930" s="348"/>
      <c r="F930" s="232" t="s">
        <v>678</v>
      </c>
      <c r="G930" s="508">
        <f>B925</f>
        <v>-5664.0032801577008</v>
      </c>
      <c r="H930" s="508"/>
      <c r="I930" s="330" t="s">
        <v>122</v>
      </c>
      <c r="J930" s="232"/>
      <c r="K930" s="350" t="s">
        <v>710</v>
      </c>
      <c r="L930" s="351">
        <f>L929+$G$931</f>
        <v>-781.264612659882</v>
      </c>
      <c r="M930" s="350" t="s">
        <v>120</v>
      </c>
      <c r="N930" s="25"/>
      <c r="P930" s="28"/>
      <c r="Q930" s="25"/>
      <c r="R930" s="25"/>
      <c r="S930" s="25"/>
      <c r="T930" s="25"/>
      <c r="U930" s="25"/>
      <c r="V930" s="328"/>
    </row>
    <row r="931" spans="1:22" ht="20.100000000000001" customHeight="1" x14ac:dyDescent="0.25">
      <c r="A931" s="25"/>
      <c r="B931" s="25"/>
      <c r="C931" s="25"/>
      <c r="D931" s="25"/>
      <c r="E931" s="348"/>
      <c r="F931" s="347" t="s">
        <v>675</v>
      </c>
      <c r="G931" s="508">
        <v>0</v>
      </c>
      <c r="H931" s="508"/>
      <c r="I931" s="347" t="s">
        <v>122</v>
      </c>
      <c r="J931" s="345"/>
      <c r="K931" s="350" t="s">
        <v>711</v>
      </c>
      <c r="L931" s="351">
        <f t="shared" ref="L931:L933" si="17">L930+$G$931</f>
        <v>-781.264612659882</v>
      </c>
      <c r="M931" s="350" t="s">
        <v>120</v>
      </c>
      <c r="N931" s="25"/>
      <c r="P931" s="28"/>
      <c r="Q931" s="25"/>
      <c r="R931" s="25"/>
      <c r="S931" s="25"/>
      <c r="T931" s="25"/>
      <c r="U931" s="25"/>
      <c r="V931" s="328"/>
    </row>
    <row r="932" spans="1:22" ht="20.100000000000001" customHeight="1" x14ac:dyDescent="0.25">
      <c r="A932" s="25"/>
      <c r="B932" s="25"/>
      <c r="C932" s="25"/>
      <c r="D932" s="25"/>
      <c r="E932" s="232"/>
      <c r="F932" s="232"/>
      <c r="G932" s="329"/>
      <c r="H932" s="345"/>
      <c r="I932" s="232"/>
      <c r="J932" s="347"/>
      <c r="K932" s="350" t="s">
        <v>712</v>
      </c>
      <c r="L932" s="351">
        <f t="shared" si="17"/>
        <v>-781.264612659882</v>
      </c>
      <c r="M932" s="350" t="s">
        <v>120</v>
      </c>
      <c r="N932" s="25"/>
      <c r="P932" s="28"/>
      <c r="Q932" s="25"/>
      <c r="R932" s="25"/>
      <c r="S932" s="25"/>
      <c r="T932" s="25"/>
      <c r="U932" s="25"/>
      <c r="V932" s="328"/>
    </row>
    <row r="933" spans="1:22" ht="20.100000000000001" customHeight="1" x14ac:dyDescent="0.25">
      <c r="A933" s="12"/>
      <c r="B933" s="12"/>
      <c r="C933" s="12"/>
      <c r="D933" s="12"/>
      <c r="E933" s="232"/>
      <c r="F933" s="232"/>
      <c r="G933" s="329"/>
      <c r="H933" s="345"/>
      <c r="I933" s="232"/>
      <c r="J933" s="232"/>
      <c r="K933" s="350" t="s">
        <v>713</v>
      </c>
      <c r="L933" s="351">
        <f t="shared" si="17"/>
        <v>-781.264612659882</v>
      </c>
      <c r="M933" s="350" t="s">
        <v>120</v>
      </c>
      <c r="N933" s="12"/>
      <c r="O933" s="10"/>
      <c r="P933" s="28"/>
      <c r="Q933" s="25"/>
      <c r="R933" s="25"/>
      <c r="S933" s="25"/>
      <c r="T933" s="25"/>
      <c r="U933" s="25"/>
      <c r="V933" s="328"/>
    </row>
    <row r="934" spans="1:22" ht="20.100000000000001" customHeight="1" x14ac:dyDescent="0.25">
      <c r="A934" s="12"/>
      <c r="B934" s="12"/>
      <c r="C934" s="12"/>
      <c r="D934" s="12"/>
      <c r="E934" s="12"/>
      <c r="F934" s="10"/>
      <c r="G934" s="329"/>
      <c r="H934" s="50"/>
      <c r="I934" s="50"/>
      <c r="J934" s="50"/>
      <c r="K934" s="50"/>
      <c r="L934" s="50"/>
      <c r="M934" s="50"/>
      <c r="N934" s="12"/>
      <c r="O934" s="10"/>
      <c r="P934" s="28"/>
      <c r="Q934" s="25"/>
      <c r="R934" s="25"/>
      <c r="S934" s="25"/>
      <c r="T934" s="25"/>
      <c r="U934" s="25"/>
      <c r="V934" s="328"/>
    </row>
    <row r="935" spans="1:22" ht="20.100000000000001" customHeight="1" x14ac:dyDescent="0.25">
      <c r="A935" s="12" t="s">
        <v>691</v>
      </c>
      <c r="B935" s="12"/>
      <c r="C935" s="12"/>
      <c r="D935" s="12"/>
      <c r="E935" s="12"/>
      <c r="F935" s="10"/>
      <c r="G935" s="329"/>
      <c r="H935" s="50"/>
      <c r="I935" s="50"/>
      <c r="J935" s="50"/>
      <c r="K935" s="50"/>
      <c r="L935" s="50"/>
      <c r="M935" s="50"/>
      <c r="N935" s="12"/>
      <c r="O935" s="10"/>
      <c r="P935" s="28"/>
      <c r="Q935" s="25"/>
      <c r="R935" s="25"/>
      <c r="S935" s="25"/>
      <c r="T935" s="25"/>
      <c r="U935" s="25"/>
      <c r="V935" s="328"/>
    </row>
    <row r="936" spans="1:22" ht="20.100000000000001" customHeight="1" x14ac:dyDescent="0.25">
      <c r="A936" s="12" t="s">
        <v>692</v>
      </c>
      <c r="B936" s="12"/>
      <c r="C936" s="12"/>
      <c r="D936" s="12"/>
      <c r="E936" s="12"/>
      <c r="F936" s="10"/>
      <c r="G936" s="329"/>
      <c r="H936" s="50"/>
      <c r="I936" s="50"/>
      <c r="J936" s="50"/>
      <c r="K936" s="50"/>
      <c r="L936" s="50"/>
      <c r="M936" s="50"/>
      <c r="N936" s="12"/>
      <c r="O936" s="10"/>
      <c r="P936" s="28"/>
      <c r="Q936" s="25"/>
      <c r="R936" s="25"/>
      <c r="S936" s="25"/>
      <c r="T936" s="25"/>
      <c r="U936" s="25"/>
      <c r="V936" s="328"/>
    </row>
    <row r="937" spans="1:22" ht="20.100000000000001" customHeight="1" x14ac:dyDescent="0.25">
      <c r="A937" s="12" t="s">
        <v>693</v>
      </c>
      <c r="B937" s="127">
        <v>0.8</v>
      </c>
      <c r="C937" s="12" t="s">
        <v>5</v>
      </c>
      <c r="D937" s="332" t="s">
        <v>701</v>
      </c>
      <c r="E937" s="131">
        <f>L927*B937</f>
        <v>3906.1909339982553</v>
      </c>
      <c r="F937" s="12" t="s">
        <v>139</v>
      </c>
      <c r="G937" s="12"/>
      <c r="H937" s="343"/>
      <c r="I937" s="343"/>
      <c r="J937" s="50"/>
      <c r="K937" s="50"/>
      <c r="L937" s="50"/>
      <c r="M937" s="343"/>
      <c r="N937" s="12"/>
      <c r="O937" s="10"/>
    </row>
    <row r="938" spans="1:22" ht="20.100000000000001" customHeight="1" x14ac:dyDescent="0.25">
      <c r="A938" s="12" t="s">
        <v>694</v>
      </c>
      <c r="B938" s="127">
        <v>0.6</v>
      </c>
      <c r="C938" s="12" t="s">
        <v>5</v>
      </c>
      <c r="D938" s="332" t="s">
        <v>702</v>
      </c>
      <c r="E938" s="131">
        <f>L927*(B937+B938)+(G930+G931)*B938</f>
        <v>3437.4321664023255</v>
      </c>
      <c r="F938" s="12" t="s">
        <v>139</v>
      </c>
      <c r="G938" s="12"/>
      <c r="H938" s="306"/>
      <c r="I938" s="306"/>
      <c r="J938" s="12"/>
      <c r="K938" s="50"/>
      <c r="L938" s="50"/>
      <c r="M938" s="48"/>
      <c r="N938" s="12"/>
      <c r="O938" s="10"/>
    </row>
    <row r="939" spans="1:22" ht="20.100000000000001" customHeight="1" x14ac:dyDescent="0.25">
      <c r="A939" s="12" t="s">
        <v>695</v>
      </c>
      <c r="B939" s="127">
        <v>1</v>
      </c>
      <c r="C939" s="12" t="s">
        <v>5</v>
      </c>
      <c r="D939" s="332" t="s">
        <v>703</v>
      </c>
      <c r="E939" s="131">
        <f>L927*(B937+B938+B939)+(G930+G931)*(B938+B939)+G931*B939</f>
        <v>2656.1675537424435</v>
      </c>
      <c r="F939" s="12" t="s">
        <v>139</v>
      </c>
      <c r="G939" s="12"/>
      <c r="H939" s="306"/>
      <c r="I939" s="306"/>
      <c r="J939" s="12"/>
      <c r="K939" s="50"/>
      <c r="L939" s="50"/>
      <c r="M939" s="48"/>
      <c r="N939" s="12"/>
      <c r="O939" s="10"/>
    </row>
    <row r="940" spans="1:22" ht="20.100000000000001" customHeight="1" x14ac:dyDescent="0.25">
      <c r="A940" s="12" t="s">
        <v>696</v>
      </c>
      <c r="B940" s="127">
        <v>1</v>
      </c>
      <c r="C940" s="12" t="s">
        <v>5</v>
      </c>
      <c r="D940" s="352" t="s">
        <v>714</v>
      </c>
      <c r="E940" s="131">
        <f>L927*(B937+B938+B939+B940)+(G930+G931)*(B938+B939+B940)+G931*(B939+B940)+G931*B940</f>
        <v>1874.9029410825606</v>
      </c>
      <c r="F940" s="12" t="s">
        <v>139</v>
      </c>
      <c r="G940" s="12"/>
      <c r="H940" s="343"/>
      <c r="I940" s="343"/>
      <c r="J940" s="50"/>
      <c r="K940" s="50"/>
      <c r="L940" s="50"/>
      <c r="M940" s="343"/>
      <c r="N940" s="12"/>
      <c r="O940" s="10"/>
    </row>
    <row r="941" spans="1:22" ht="20.100000000000001" customHeight="1" x14ac:dyDescent="0.25">
      <c r="A941" s="12" t="s">
        <v>697</v>
      </c>
      <c r="B941" s="127">
        <v>1</v>
      </c>
      <c r="C941" s="12" t="s">
        <v>5</v>
      </c>
      <c r="D941" s="332" t="s">
        <v>704</v>
      </c>
      <c r="E941" s="131">
        <f>L927*(B937+B938+B939+B940+B941)+(G930+G931)*(B938+B939+B940+B941)+G931*(B939+B940+B941)+G931*(B940+B941)+G931*B941</f>
        <v>1093.6383284226831</v>
      </c>
      <c r="F941" s="12" t="s">
        <v>139</v>
      </c>
      <c r="G941" s="12"/>
      <c r="H941" s="306"/>
      <c r="I941" s="306"/>
      <c r="J941" s="131"/>
      <c r="K941" s="50"/>
      <c r="L941" s="50"/>
      <c r="M941" s="48"/>
      <c r="N941" s="12"/>
      <c r="O941" s="10"/>
    </row>
    <row r="942" spans="1:22" ht="20.100000000000001" customHeight="1" x14ac:dyDescent="0.25">
      <c r="A942" s="12" t="s">
        <v>698</v>
      </c>
      <c r="B942" s="127">
        <v>1</v>
      </c>
      <c r="C942" s="12" t="s">
        <v>5</v>
      </c>
      <c r="D942" s="332" t="s">
        <v>705</v>
      </c>
      <c r="E942" s="131">
        <f>L927*(B937+B938+B939+B940+B941+B942)+(G930+G931)*(B938+B939+B940+B941+B942)+G931*(B939+B940+B941+B942)+G931*(B940+B941+B942)+G931*(B941+B942)+G931*B942</f>
        <v>312.37371576280202</v>
      </c>
      <c r="F942" s="12" t="s">
        <v>139</v>
      </c>
      <c r="G942" s="12"/>
      <c r="H942" s="306"/>
      <c r="I942" s="306"/>
      <c r="J942" s="131"/>
      <c r="K942" s="50"/>
      <c r="L942" s="50"/>
      <c r="M942" s="343"/>
      <c r="N942" s="12"/>
      <c r="O942" s="10"/>
    </row>
    <row r="943" spans="1:22" ht="20.100000000000001" customHeight="1" x14ac:dyDescent="0.25">
      <c r="A943" s="12" t="s">
        <v>699</v>
      </c>
      <c r="B943" s="127">
        <v>0.4</v>
      </c>
      <c r="C943" s="12" t="s">
        <v>5</v>
      </c>
      <c r="D943" s="332" t="s">
        <v>706</v>
      </c>
      <c r="E943" s="131">
        <f>L927*(B937+B938+B939+B940+B941+B942+B943)+(G930+G931)*(B938+B939+B940+B941+B942+B943)+G931*(B939+B940+B941+B942+B943)+G931*(B940+B941+B942+B943)+G931*(B941+B942+B943)+G931*(B942+B943)+G931*B943</f>
        <v>-0.13212930114968913</v>
      </c>
      <c r="F943" s="12" t="s">
        <v>139</v>
      </c>
      <c r="G943" s="12"/>
      <c r="H943" s="343"/>
      <c r="I943" s="343"/>
      <c r="J943" s="50"/>
      <c r="K943" s="50"/>
      <c r="L943" s="50"/>
      <c r="M943" s="343"/>
      <c r="N943" s="12"/>
      <c r="O943" s="10"/>
    </row>
    <row r="944" spans="1:22" ht="20.100000000000001" customHeight="1" x14ac:dyDescent="0.25">
      <c r="A944" s="12" t="s">
        <v>700</v>
      </c>
      <c r="B944" s="127">
        <f>SUM(B937:B943)</f>
        <v>5.8000000000000007</v>
      </c>
      <c r="C944" s="12" t="s">
        <v>5</v>
      </c>
      <c r="D944" s="12"/>
      <c r="E944" s="12"/>
      <c r="F944" s="12"/>
      <c r="G944" s="12"/>
      <c r="H944" s="306"/>
      <c r="I944" s="306"/>
      <c r="J944" s="12"/>
      <c r="K944" s="50"/>
      <c r="L944" s="50"/>
      <c r="M944" s="343"/>
      <c r="N944" s="12"/>
      <c r="O944" s="10"/>
    </row>
    <row r="945" spans="1:23" ht="20.100000000000001" customHeight="1" x14ac:dyDescent="0.25">
      <c r="A945" s="12"/>
      <c r="B945" s="127"/>
      <c r="C945" s="12"/>
      <c r="D945" s="12"/>
      <c r="E945" s="12"/>
      <c r="F945" s="12"/>
      <c r="G945" s="12"/>
      <c r="H945" s="306"/>
      <c r="I945" s="306"/>
      <c r="J945" s="12"/>
      <c r="K945" s="50"/>
      <c r="L945" s="50"/>
      <c r="M945" s="343"/>
      <c r="N945" s="12"/>
      <c r="O945" s="10"/>
    </row>
    <row r="946" spans="1:23" ht="20.100000000000001" customHeight="1" x14ac:dyDescent="0.25">
      <c r="A946" s="402" t="s">
        <v>771</v>
      </c>
      <c r="B946" s="399"/>
      <c r="C946" s="399"/>
      <c r="D946" s="399"/>
      <c r="E946" s="399"/>
      <c r="F946" s="399"/>
      <c r="G946" s="399"/>
      <c r="H946" s="400"/>
      <c r="I946" s="399"/>
      <c r="J946" s="400"/>
      <c r="K946" s="400"/>
      <c r="L946" s="400"/>
      <c r="M946" s="400"/>
      <c r="N946" s="399"/>
      <c r="O946" s="401"/>
    </row>
    <row r="947" spans="1:23" ht="20.100000000000001" customHeight="1" x14ac:dyDescent="0.25">
      <c r="A947" s="25" t="s">
        <v>659</v>
      </c>
      <c r="B947" s="331"/>
      <c r="C947" s="25"/>
      <c r="D947" s="25"/>
      <c r="E947" s="25"/>
      <c r="F947" s="25"/>
      <c r="G947" s="25"/>
      <c r="H947" s="35"/>
      <c r="I947" s="25"/>
      <c r="J947" s="35"/>
      <c r="K947" s="35"/>
      <c r="L947" s="35"/>
      <c r="M947" s="35"/>
      <c r="N947" s="25"/>
      <c r="O947" s="10"/>
    </row>
    <row r="948" spans="1:23" ht="20.100000000000001" customHeight="1" x14ac:dyDescent="0.25">
      <c r="A948" s="330" t="s">
        <v>124</v>
      </c>
      <c r="B948" s="331">
        <f>L263</f>
        <v>30</v>
      </c>
      <c r="C948" s="25" t="s">
        <v>660</v>
      </c>
      <c r="D948" s="25"/>
      <c r="E948" s="330" t="s">
        <v>118</v>
      </c>
      <c r="F948" s="190">
        <f>G15</f>
        <v>4</v>
      </c>
      <c r="G948" s="25" t="s">
        <v>5</v>
      </c>
      <c r="H948" s="35"/>
      <c r="I948" s="25"/>
      <c r="J948" s="35"/>
      <c r="K948" s="35"/>
      <c r="L948" s="35"/>
      <c r="M948" s="35"/>
      <c r="N948" s="25"/>
      <c r="O948" s="10"/>
    </row>
    <row r="949" spans="1:23" ht="20.100000000000001" customHeight="1" x14ac:dyDescent="0.25">
      <c r="A949" s="25" t="s">
        <v>717</v>
      </c>
      <c r="B949" s="130">
        <f>J285</f>
        <v>-136.03857134857938</v>
      </c>
      <c r="C949" s="25" t="s">
        <v>660</v>
      </c>
      <c r="D949" s="25"/>
      <c r="E949" s="330" t="s">
        <v>57</v>
      </c>
      <c r="F949" s="190">
        <f>G14</f>
        <v>2</v>
      </c>
      <c r="G949" s="25" t="s">
        <v>5</v>
      </c>
      <c r="H949" s="35"/>
      <c r="I949" s="25"/>
      <c r="J949" s="35"/>
      <c r="K949" s="35"/>
      <c r="L949" s="35"/>
      <c r="M949" s="35"/>
      <c r="N949" s="25"/>
      <c r="O949" s="10"/>
    </row>
    <row r="950" spans="1:23" ht="20.100000000000001" customHeight="1" x14ac:dyDescent="0.25">
      <c r="A950" s="25" t="s">
        <v>716</v>
      </c>
      <c r="B950" s="25"/>
      <c r="C950" s="25"/>
      <c r="D950" s="39"/>
      <c r="E950" s="25"/>
      <c r="F950" s="25"/>
      <c r="G950" s="25"/>
      <c r="H950" s="35"/>
      <c r="I950" s="25"/>
      <c r="J950" s="35"/>
      <c r="K950" s="35"/>
      <c r="L950" s="35"/>
      <c r="M950" s="35"/>
      <c r="N950" s="25"/>
      <c r="O950" s="10"/>
    </row>
    <row r="951" spans="1:23" ht="20.100000000000001" customHeight="1" x14ac:dyDescent="0.25">
      <c r="A951" s="507" t="s">
        <v>719</v>
      </c>
      <c r="B951" s="507"/>
      <c r="C951" s="331">
        <f>-(B948+B949*C953)*F948*F949</f>
        <v>146.58653338297978</v>
      </c>
      <c r="D951" s="25" t="s">
        <v>120</v>
      </c>
      <c r="E951" s="25" t="s">
        <v>718</v>
      </c>
      <c r="F951" s="25"/>
      <c r="G951" s="25"/>
      <c r="H951" s="35"/>
      <c r="I951" s="25"/>
      <c r="J951" s="35"/>
      <c r="K951" s="35"/>
      <c r="L951" s="35"/>
      <c r="M951" s="35"/>
      <c r="N951" s="25"/>
      <c r="O951" s="10"/>
    </row>
    <row r="952" spans="1:23" ht="20.100000000000001" customHeight="1" x14ac:dyDescent="0.25">
      <c r="A952" s="507" t="s">
        <v>720</v>
      </c>
      <c r="B952" s="507"/>
      <c r="C952" s="25">
        <f>B949*C954*F948*F949</f>
        <v>-1017.3329825867889</v>
      </c>
      <c r="D952" s="25" t="s">
        <v>120</v>
      </c>
      <c r="E952" s="25" t="s">
        <v>721</v>
      </c>
      <c r="F952" s="25"/>
      <c r="G952" s="25"/>
      <c r="H952" s="35"/>
      <c r="I952" s="25"/>
      <c r="J952" s="35"/>
      <c r="K952" s="35"/>
      <c r="L952" s="35"/>
      <c r="M952" s="35"/>
      <c r="N952" s="25"/>
    </row>
    <row r="953" spans="1:23" ht="20.100000000000001" customHeight="1" x14ac:dyDescent="0.25">
      <c r="A953" s="500" t="s">
        <v>662</v>
      </c>
      <c r="B953" s="500"/>
      <c r="C953" s="192">
        <f>M27</f>
        <v>0.35521776062357258</v>
      </c>
      <c r="E953" s="25"/>
      <c r="F953" s="25"/>
      <c r="G953" s="25"/>
      <c r="H953" s="35"/>
      <c r="I953" s="25"/>
      <c r="J953" s="35"/>
      <c r="K953" s="35"/>
      <c r="L953" s="35"/>
      <c r="M953" s="35"/>
      <c r="N953" s="25"/>
    </row>
    <row r="954" spans="1:23" ht="20.100000000000001" customHeight="1" x14ac:dyDescent="0.25">
      <c r="A954" s="500" t="s">
        <v>663</v>
      </c>
      <c r="B954" s="500"/>
      <c r="C954" s="192">
        <f>M28</f>
        <v>0.93478358058834898</v>
      </c>
      <c r="E954" s="25"/>
      <c r="F954" s="25"/>
      <c r="G954" s="25"/>
      <c r="H954" s="35"/>
      <c r="I954" s="25"/>
      <c r="J954" s="35"/>
      <c r="K954" s="35"/>
      <c r="L954" s="35"/>
      <c r="M954" s="35"/>
      <c r="N954" s="25"/>
      <c r="O954" s="10"/>
    </row>
    <row r="955" spans="1:23" ht="20.100000000000001" customHeight="1" x14ac:dyDescent="0.25">
      <c r="A955" s="513" t="s">
        <v>664</v>
      </c>
      <c r="B955" s="513"/>
      <c r="C955" s="192">
        <f>M29</f>
        <v>-1.9996001199600159E-2</v>
      </c>
      <c r="D955" s="25"/>
      <c r="E955" s="25"/>
      <c r="F955" s="25"/>
      <c r="G955" s="25"/>
      <c r="H955" s="35"/>
      <c r="I955" s="25"/>
      <c r="J955" s="35"/>
      <c r="K955" s="35"/>
      <c r="L955" s="35"/>
      <c r="M955" s="35"/>
      <c r="N955" s="25"/>
      <c r="O955" s="10"/>
    </row>
    <row r="956" spans="1:23" ht="20.100000000000001" customHeight="1" x14ac:dyDescent="0.25">
      <c r="A956" s="513" t="s">
        <v>665</v>
      </c>
      <c r="B956" s="513"/>
      <c r="C956" s="192">
        <f>M30</f>
        <v>0.99980005998000709</v>
      </c>
      <c r="D956" s="25"/>
      <c r="E956" s="25"/>
      <c r="F956" s="25"/>
      <c r="G956" s="25"/>
      <c r="H956" s="35"/>
      <c r="I956" s="25"/>
      <c r="J956" s="35"/>
      <c r="K956" s="35"/>
      <c r="L956" s="35"/>
      <c r="M956" s="35"/>
      <c r="N956" s="25"/>
      <c r="O956" s="367" t="s">
        <v>728</v>
      </c>
    </row>
    <row r="957" spans="1:23" ht="20.100000000000001" customHeight="1" x14ac:dyDescent="0.25">
      <c r="A957" s="25" t="s">
        <v>724</v>
      </c>
      <c r="B957" s="331"/>
      <c r="C957" s="25"/>
      <c r="D957" s="25"/>
      <c r="E957" s="232"/>
      <c r="F957" s="232"/>
      <c r="G957" s="232"/>
      <c r="H957" s="345"/>
      <c r="I957" s="232"/>
      <c r="J957" s="345"/>
      <c r="K957" s="35"/>
      <c r="L957" s="35"/>
      <c r="M957" s="35"/>
      <c r="N957" s="25"/>
      <c r="O957" s="10"/>
      <c r="P957" s="25" t="s">
        <v>724</v>
      </c>
      <c r="U957" s="369"/>
      <c r="V957" s="369"/>
      <c r="W957" s="370"/>
    </row>
    <row r="958" spans="1:23" ht="20.100000000000001" customHeight="1" x14ac:dyDescent="0.25">
      <c r="A958" s="25" t="s">
        <v>140</v>
      </c>
      <c r="B958" s="506">
        <f>Q958</f>
        <v>6633.6600000000017</v>
      </c>
      <c r="C958" s="506"/>
      <c r="D958" s="25" t="s">
        <v>122</v>
      </c>
      <c r="E958" s="232"/>
      <c r="F958" s="232"/>
      <c r="G958" s="232"/>
      <c r="H958" s="345"/>
      <c r="I958" s="232"/>
      <c r="J958" s="345"/>
      <c r="K958" s="35"/>
      <c r="L958" s="35"/>
      <c r="M958" s="35"/>
      <c r="N958" s="25"/>
      <c r="O958" s="10"/>
      <c r="P958" s="25" t="s">
        <v>140</v>
      </c>
      <c r="Q958" s="514">
        <f>'[1]TABLA FINAL'!$S$58</f>
        <v>6633.6600000000017</v>
      </c>
      <c r="R958" s="514"/>
      <c r="S958" s="25" t="s">
        <v>122</v>
      </c>
      <c r="U958" s="369"/>
      <c r="V958" s="369"/>
      <c r="W958" s="370"/>
    </row>
    <row r="959" spans="1:23" ht="20.100000000000001" customHeight="1" x14ac:dyDescent="0.25">
      <c r="A959" s="232" t="s">
        <v>670</v>
      </c>
      <c r="B959" s="509">
        <f>B958*$C$953</f>
        <v>2356.3938499381688</v>
      </c>
      <c r="C959" s="509"/>
      <c r="D959" s="25" t="s">
        <v>122</v>
      </c>
      <c r="E959" s="232"/>
      <c r="F959" s="232"/>
      <c r="G959" s="232"/>
      <c r="H959" s="345"/>
      <c r="I959" s="232"/>
      <c r="J959" s="345"/>
      <c r="K959" s="35"/>
      <c r="L959" s="35"/>
      <c r="M959" s="35"/>
      <c r="N959" s="25"/>
      <c r="O959" s="10"/>
      <c r="P959" s="232" t="s">
        <v>670</v>
      </c>
      <c r="Q959" s="509">
        <f>Q958*$C$953</f>
        <v>2356.3938499381688</v>
      </c>
      <c r="R959" s="509"/>
      <c r="S959" s="25" t="s">
        <v>122</v>
      </c>
      <c r="U959" s="369"/>
      <c r="V959" s="369"/>
      <c r="W959" s="370"/>
    </row>
    <row r="960" spans="1:23" ht="20.100000000000001" customHeight="1" x14ac:dyDescent="0.25">
      <c r="A960" s="232" t="s">
        <v>671</v>
      </c>
      <c r="B960" s="509">
        <f>B958*C954</f>
        <v>6201.036447205709</v>
      </c>
      <c r="C960" s="509"/>
      <c r="D960" s="25" t="s">
        <v>122</v>
      </c>
      <c r="E960" s="232"/>
      <c r="F960" s="232"/>
      <c r="G960" s="232"/>
      <c r="H960" s="345"/>
      <c r="I960" s="232"/>
      <c r="J960" s="345"/>
      <c r="K960" s="35"/>
      <c r="L960" s="35"/>
      <c r="M960" s="35"/>
      <c r="N960" s="25"/>
      <c r="O960" s="10"/>
      <c r="P960" s="372" t="s">
        <v>736</v>
      </c>
      <c r="Q960" s="531">
        <f>Q958*$C$954</f>
        <v>6201.036447205709</v>
      </c>
      <c r="R960" s="531"/>
      <c r="S960" s="373" t="s">
        <v>122</v>
      </c>
      <c r="T960" s="368" t="s">
        <v>729</v>
      </c>
      <c r="U960" s="369"/>
      <c r="V960" s="369"/>
      <c r="W960" s="370"/>
    </row>
    <row r="961" spans="1:29" ht="20.100000000000001" customHeight="1" x14ac:dyDescent="0.25">
      <c r="A961" s="232"/>
      <c r="B961" s="344"/>
      <c r="C961" s="232"/>
      <c r="D961" s="232"/>
      <c r="E961" s="232"/>
      <c r="F961" s="346"/>
      <c r="G961" s="232"/>
      <c r="H961" s="345"/>
      <c r="I961" s="232"/>
      <c r="J961" s="345"/>
      <c r="K961" s="345"/>
      <c r="L961" s="345"/>
      <c r="M961" s="345"/>
      <c r="N961" s="232"/>
      <c r="O961" s="10"/>
      <c r="U961" s="369"/>
      <c r="V961" s="369"/>
      <c r="W961" s="370"/>
    </row>
    <row r="962" spans="1:29" ht="20.100000000000001" customHeight="1" x14ac:dyDescent="0.25">
      <c r="A962" s="25" t="s">
        <v>722</v>
      </c>
      <c r="B962" s="331"/>
      <c r="C962" s="25"/>
      <c r="D962" s="25"/>
      <c r="E962" s="232"/>
      <c r="F962" s="232" t="s">
        <v>669</v>
      </c>
      <c r="G962" s="232"/>
      <c r="H962" s="345"/>
      <c r="I962" s="345"/>
      <c r="J962" s="345"/>
      <c r="K962" s="345" t="s">
        <v>686</v>
      </c>
      <c r="L962" s="345"/>
      <c r="M962" s="345"/>
      <c r="N962" s="232"/>
      <c r="O962" s="10"/>
      <c r="P962" s="25" t="s">
        <v>722</v>
      </c>
      <c r="Q962" s="335"/>
      <c r="R962" s="25"/>
      <c r="S962" s="25"/>
      <c r="U962" s="369"/>
      <c r="V962" s="369"/>
      <c r="W962" s="370"/>
      <c r="Y962" s="25" t="s">
        <v>732</v>
      </c>
    </row>
    <row r="963" spans="1:29" ht="20.100000000000001" customHeight="1" x14ac:dyDescent="0.25">
      <c r="A963" s="25" t="s">
        <v>140</v>
      </c>
      <c r="B963" s="506">
        <f>B965/C956</f>
        <v>-17802.559444091177</v>
      </c>
      <c r="C963" s="506"/>
      <c r="D963" s="25" t="s">
        <v>122</v>
      </c>
      <c r="E963" s="498" t="s">
        <v>676</v>
      </c>
      <c r="F963" s="498"/>
      <c r="G963" s="522">
        <f>C951</f>
        <v>146.58653338297978</v>
      </c>
      <c r="H963" s="522"/>
      <c r="I963" s="42" t="s">
        <v>120</v>
      </c>
      <c r="J963" s="345"/>
      <c r="K963" s="350" t="s">
        <v>679</v>
      </c>
      <c r="L963" s="351">
        <f>G963+G964+G965+G967</f>
        <v>2974.3203833211492</v>
      </c>
      <c r="M963" s="350" t="s">
        <v>120</v>
      </c>
      <c r="N963" s="232"/>
      <c r="O963" s="10"/>
      <c r="P963" s="25" t="s">
        <v>140</v>
      </c>
      <c r="Q963" s="514">
        <f>'[1]TABLA FINAL'!$S$59</f>
        <v>-10170.750000000002</v>
      </c>
      <c r="R963" s="514"/>
      <c r="S963" s="25" t="s">
        <v>122</v>
      </c>
      <c r="U963" s="369"/>
      <c r="V963" s="369"/>
      <c r="W963" s="370"/>
      <c r="Y963" s="123" t="s">
        <v>733</v>
      </c>
      <c r="Z963" s="376"/>
      <c r="AA963" s="377">
        <f>Q960+Q965</f>
        <v>-3967.6800128359491</v>
      </c>
      <c r="AB963" s="378"/>
      <c r="AC963" s="124" t="s">
        <v>120</v>
      </c>
    </row>
    <row r="964" spans="1:29" ht="20.100000000000001" customHeight="1" x14ac:dyDescent="0.25">
      <c r="A964" s="232" t="s">
        <v>672</v>
      </c>
      <c r="B964" s="509">
        <f>B963*$C$955</f>
        <v>355.9800000000003</v>
      </c>
      <c r="C964" s="509"/>
      <c r="D964" s="25" t="s">
        <v>122</v>
      </c>
      <c r="E964" s="347"/>
      <c r="F964" s="232" t="s">
        <v>670</v>
      </c>
      <c r="G964" s="508">
        <f>B959</f>
        <v>2356.3938499381688</v>
      </c>
      <c r="H964" s="508"/>
      <c r="I964" s="330" t="s">
        <v>122</v>
      </c>
      <c r="J964" s="232"/>
      <c r="K964" s="350" t="s">
        <v>680</v>
      </c>
      <c r="L964" s="351">
        <f>L963+G966+G967</f>
        <v>7738.2203833211488</v>
      </c>
      <c r="M964" s="350" t="s">
        <v>120</v>
      </c>
      <c r="N964" s="232"/>
      <c r="O964" s="10"/>
      <c r="P964" s="232" t="s">
        <v>672</v>
      </c>
      <c r="Q964" s="509">
        <f>Q963*$C$955</f>
        <v>203.37432920083336</v>
      </c>
      <c r="R964" s="509"/>
      <c r="S964" s="25" t="s">
        <v>122</v>
      </c>
      <c r="U964" s="369"/>
      <c r="V964" s="369"/>
      <c r="W964" s="370"/>
    </row>
    <row r="965" spans="1:29" ht="20.100000000000001" customHeight="1" x14ac:dyDescent="0.25">
      <c r="A965" s="232" t="s">
        <v>673</v>
      </c>
      <c r="B965" s="510">
        <v>-17799</v>
      </c>
      <c r="C965" s="510"/>
      <c r="D965" s="25" t="s">
        <v>122</v>
      </c>
      <c r="E965" s="347"/>
      <c r="F965" s="232" t="s">
        <v>672</v>
      </c>
      <c r="G965" s="508">
        <f>B964</f>
        <v>355.9800000000003</v>
      </c>
      <c r="H965" s="508"/>
      <c r="I965" s="330" t="s">
        <v>122</v>
      </c>
      <c r="J965" s="232"/>
      <c r="K965" s="350" t="s">
        <v>681</v>
      </c>
      <c r="L965" s="351">
        <f>L964+$G$967</f>
        <v>7853.5803833211485</v>
      </c>
      <c r="M965" s="350" t="s">
        <v>120</v>
      </c>
      <c r="N965" s="232"/>
      <c r="O965" s="10"/>
      <c r="P965" s="372" t="s">
        <v>735</v>
      </c>
      <c r="Q965" s="531">
        <f>Q963*$C$956</f>
        <v>-10168.716460041658</v>
      </c>
      <c r="R965" s="531"/>
      <c r="S965" s="379" t="s">
        <v>122</v>
      </c>
      <c r="T965" s="368" t="s">
        <v>729</v>
      </c>
      <c r="U965" s="369"/>
      <c r="V965" s="369"/>
      <c r="W965" s="370"/>
    </row>
    <row r="966" spans="1:29" ht="20.100000000000001" customHeight="1" x14ac:dyDescent="0.25">
      <c r="A966" s="348"/>
      <c r="B966" s="348"/>
      <c r="C966" s="348"/>
      <c r="D966" s="348"/>
      <c r="E966" s="348"/>
      <c r="F966" s="232" t="s">
        <v>677</v>
      </c>
      <c r="G966" s="508">
        <f>B969</f>
        <v>4648.54</v>
      </c>
      <c r="H966" s="508"/>
      <c r="I966" s="330" t="s">
        <v>122</v>
      </c>
      <c r="J966" s="232"/>
      <c r="K966" s="350" t="s">
        <v>682</v>
      </c>
      <c r="L966" s="351">
        <f>L965+$G$967</f>
        <v>7968.9403833211481</v>
      </c>
      <c r="M966" s="350" t="s">
        <v>120</v>
      </c>
      <c r="N966" s="232"/>
      <c r="O966" s="10"/>
      <c r="U966" s="369"/>
      <c r="V966" s="369"/>
      <c r="W966" s="370"/>
    </row>
    <row r="967" spans="1:29" ht="20.100000000000001" customHeight="1" x14ac:dyDescent="0.25">
      <c r="A967" s="25" t="s">
        <v>723</v>
      </c>
      <c r="B967" s="331"/>
      <c r="C967" s="25"/>
      <c r="D967" s="25"/>
      <c r="E967" s="348"/>
      <c r="F967" s="347" t="s">
        <v>674</v>
      </c>
      <c r="G967" s="508">
        <f>C975</f>
        <v>115.36</v>
      </c>
      <c r="H967" s="508"/>
      <c r="I967" s="347" t="s">
        <v>122</v>
      </c>
      <c r="J967" s="345"/>
      <c r="K967" s="350" t="s">
        <v>683</v>
      </c>
      <c r="L967" s="351">
        <f>L966+$G$967</f>
        <v>8084.3003833211478</v>
      </c>
      <c r="M967" s="350" t="s">
        <v>120</v>
      </c>
      <c r="N967" s="232"/>
      <c r="O967" s="10"/>
      <c r="P967" s="25" t="s">
        <v>723</v>
      </c>
      <c r="Q967" s="335"/>
      <c r="R967" s="25"/>
      <c r="S967" s="25"/>
      <c r="U967" s="369"/>
      <c r="V967" s="369"/>
      <c r="W967" s="370"/>
    </row>
    <row r="968" spans="1:29" ht="20.100000000000001" customHeight="1" x14ac:dyDescent="0.25">
      <c r="A968" s="25" t="s">
        <v>140</v>
      </c>
      <c r="B968" s="506">
        <f>B970/C954</f>
        <v>13086.451510306375</v>
      </c>
      <c r="C968" s="506"/>
      <c r="D968" s="25" t="s">
        <v>122</v>
      </c>
      <c r="E968" s="232"/>
      <c r="F968" s="232"/>
      <c r="G968" s="329"/>
      <c r="H968" s="345"/>
      <c r="I968" s="232"/>
      <c r="J968" s="347"/>
      <c r="K968" s="350" t="s">
        <v>684</v>
      </c>
      <c r="L968" s="351">
        <f>L967+$G$967</f>
        <v>8199.6603833211484</v>
      </c>
      <c r="M968" s="350" t="s">
        <v>120</v>
      </c>
      <c r="N968" s="232"/>
      <c r="O968" s="10"/>
      <c r="P968" s="25" t="s">
        <v>140</v>
      </c>
      <c r="Q968" s="514">
        <f>'[1]TABLA FINAL'!$S$60</f>
        <v>4923.4199999999992</v>
      </c>
      <c r="R968" s="514"/>
      <c r="S968" s="25" t="s">
        <v>122</v>
      </c>
    </row>
    <row r="969" spans="1:29" ht="20.100000000000001" customHeight="1" x14ac:dyDescent="0.25">
      <c r="A969" s="232" t="s">
        <v>677</v>
      </c>
      <c r="B969" s="509">
        <f>B968*$C$953</f>
        <v>4648.54</v>
      </c>
      <c r="C969" s="509"/>
      <c r="D969" s="25" t="s">
        <v>122</v>
      </c>
      <c r="E969" s="232"/>
      <c r="F969" s="232"/>
      <c r="G969" s="329"/>
      <c r="H969" s="345"/>
      <c r="I969" s="232"/>
      <c r="J969" s="232"/>
      <c r="K969" s="350" t="s">
        <v>685</v>
      </c>
      <c r="L969" s="351">
        <f>L968+$G$967</f>
        <v>8315.020383321149</v>
      </c>
      <c r="M969" s="350" t="s">
        <v>120</v>
      </c>
      <c r="N969" s="232"/>
      <c r="O969" s="10"/>
      <c r="P969" s="232" t="s">
        <v>677</v>
      </c>
      <c r="Q969" s="509">
        <f>Q968*$C$953</f>
        <v>1748.8862270093093</v>
      </c>
      <c r="R969" s="509"/>
      <c r="S969" s="25" t="s">
        <v>122</v>
      </c>
    </row>
    <row r="970" spans="1:29" ht="20.100000000000001" customHeight="1" x14ac:dyDescent="0.25">
      <c r="A970" s="232" t="s">
        <v>678</v>
      </c>
      <c r="B970" s="510">
        <v>12233</v>
      </c>
      <c r="C970" s="510"/>
      <c r="D970" s="25" t="s">
        <v>122</v>
      </c>
      <c r="E970" s="232"/>
      <c r="F970" s="232"/>
      <c r="G970" s="329"/>
      <c r="H970" s="345"/>
      <c r="I970" s="232"/>
      <c r="J970" s="232"/>
      <c r="K970" s="354" t="s">
        <v>725</v>
      </c>
      <c r="L970" s="355">
        <f>MAX(L963:L969)</f>
        <v>8315.020383321149</v>
      </c>
      <c r="M970" s="356" t="s">
        <v>120</v>
      </c>
      <c r="N970" s="232"/>
      <c r="O970" s="10"/>
      <c r="P970" s="372" t="s">
        <v>730</v>
      </c>
      <c r="Q970" s="531">
        <f>Q968*$C$954</f>
        <v>4602.3321763402882</v>
      </c>
      <c r="R970" s="531"/>
      <c r="S970" s="373" t="s">
        <v>122</v>
      </c>
      <c r="T970" s="368" t="s">
        <v>729</v>
      </c>
    </row>
    <row r="971" spans="1:29" ht="20.100000000000001" customHeight="1" x14ac:dyDescent="0.25">
      <c r="A971" s="232"/>
      <c r="B971" s="232"/>
      <c r="C971" s="232"/>
      <c r="D971" s="232"/>
      <c r="E971" s="232"/>
      <c r="F971" s="232" t="s">
        <v>687</v>
      </c>
      <c r="G971" s="232"/>
      <c r="H971" s="345"/>
      <c r="I971" s="345"/>
      <c r="J971" s="345"/>
      <c r="K971" s="345" t="s">
        <v>690</v>
      </c>
      <c r="L971" s="345"/>
      <c r="M971" s="345"/>
      <c r="N971" s="232"/>
      <c r="O971" s="10"/>
    </row>
    <row r="972" spans="1:29" ht="20.100000000000001" customHeight="1" x14ac:dyDescent="0.25">
      <c r="A972" s="232" t="s">
        <v>668</v>
      </c>
      <c r="B972" s="232"/>
      <c r="C972" s="232"/>
      <c r="D972" s="232"/>
      <c r="E972" s="498" t="s">
        <v>688</v>
      </c>
      <c r="F972" s="498"/>
      <c r="G972" s="511">
        <f>C952</f>
        <v>-1017.3329825867889</v>
      </c>
      <c r="H972" s="511"/>
      <c r="I972" s="42" t="s">
        <v>120</v>
      </c>
      <c r="J972" s="345"/>
      <c r="K972" s="350" t="s">
        <v>707</v>
      </c>
      <c r="L972" s="530">
        <f>G972+G973+G974+G976</f>
        <v>-12088.826710565585</v>
      </c>
      <c r="M972" s="530"/>
      <c r="N972" s="388" t="s">
        <v>120</v>
      </c>
      <c r="O972" s="12"/>
    </row>
    <row r="973" spans="1:29" ht="20.100000000000001" customHeight="1" x14ac:dyDescent="0.25">
      <c r="A973" s="512" t="s">
        <v>248</v>
      </c>
      <c r="B973" s="512"/>
      <c r="C973" s="235">
        <f>K742</f>
        <v>28.84</v>
      </c>
      <c r="D973" s="232" t="s">
        <v>242</v>
      </c>
      <c r="E973" s="347"/>
      <c r="F973" s="232" t="s">
        <v>689</v>
      </c>
      <c r="G973" s="508">
        <f>B960</f>
        <v>6201.036447205709</v>
      </c>
      <c r="H973" s="508"/>
      <c r="I973" s="330" t="s">
        <v>122</v>
      </c>
      <c r="J973" s="232"/>
      <c r="K973" s="350" t="s">
        <v>708</v>
      </c>
      <c r="L973" s="351">
        <f>L972+G975+G976</f>
        <v>670.64311424990933</v>
      </c>
      <c r="M973" s="350" t="s">
        <v>120</v>
      </c>
      <c r="N973" s="25"/>
      <c r="O973" s="12"/>
    </row>
    <row r="974" spans="1:29" ht="20.100000000000001" customHeight="1" x14ac:dyDescent="0.25">
      <c r="A974" s="504" t="s">
        <v>249</v>
      </c>
      <c r="B974" s="504"/>
      <c r="C974" s="130">
        <f>K754</f>
        <v>131.61745620387359</v>
      </c>
      <c r="D974" s="232" t="s">
        <v>242</v>
      </c>
      <c r="E974" s="347"/>
      <c r="F974" s="232" t="s">
        <v>673</v>
      </c>
      <c r="G974" s="508">
        <f>B965</f>
        <v>-17799</v>
      </c>
      <c r="H974" s="508"/>
      <c r="I974" s="330" t="s">
        <v>122</v>
      </c>
      <c r="J974" s="232"/>
      <c r="K974" s="350" t="s">
        <v>709</v>
      </c>
      <c r="L974" s="351">
        <f>L973+$G$976</f>
        <v>1197.1129390654037</v>
      </c>
      <c r="M974" s="350" t="s">
        <v>120</v>
      </c>
      <c r="N974" s="25"/>
      <c r="O974" s="12"/>
    </row>
    <row r="975" spans="1:29" ht="20.100000000000001" customHeight="1" x14ac:dyDescent="0.25">
      <c r="A975" s="25"/>
      <c r="B975" s="347" t="s">
        <v>674</v>
      </c>
      <c r="C975" s="235">
        <f>C973*F948</f>
        <v>115.36</v>
      </c>
      <c r="D975" s="232" t="s">
        <v>122</v>
      </c>
      <c r="E975" s="348"/>
      <c r="F975" s="232" t="s">
        <v>678</v>
      </c>
      <c r="G975" s="508">
        <f>B970</f>
        <v>12233</v>
      </c>
      <c r="H975" s="508"/>
      <c r="I975" s="330" t="s">
        <v>122</v>
      </c>
      <c r="J975" s="232"/>
      <c r="K975" s="350" t="s">
        <v>710</v>
      </c>
      <c r="L975" s="351">
        <f>L974+$G$976</f>
        <v>1723.582763880898</v>
      </c>
      <c r="M975" s="350" t="s">
        <v>120</v>
      </c>
      <c r="N975" s="25"/>
      <c r="O975" s="12"/>
    </row>
    <row r="976" spans="1:29" ht="20.100000000000001" customHeight="1" x14ac:dyDescent="0.25">
      <c r="A976" s="25"/>
      <c r="B976" s="330" t="s">
        <v>675</v>
      </c>
      <c r="C976" s="130">
        <f>C974*F903</f>
        <v>526.46982481549435</v>
      </c>
      <c r="D976" s="25" t="s">
        <v>122</v>
      </c>
      <c r="E976" s="348"/>
      <c r="F976" s="347" t="s">
        <v>675</v>
      </c>
      <c r="G976" s="508">
        <f>C976</f>
        <v>526.46982481549435</v>
      </c>
      <c r="H976" s="508"/>
      <c r="I976" s="347" t="s">
        <v>122</v>
      </c>
      <c r="J976" s="345"/>
      <c r="K976" s="350" t="s">
        <v>711</v>
      </c>
      <c r="L976" s="351">
        <f>L975+$G$976</f>
        <v>2250.0525886963924</v>
      </c>
      <c r="M976" s="350" t="s">
        <v>120</v>
      </c>
      <c r="N976" s="25"/>
      <c r="O976" s="12"/>
    </row>
    <row r="977" spans="1:29" ht="20.100000000000001" customHeight="1" x14ac:dyDescent="0.25">
      <c r="A977" s="25"/>
      <c r="B977" s="25"/>
      <c r="C977" s="25"/>
      <c r="D977" s="25"/>
      <c r="E977" s="232"/>
      <c r="F977" s="232"/>
      <c r="G977" s="329"/>
      <c r="H977" s="345"/>
      <c r="I977" s="232"/>
      <c r="J977" s="347"/>
      <c r="K977" s="350" t="s">
        <v>712</v>
      </c>
      <c r="L977" s="351">
        <f>L976+$G$976</f>
        <v>2776.522413511887</v>
      </c>
      <c r="M977" s="350" t="s">
        <v>120</v>
      </c>
      <c r="N977" s="25"/>
      <c r="O977" s="12"/>
    </row>
    <row r="978" spans="1:29" ht="20.100000000000001" customHeight="1" x14ac:dyDescent="0.25">
      <c r="A978" s="12"/>
      <c r="B978" s="12"/>
      <c r="C978" s="12"/>
      <c r="D978" s="12"/>
      <c r="E978" s="232"/>
      <c r="F978" s="232"/>
      <c r="G978" s="329"/>
      <c r="H978" s="345"/>
      <c r="I978" s="232"/>
      <c r="J978" s="232"/>
      <c r="K978" s="350" t="s">
        <v>713</v>
      </c>
      <c r="L978" s="351">
        <f>L977+$G$976</f>
        <v>3302.9922383273815</v>
      </c>
      <c r="M978" s="350" t="s">
        <v>120</v>
      </c>
      <c r="N978" s="12"/>
      <c r="O978" s="12"/>
    </row>
    <row r="979" spans="1:29" ht="20.100000000000001" customHeight="1" x14ac:dyDescent="0.25">
      <c r="A979" s="12"/>
      <c r="B979" s="12"/>
      <c r="C979" s="12"/>
      <c r="D979" s="12"/>
      <c r="E979" s="12"/>
      <c r="F979" s="10"/>
      <c r="G979" s="329"/>
      <c r="H979" s="50"/>
      <c r="I979" s="50"/>
      <c r="J979" s="50"/>
      <c r="K979" s="50"/>
      <c r="L979" s="50"/>
      <c r="M979" s="50"/>
      <c r="N979" s="12"/>
      <c r="O979" s="12"/>
      <c r="P979" s="25" t="s">
        <v>741</v>
      </c>
      <c r="Q979" s="25"/>
      <c r="R979" s="25"/>
      <c r="S979" s="25"/>
      <c r="T979" s="25" t="s">
        <v>738</v>
      </c>
      <c r="U979" s="25"/>
      <c r="V979" s="25"/>
      <c r="W979" s="25"/>
      <c r="X979" s="514">
        <f>G443</f>
        <v>23569.109999999993</v>
      </c>
      <c r="Y979" s="514"/>
      <c r="Z979" s="25" t="s">
        <v>120</v>
      </c>
    </row>
    <row r="980" spans="1:29" ht="20.100000000000001" customHeight="1" x14ac:dyDescent="0.25">
      <c r="A980" s="12" t="s">
        <v>691</v>
      </c>
      <c r="B980" s="12"/>
      <c r="C980" s="12"/>
      <c r="D980" s="12"/>
      <c r="E980" s="12"/>
      <c r="F980" s="10"/>
      <c r="G980" s="329"/>
      <c r="H980" s="50"/>
      <c r="I980" s="50"/>
      <c r="J980" s="50"/>
      <c r="K980" s="50"/>
      <c r="L980" s="50"/>
      <c r="M980" s="50"/>
      <c r="N980" s="12"/>
      <c r="O980" s="12"/>
      <c r="P980" s="25"/>
      <c r="Q980" s="25"/>
      <c r="R980" s="25"/>
      <c r="S980" s="25"/>
      <c r="T980" s="380" t="s">
        <v>740</v>
      </c>
      <c r="U980" s="46"/>
      <c r="V980" s="46"/>
      <c r="W980" s="46"/>
      <c r="X980" s="528">
        <f>X979*C954</f>
        <v>22032.017037080655</v>
      </c>
      <c r="Y980" s="528"/>
      <c r="Z980" s="381" t="s">
        <v>120</v>
      </c>
    </row>
    <row r="981" spans="1:29" ht="20.100000000000001" customHeight="1" thickBot="1" x14ac:dyDescent="0.3">
      <c r="A981" s="12" t="s">
        <v>692</v>
      </c>
      <c r="B981" s="12"/>
      <c r="C981" s="12"/>
      <c r="D981" s="12"/>
      <c r="E981" s="12"/>
      <c r="F981" s="10"/>
      <c r="G981" s="329"/>
      <c r="H981" s="50"/>
      <c r="I981" s="50"/>
      <c r="J981" s="50"/>
      <c r="K981" s="50"/>
      <c r="L981" s="50"/>
      <c r="M981" s="50"/>
      <c r="N981" s="12"/>
      <c r="O981" s="12"/>
      <c r="P981" s="25"/>
      <c r="Q981" s="25"/>
      <c r="R981" s="25"/>
      <c r="S981" s="25"/>
      <c r="T981" s="382" t="s">
        <v>737</v>
      </c>
      <c r="U981" s="12"/>
      <c r="V981" s="12"/>
      <c r="W981" s="12"/>
      <c r="X981" s="535">
        <f>-G651</f>
        <v>-18359.52</v>
      </c>
      <c r="Y981" s="535"/>
      <c r="Z981" s="383" t="s">
        <v>120</v>
      </c>
    </row>
    <row r="982" spans="1:29" ht="20.100000000000001" customHeight="1" x14ac:dyDescent="0.25">
      <c r="A982" s="12" t="s">
        <v>693</v>
      </c>
      <c r="B982" s="127">
        <v>0.8</v>
      </c>
      <c r="C982" s="12" t="s">
        <v>5</v>
      </c>
      <c r="D982" s="332" t="s">
        <v>701</v>
      </c>
      <c r="E982" s="131">
        <f>L972*B982</f>
        <v>-9671.0613684524687</v>
      </c>
      <c r="F982" s="12" t="s">
        <v>139</v>
      </c>
      <c r="G982" s="12"/>
      <c r="H982" s="390" t="s">
        <v>742</v>
      </c>
      <c r="I982" s="391"/>
      <c r="J982" s="104"/>
      <c r="K982" s="104"/>
      <c r="L982" s="105"/>
      <c r="M982" s="343"/>
      <c r="N982" s="12"/>
      <c r="O982" s="12"/>
      <c r="P982" s="25"/>
      <c r="Q982" s="25"/>
      <c r="R982" s="25"/>
      <c r="S982" s="25"/>
      <c r="T982" s="375" t="s">
        <v>739</v>
      </c>
      <c r="U982" s="214"/>
      <c r="V982" s="214"/>
      <c r="W982" s="214"/>
      <c r="X982" s="529">
        <f>X980+X981</f>
        <v>3672.497037080655</v>
      </c>
      <c r="Y982" s="521"/>
      <c r="Z982" s="384" t="s">
        <v>120</v>
      </c>
      <c r="AA982" s="25"/>
      <c r="AB982" s="25"/>
      <c r="AC982" s="25"/>
    </row>
    <row r="983" spans="1:29" ht="20.100000000000001" customHeight="1" x14ac:dyDescent="0.25">
      <c r="A983" s="12" t="s">
        <v>694</v>
      </c>
      <c r="B983" s="127">
        <v>0.6</v>
      </c>
      <c r="C983" s="12" t="s">
        <v>5</v>
      </c>
      <c r="D983" s="332" t="s">
        <v>702</v>
      </c>
      <c r="E983" s="131">
        <f>L972*(B982+B983)+(G975+G976)*B983</f>
        <v>-9268.6754999025234</v>
      </c>
      <c r="F983" s="12" t="s">
        <v>139</v>
      </c>
      <c r="G983" s="12"/>
      <c r="H983" s="534" t="s">
        <v>743</v>
      </c>
      <c r="I983" s="535"/>
      <c r="J983" s="536">
        <f>MAX(E982:E988,-MIN(E982:E988),E937:E943,-MIN(E937:E943))</f>
        <v>9671.0613684524687</v>
      </c>
      <c r="K983" s="536"/>
      <c r="L983" s="109" t="s">
        <v>251</v>
      </c>
      <c r="N983" s="12"/>
      <c r="O983" s="12"/>
      <c r="Q983" s="306" t="s">
        <v>734</v>
      </c>
      <c r="R983" s="12"/>
      <c r="S983" s="50"/>
      <c r="T983" s="50"/>
      <c r="U983" s="48"/>
      <c r="W983" s="25"/>
      <c r="Y983" s="25"/>
      <c r="Z983" s="25"/>
      <c r="AA983" s="25"/>
      <c r="AB983" s="25"/>
      <c r="AC983" s="25"/>
    </row>
    <row r="984" spans="1:29" ht="20.100000000000001" customHeight="1" x14ac:dyDescent="0.25">
      <c r="A984" s="12" t="s">
        <v>695</v>
      </c>
      <c r="B984" s="127">
        <v>1</v>
      </c>
      <c r="C984" s="12" t="s">
        <v>5</v>
      </c>
      <c r="D984" s="332" t="s">
        <v>703</v>
      </c>
      <c r="E984" s="131">
        <f>L972*(B982+B983+B984)+(G975+G976)*(B983+B984)+G976*B984</f>
        <v>-8071.5625608371138</v>
      </c>
      <c r="F984" s="12" t="s">
        <v>139</v>
      </c>
      <c r="G984" s="12"/>
      <c r="H984" s="534" t="s">
        <v>744</v>
      </c>
      <c r="I984" s="535"/>
      <c r="J984" s="536">
        <f>MAX(L972:M978,-MIN(L972:M978),L927:L933,-MIN(L927:L933))</f>
        <v>12088.826710565585</v>
      </c>
      <c r="K984" s="542"/>
      <c r="L984" s="109" t="s">
        <v>120</v>
      </c>
      <c r="N984" s="12"/>
      <c r="O984" s="12"/>
      <c r="Q984" s="306"/>
      <c r="R984" s="540" t="s">
        <v>726</v>
      </c>
      <c r="S984" s="540"/>
      <c r="T984" s="536">
        <f>-T985</f>
        <v>0.25987427124530171</v>
      </c>
      <c r="U984" s="536"/>
      <c r="W984" s="25"/>
      <c r="X984" s="506"/>
      <c r="Y984" s="506"/>
      <c r="Z984" s="25"/>
      <c r="AA984" s="25"/>
      <c r="AB984" s="25"/>
      <c r="AC984" s="25"/>
    </row>
    <row r="985" spans="1:29" ht="20.100000000000001" customHeight="1" x14ac:dyDescent="0.25">
      <c r="A985" s="12" t="s">
        <v>696</v>
      </c>
      <c r="B985" s="127">
        <v>1</v>
      </c>
      <c r="C985" s="12" t="s">
        <v>5</v>
      </c>
      <c r="D985" s="352" t="s">
        <v>714</v>
      </c>
      <c r="E985" s="131">
        <f>L972*(B982+B983+B984+B985)+(G975+G976)*(B983+B984+B985)+G976*(B984+B985)+G976*B985</f>
        <v>-6347.9797969562114</v>
      </c>
      <c r="F985" s="12" t="s">
        <v>139</v>
      </c>
      <c r="G985" s="12"/>
      <c r="H985" s="541" t="s">
        <v>745</v>
      </c>
      <c r="I985" s="536"/>
      <c r="J985" s="536">
        <f>MAX(L963:L969,L918:L924)</f>
        <v>8315.020383321149</v>
      </c>
      <c r="K985" s="542"/>
      <c r="L985" s="109" t="s">
        <v>120</v>
      </c>
      <c r="N985" s="12"/>
      <c r="O985" s="12"/>
      <c r="Q985" s="343"/>
      <c r="R985" s="50"/>
      <c r="S985" s="50" t="s">
        <v>201</v>
      </c>
      <c r="T985" s="537">
        <f>E988/B982</f>
        <v>-0.25987427124530171</v>
      </c>
      <c r="U985" s="537"/>
      <c r="V985" s="371"/>
      <c r="W985" s="348"/>
      <c r="X985" s="348"/>
      <c r="Y985" s="348"/>
      <c r="Z985" s="348"/>
      <c r="AA985" s="25"/>
      <c r="AB985" s="25"/>
      <c r="AC985" s="25"/>
    </row>
    <row r="986" spans="1:29" ht="20.100000000000001" customHeight="1" thickBot="1" x14ac:dyDescent="0.3">
      <c r="A986" s="12" t="s">
        <v>697</v>
      </c>
      <c r="B986" s="127">
        <v>1</v>
      </c>
      <c r="C986" s="12" t="s">
        <v>5</v>
      </c>
      <c r="D986" s="332" t="s">
        <v>704</v>
      </c>
      <c r="E986" s="131">
        <f>L972*(B982+B983+B984+B985+B986)+(G975+G976)*(B983+B984+B985+B986)+G976*(B984+B985+B986)+G976*(B985+B986)+G976*B986</f>
        <v>-4097.9272082598309</v>
      </c>
      <c r="F986" s="12" t="s">
        <v>139</v>
      </c>
      <c r="G986" s="12"/>
      <c r="H986" s="543" t="s">
        <v>746</v>
      </c>
      <c r="I986" s="544"/>
      <c r="J986" s="545">
        <f>MIN(L963:L969,L918:L924)</f>
        <v>-9929.1338316924157</v>
      </c>
      <c r="K986" s="546"/>
      <c r="L986" s="116" t="s">
        <v>120</v>
      </c>
      <c r="N986" s="12"/>
      <c r="O986" s="12"/>
      <c r="Q986" s="306"/>
      <c r="R986" s="131"/>
      <c r="S986" s="385" t="s">
        <v>727</v>
      </c>
      <c r="T986" s="538">
        <f>-E988</f>
        <v>0.20789941699624137</v>
      </c>
      <c r="U986" s="539"/>
      <c r="V986" s="512"/>
      <c r="W986" s="512"/>
      <c r="X986" s="509"/>
      <c r="Y986" s="509"/>
      <c r="Z986" s="232"/>
      <c r="AA986" s="25"/>
      <c r="AB986" s="25"/>
      <c r="AC986" s="25"/>
    </row>
    <row r="987" spans="1:29" ht="20.100000000000001" customHeight="1" x14ac:dyDescent="0.25">
      <c r="A987" s="12" t="s">
        <v>698</v>
      </c>
      <c r="B987" s="127">
        <v>1</v>
      </c>
      <c r="C987" s="12" t="s">
        <v>5</v>
      </c>
      <c r="D987" s="332" t="s">
        <v>705</v>
      </c>
      <c r="E987" s="131">
        <f>L972*(B982+B983+B984+B985+B986+B987)+(G975+G976)*(B983+B984+B985+B986+B987)+G976*(B984+B985+B986+B987)+G976*(B985+B986+B987)+G976*(B986+B987)+G976*B987</f>
        <v>-1321.4047947479546</v>
      </c>
      <c r="F987" s="12" t="s">
        <v>139</v>
      </c>
      <c r="G987" s="12"/>
      <c r="H987" s="306"/>
      <c r="I987" s="306"/>
      <c r="J987" s="131" t="s">
        <v>686</v>
      </c>
      <c r="K987" s="50"/>
      <c r="L987" s="50"/>
      <c r="M987" s="343"/>
      <c r="N987" s="12"/>
      <c r="O987" s="12"/>
      <c r="S987" s="386" t="s">
        <v>731</v>
      </c>
      <c r="T987" s="387"/>
      <c r="U987" s="389"/>
      <c r="V987" s="348"/>
      <c r="W987" s="232"/>
      <c r="X987" s="533"/>
      <c r="Y987" s="533"/>
      <c r="Z987" s="232"/>
      <c r="AA987" s="25"/>
      <c r="AB987" s="25"/>
      <c r="AC987" s="25"/>
    </row>
    <row r="988" spans="1:29" ht="20.100000000000001" customHeight="1" x14ac:dyDescent="0.25">
      <c r="A988" s="12" t="s">
        <v>699</v>
      </c>
      <c r="B988" s="127">
        <v>0.4</v>
      </c>
      <c r="C988" s="12" t="s">
        <v>5</v>
      </c>
      <c r="D988" s="332" t="s">
        <v>706</v>
      </c>
      <c r="E988" s="131">
        <f>L972*(B982+B983+B984+B985+B986+B987+B988)+(G975+G976)*(B983+B984+B985+B986+B987+B988)+G976*(B984+B985+B986+B987+B988)+G976*(B985+B986+B987+B988)+G976*(B986+B987+B988)+G976*(B987+B988)+G976*B988</f>
        <v>-0.20789941699624137</v>
      </c>
      <c r="F988" s="12" t="s">
        <v>139</v>
      </c>
      <c r="G988" s="12"/>
      <c r="H988" s="343"/>
      <c r="I988" s="343"/>
      <c r="J988" s="50"/>
      <c r="K988" s="50"/>
      <c r="L988" s="50"/>
      <c r="M988" s="343"/>
      <c r="N988" s="12"/>
      <c r="O988" s="12"/>
      <c r="AA988" s="25"/>
      <c r="AB988" s="25"/>
      <c r="AC988" s="25"/>
    </row>
    <row r="989" spans="1:29" ht="20.100000000000001" customHeight="1" x14ac:dyDescent="0.25">
      <c r="A989" s="12" t="s">
        <v>700</v>
      </c>
      <c r="B989" s="127">
        <f>SUM(B982:B988)</f>
        <v>5.8000000000000007</v>
      </c>
      <c r="C989" s="12" t="s">
        <v>5</v>
      </c>
      <c r="D989" s="12"/>
      <c r="E989" s="12"/>
      <c r="F989" s="12"/>
      <c r="G989" s="12"/>
      <c r="H989" s="306"/>
      <c r="I989" s="306"/>
      <c r="J989" s="12"/>
      <c r="K989" s="50"/>
      <c r="L989" s="50"/>
      <c r="M989" s="343"/>
      <c r="N989" s="12"/>
      <c r="O989" s="12"/>
      <c r="W989" s="25"/>
      <c r="X989" s="25"/>
      <c r="Y989" s="25"/>
      <c r="Z989" s="25"/>
      <c r="AA989" s="25"/>
      <c r="AB989" s="25"/>
      <c r="AC989" s="25"/>
    </row>
    <row r="990" spans="1:29" ht="20.100000000000001" customHeight="1" x14ac:dyDescent="0.25">
      <c r="A990" s="25"/>
      <c r="B990" s="25"/>
      <c r="C990" s="25"/>
      <c r="D990" s="187" t="s">
        <v>254</v>
      </c>
      <c r="E990" s="280">
        <v>5.8</v>
      </c>
      <c r="F990" s="25" t="s">
        <v>5</v>
      </c>
      <c r="G990" s="25"/>
      <c r="H990" s="35"/>
      <c r="I990" s="35"/>
      <c r="J990" s="35"/>
      <c r="K990" s="35"/>
      <c r="L990" s="35"/>
      <c r="M990" s="35"/>
      <c r="N990" s="25"/>
      <c r="W990" s="25"/>
      <c r="X990" s="25"/>
      <c r="Y990" s="25"/>
      <c r="Z990" s="25"/>
      <c r="AA990" s="25"/>
      <c r="AB990" s="25"/>
      <c r="AC990" s="25"/>
    </row>
    <row r="991" spans="1:29" ht="20.100000000000001" customHeight="1" x14ac:dyDescent="0.25">
      <c r="A991" s="25"/>
      <c r="B991" s="25"/>
      <c r="C991" s="25"/>
      <c r="D991" s="25"/>
      <c r="E991" s="25"/>
      <c r="F991" s="25"/>
      <c r="G991" s="25"/>
      <c r="H991" s="35"/>
      <c r="I991" s="35"/>
      <c r="J991" s="35"/>
      <c r="K991" s="35"/>
      <c r="L991" s="35"/>
      <c r="M991" s="35"/>
      <c r="N991" s="25"/>
    </row>
    <row r="992" spans="1:29" ht="20.100000000000001" customHeight="1" x14ac:dyDescent="0.25">
      <c r="A992" s="25"/>
      <c r="B992" s="25"/>
      <c r="C992" s="25"/>
      <c r="D992" s="25"/>
      <c r="E992" s="25"/>
      <c r="F992" s="25"/>
      <c r="G992" s="25"/>
      <c r="H992" s="35"/>
      <c r="I992" s="35"/>
      <c r="J992" s="35"/>
      <c r="K992" s="35"/>
      <c r="L992" s="35"/>
      <c r="M992" s="35"/>
      <c r="N992" s="25"/>
    </row>
    <row r="993" spans="1:14" ht="20.100000000000001" customHeight="1" x14ac:dyDescent="0.25">
      <c r="A993" s="25"/>
      <c r="B993" s="25"/>
      <c r="C993" s="25"/>
      <c r="D993" s="28" t="s">
        <v>263</v>
      </c>
      <c r="E993" s="25"/>
      <c r="F993" s="25"/>
      <c r="G993" s="257">
        <v>160</v>
      </c>
      <c r="H993" s="35"/>
      <c r="I993" s="496" t="s">
        <v>268</v>
      </c>
      <c r="J993" s="496"/>
      <c r="K993" s="496"/>
      <c r="L993" s="496"/>
      <c r="M993" s="35" t="s">
        <v>269</v>
      </c>
      <c r="N993" s="25"/>
    </row>
    <row r="994" spans="1:14" ht="20.100000000000001" customHeight="1" x14ac:dyDescent="0.25">
      <c r="A994" s="25"/>
      <c r="B994" s="25"/>
      <c r="C994" s="25"/>
      <c r="D994" s="25"/>
      <c r="E994" s="25"/>
      <c r="F994" s="25" t="s">
        <v>562</v>
      </c>
      <c r="G994" s="26">
        <v>24</v>
      </c>
      <c r="H994" s="35" t="s">
        <v>433</v>
      </c>
      <c r="I994" s="35"/>
      <c r="J994" s="35" t="s">
        <v>57</v>
      </c>
      <c r="K994" s="44">
        <v>2.5</v>
      </c>
      <c r="L994" s="35" t="s">
        <v>143</v>
      </c>
      <c r="M994" s="35"/>
      <c r="N994" s="25"/>
    </row>
    <row r="995" spans="1:14" ht="20.100000000000001" customHeight="1" x14ac:dyDescent="0.25">
      <c r="A995" s="25" t="s">
        <v>271</v>
      </c>
      <c r="B995" s="25"/>
      <c r="C995" s="25"/>
      <c r="D995" s="25"/>
      <c r="E995" s="25"/>
      <c r="F995" s="25" t="s">
        <v>264</v>
      </c>
      <c r="G995" s="26">
        <v>925</v>
      </c>
      <c r="H995" s="35" t="s">
        <v>426</v>
      </c>
      <c r="I995" s="35"/>
      <c r="J995" s="35" t="s">
        <v>270</v>
      </c>
      <c r="K995" s="44">
        <v>0.32</v>
      </c>
      <c r="L995" s="35" t="s">
        <v>143</v>
      </c>
      <c r="M995" s="35"/>
      <c r="N995" s="25"/>
    </row>
    <row r="996" spans="1:14" ht="20.100000000000001" customHeight="1" x14ac:dyDescent="0.25">
      <c r="A996" s="187" t="s">
        <v>173</v>
      </c>
      <c r="B996" s="197">
        <f>G1000</f>
        <v>16</v>
      </c>
      <c r="C996" s="25" t="s">
        <v>143</v>
      </c>
      <c r="D996" s="25"/>
      <c r="E996" s="25"/>
      <c r="F996" s="25" t="s">
        <v>265</v>
      </c>
      <c r="G996" s="26">
        <v>6.21</v>
      </c>
      <c r="H996" s="35" t="s">
        <v>143</v>
      </c>
      <c r="I996" s="35"/>
      <c r="J996" s="35" t="s">
        <v>220</v>
      </c>
      <c r="K996" s="44">
        <v>1.5</v>
      </c>
      <c r="L996" s="35" t="s">
        <v>433</v>
      </c>
      <c r="M996" s="35"/>
      <c r="N996" s="25"/>
    </row>
    <row r="997" spans="1:14" ht="20.100000000000001" customHeight="1" x14ac:dyDescent="0.25">
      <c r="A997" s="187" t="s">
        <v>7</v>
      </c>
      <c r="B997" s="257">
        <v>16</v>
      </c>
      <c r="C997" s="25" t="s">
        <v>143</v>
      </c>
      <c r="D997" s="25"/>
      <c r="E997" s="25"/>
      <c r="F997" s="25" t="s">
        <v>266</v>
      </c>
      <c r="G997" s="26">
        <v>1.84</v>
      </c>
      <c r="H997" s="35" t="s">
        <v>143</v>
      </c>
      <c r="I997" s="35"/>
      <c r="J997" s="35" t="s">
        <v>563</v>
      </c>
      <c r="K997" s="44">
        <v>0.47</v>
      </c>
      <c r="L997" s="35" t="s">
        <v>143</v>
      </c>
      <c r="M997" s="35"/>
      <c r="N997" s="25"/>
    </row>
    <row r="998" spans="1:14" ht="20.100000000000001" customHeight="1" x14ac:dyDescent="0.25">
      <c r="A998" s="25" t="s">
        <v>272</v>
      </c>
      <c r="B998" s="25"/>
      <c r="C998" s="187" t="s">
        <v>17</v>
      </c>
      <c r="D998" s="257">
        <v>20</v>
      </c>
      <c r="E998" s="25"/>
      <c r="F998" s="25" t="s">
        <v>164</v>
      </c>
      <c r="G998" s="26">
        <v>85.3</v>
      </c>
      <c r="H998" s="35" t="s">
        <v>426</v>
      </c>
      <c r="I998" s="35"/>
      <c r="J998" s="35" t="s">
        <v>564</v>
      </c>
      <c r="K998" s="44">
        <v>0.75</v>
      </c>
      <c r="L998" s="35" t="s">
        <v>143</v>
      </c>
      <c r="M998" s="35"/>
      <c r="N998" s="25"/>
    </row>
    <row r="999" spans="1:14" ht="20.100000000000001" customHeight="1" x14ac:dyDescent="0.25">
      <c r="A999" s="187" t="s">
        <v>565</v>
      </c>
      <c r="B999" s="25">
        <f>E990*100/D998</f>
        <v>29</v>
      </c>
      <c r="C999" s="25" t="s">
        <v>143</v>
      </c>
      <c r="D999" s="25"/>
      <c r="E999" s="25"/>
      <c r="F999" s="25" t="s">
        <v>267</v>
      </c>
      <c r="G999" s="26">
        <v>1.89</v>
      </c>
      <c r="H999" s="35" t="s">
        <v>143</v>
      </c>
      <c r="I999" s="35"/>
      <c r="J999" s="35" t="s">
        <v>169</v>
      </c>
      <c r="K999" s="44">
        <v>235</v>
      </c>
      <c r="L999" s="35" t="s">
        <v>275</v>
      </c>
      <c r="M999" s="35"/>
      <c r="N999" s="25"/>
    </row>
    <row r="1000" spans="1:14" ht="20.100000000000001" customHeight="1" x14ac:dyDescent="0.25">
      <c r="A1000" s="187" t="s">
        <v>543</v>
      </c>
      <c r="B1000" s="130">
        <f>SQRT(B999^2+B997^2)</f>
        <v>33.120990323358392</v>
      </c>
      <c r="C1000" s="25" t="s">
        <v>143</v>
      </c>
      <c r="D1000" s="25"/>
      <c r="E1000" s="25"/>
      <c r="F1000" s="25" t="s">
        <v>173</v>
      </c>
      <c r="G1000" s="26">
        <v>16</v>
      </c>
      <c r="H1000" s="35" t="s">
        <v>143</v>
      </c>
      <c r="I1000" s="35"/>
      <c r="J1000" s="35" t="s">
        <v>144</v>
      </c>
      <c r="K1000" s="497">
        <v>200000</v>
      </c>
      <c r="L1000" s="497"/>
      <c r="M1000" s="35" t="s">
        <v>275</v>
      </c>
      <c r="N1000" s="25"/>
    </row>
    <row r="1001" spans="1:14" ht="20.100000000000001" customHeight="1" x14ac:dyDescent="0.25">
      <c r="A1001" s="25" t="s">
        <v>566</v>
      </c>
      <c r="B1001" s="190">
        <f>B997/(B999/2)</f>
        <v>1.103448275862069</v>
      </c>
      <c r="C1001" s="25"/>
      <c r="D1001" s="25"/>
      <c r="E1001" s="25"/>
      <c r="F1001" s="25" t="s">
        <v>167</v>
      </c>
      <c r="G1001" s="26">
        <v>6.5</v>
      </c>
      <c r="H1001" s="35" t="s">
        <v>143</v>
      </c>
      <c r="I1001" s="35"/>
      <c r="J1001" s="35" t="s">
        <v>640</v>
      </c>
      <c r="K1001" s="44">
        <v>138</v>
      </c>
      <c r="L1001" s="35" t="s">
        <v>754</v>
      </c>
      <c r="M1001" s="35"/>
      <c r="N1001" s="25"/>
    </row>
    <row r="1002" spans="1:14" ht="20.100000000000001" customHeight="1" x14ac:dyDescent="0.25">
      <c r="A1002" s="187" t="s">
        <v>567</v>
      </c>
      <c r="B1002" s="335">
        <f>DEGREES(TANH(B1001))</f>
        <v>45.935987812813892</v>
      </c>
      <c r="C1002" s="25" t="s">
        <v>11</v>
      </c>
      <c r="D1002" s="25"/>
      <c r="E1002" s="25"/>
      <c r="F1002" s="25" t="s">
        <v>224</v>
      </c>
      <c r="G1002" s="267">
        <v>1.05</v>
      </c>
      <c r="H1002" s="35" t="s">
        <v>143</v>
      </c>
      <c r="I1002" s="35"/>
      <c r="J1002" s="35"/>
      <c r="K1002" s="35"/>
      <c r="L1002" s="35"/>
      <c r="M1002" s="35"/>
      <c r="N1002" s="25"/>
    </row>
    <row r="1003" spans="1:14" ht="20.100000000000001" customHeight="1" x14ac:dyDescent="0.25">
      <c r="A1003" s="507" t="s">
        <v>396</v>
      </c>
      <c r="B1003" s="507"/>
      <c r="C1003" s="71">
        <f>(B999/2)/B1000</f>
        <v>0.43778884201339707</v>
      </c>
      <c r="D1003" s="25"/>
      <c r="E1003" s="25"/>
      <c r="F1003" s="25" t="s">
        <v>220</v>
      </c>
      <c r="G1003" s="25">
        <f>G994*2</f>
        <v>48</v>
      </c>
      <c r="H1003" s="35" t="s">
        <v>433</v>
      </c>
      <c r="I1003" s="35"/>
      <c r="J1003" s="35"/>
      <c r="K1003" s="35"/>
      <c r="L1003" s="35"/>
      <c r="M1003" s="35"/>
      <c r="N1003" s="25"/>
    </row>
    <row r="1004" spans="1:14" ht="20.100000000000001" customHeight="1" x14ac:dyDescent="0.25">
      <c r="A1004" s="507" t="s">
        <v>397</v>
      </c>
      <c r="B1004" s="507"/>
      <c r="C1004" s="71">
        <f>B997/B1000</f>
        <v>0.4830773429113347</v>
      </c>
      <c r="D1004" s="25"/>
      <c r="E1004" s="25"/>
      <c r="F1004" s="25"/>
      <c r="G1004" s="25"/>
      <c r="H1004" s="35"/>
      <c r="I1004" s="35"/>
      <c r="J1004" s="35"/>
      <c r="K1004" s="35"/>
      <c r="L1004" s="35"/>
      <c r="M1004" s="35"/>
      <c r="N1004" s="25"/>
    </row>
    <row r="1005" spans="1:14" ht="20.100000000000001" customHeight="1" x14ac:dyDescent="0.25">
      <c r="A1005" s="25"/>
      <c r="B1005" s="25"/>
      <c r="C1005" s="25"/>
      <c r="D1005" s="25"/>
      <c r="E1005" s="25"/>
      <c r="F1005" s="25"/>
      <c r="G1005" s="25"/>
      <c r="H1005" s="35"/>
      <c r="I1005" s="35"/>
      <c r="J1005" s="35"/>
      <c r="K1005" s="35"/>
      <c r="L1005" s="35"/>
      <c r="M1005" s="35"/>
      <c r="N1005" s="25"/>
    </row>
    <row r="1006" spans="1:14" ht="20.100000000000001" customHeight="1" x14ac:dyDescent="0.25">
      <c r="A1006" s="25"/>
      <c r="B1006" s="25"/>
      <c r="C1006" s="25"/>
      <c r="D1006" s="25"/>
      <c r="E1006" s="25"/>
      <c r="F1006" s="25"/>
      <c r="G1006" s="25"/>
      <c r="H1006" s="35"/>
      <c r="I1006" s="35"/>
      <c r="J1006" s="35"/>
      <c r="K1006" s="35"/>
      <c r="L1006" s="35"/>
      <c r="M1006" s="35"/>
      <c r="N1006" s="25"/>
    </row>
    <row r="1007" spans="1:14" ht="20.100000000000001" customHeight="1" x14ac:dyDescent="0.25">
      <c r="A1007" s="25" t="s">
        <v>751</v>
      </c>
      <c r="B1007" s="25"/>
      <c r="C1007" s="25"/>
      <c r="D1007" s="25"/>
      <c r="E1007" s="25"/>
      <c r="F1007" s="187" t="s">
        <v>568</v>
      </c>
      <c r="G1007" s="25">
        <v>1</v>
      </c>
      <c r="H1007" s="35"/>
      <c r="I1007" s="35"/>
      <c r="J1007" s="35"/>
      <c r="K1007" s="35"/>
      <c r="L1007" s="35"/>
      <c r="M1007" s="35"/>
      <c r="N1007" s="25"/>
    </row>
    <row r="1008" spans="1:14" ht="20.100000000000001" customHeight="1" x14ac:dyDescent="0.25">
      <c r="A1008" s="25" t="s">
        <v>569</v>
      </c>
      <c r="B1008" s="25"/>
      <c r="C1008" s="25"/>
      <c r="D1008" s="335">
        <f>G1007*E990*100/G996</f>
        <v>93.397745571658618</v>
      </c>
      <c r="E1008" s="28" t="str">
        <f>IF(D1008&lt;200,"&lt; 200   BC !!"," &gt; 200  MC!!")</f>
        <v>&lt; 200   BC !!</v>
      </c>
      <c r="F1008" s="25"/>
      <c r="G1008" s="25"/>
      <c r="H1008" s="35" t="s">
        <v>747</v>
      </c>
      <c r="I1008" s="35"/>
      <c r="J1008" s="35"/>
      <c r="K1008" s="35"/>
      <c r="L1008" s="35"/>
      <c r="M1008" s="35"/>
      <c r="N1008" s="25"/>
    </row>
    <row r="1009" spans="1:14" ht="20.100000000000001" customHeight="1" x14ac:dyDescent="0.25">
      <c r="A1009" s="25"/>
      <c r="B1009" s="25"/>
      <c r="C1009" s="25"/>
      <c r="D1009" s="25"/>
      <c r="E1009" s="25"/>
      <c r="F1009" s="25"/>
      <c r="G1009" s="25"/>
      <c r="H1009" s="35"/>
      <c r="I1009" s="35"/>
      <c r="J1009" s="35"/>
      <c r="K1009" s="35"/>
      <c r="L1009" s="35"/>
      <c r="M1009" s="35"/>
      <c r="N1009" s="25"/>
    </row>
    <row r="1010" spans="1:14" ht="20.100000000000001" customHeight="1" x14ac:dyDescent="0.25">
      <c r="A1010" s="25" t="s">
        <v>273</v>
      </c>
      <c r="B1010" s="25"/>
      <c r="C1010" s="25"/>
      <c r="D1010" s="25"/>
      <c r="E1010" s="25"/>
      <c r="F1010" s="25"/>
      <c r="G1010" s="25"/>
      <c r="H1010" s="35"/>
      <c r="I1010" s="35"/>
      <c r="J1010" s="35"/>
      <c r="K1010" s="35"/>
      <c r="L1010" s="35"/>
      <c r="M1010" s="35"/>
      <c r="N1010" s="25"/>
    </row>
    <row r="1011" spans="1:14" ht="20.100000000000001" customHeight="1" x14ac:dyDescent="0.25">
      <c r="A1011" s="25" t="s">
        <v>570</v>
      </c>
      <c r="B1011" s="25"/>
      <c r="C1011" s="25"/>
      <c r="D1011" s="25" t="s">
        <v>571</v>
      </c>
      <c r="E1011" s="26">
        <v>0.85</v>
      </c>
      <c r="F1011" s="25"/>
      <c r="G1011" s="25" t="s">
        <v>483</v>
      </c>
      <c r="H1011" s="35"/>
      <c r="I1011" s="35"/>
      <c r="J1011" s="35"/>
      <c r="K1011" s="35"/>
      <c r="L1011" s="35"/>
      <c r="M1011" s="35"/>
      <c r="N1011" s="25"/>
    </row>
    <row r="1012" spans="1:14" ht="20.100000000000001" customHeight="1" x14ac:dyDescent="0.25">
      <c r="A1012" s="25"/>
      <c r="B1012" s="25"/>
      <c r="C1012" s="25"/>
      <c r="D1012" s="25"/>
      <c r="E1012" s="25"/>
      <c r="F1012" s="25"/>
      <c r="G1012" s="25"/>
      <c r="H1012" s="35"/>
      <c r="I1012" s="35"/>
      <c r="J1012" s="35"/>
      <c r="K1012" s="35"/>
      <c r="L1012" s="35"/>
      <c r="M1012" s="35"/>
      <c r="N1012" s="25"/>
    </row>
    <row r="1013" spans="1:14" ht="20.100000000000001" customHeight="1" x14ac:dyDescent="0.25">
      <c r="A1013" s="25" t="s">
        <v>274</v>
      </c>
      <c r="B1013" s="25"/>
      <c r="C1013" s="25"/>
      <c r="D1013" s="35" t="s">
        <v>748</v>
      </c>
      <c r="E1013" s="25"/>
      <c r="F1013" s="25"/>
      <c r="G1013" s="25"/>
      <c r="H1013" s="35"/>
      <c r="I1013" s="35"/>
      <c r="J1013" s="35"/>
      <c r="K1013" s="35"/>
      <c r="L1013" s="35"/>
      <c r="M1013" s="35"/>
      <c r="N1013" s="25"/>
    </row>
    <row r="1014" spans="1:14" ht="20.100000000000001" customHeight="1" x14ac:dyDescent="0.25">
      <c r="A1014" s="25" t="s">
        <v>572</v>
      </c>
      <c r="B1014" s="25"/>
      <c r="C1014" s="39">
        <f>G1001/G1002</f>
        <v>6.1904761904761898</v>
      </c>
      <c r="D1014" s="43" t="str">
        <f>IF(C1014&lt;H1014,"&lt;","&gt;")</f>
        <v>&lt;</v>
      </c>
      <c r="E1014" s="25" t="s">
        <v>573</v>
      </c>
      <c r="F1014" s="25"/>
      <c r="G1014" s="25"/>
      <c r="H1014" s="35">
        <f>250/SQRT(K999)</f>
        <v>16.308201826336056</v>
      </c>
      <c r="I1014" s="35"/>
      <c r="J1014" s="35" t="str">
        <f>IF(C1014&lt;H1014,"Ala no esbelta","Ala esbelta")</f>
        <v>Ala no esbelta</v>
      </c>
      <c r="K1014" s="35"/>
      <c r="M1014" s="35"/>
      <c r="N1014" s="25"/>
    </row>
    <row r="1015" spans="1:14" ht="20.100000000000001" customHeight="1" x14ac:dyDescent="0.25">
      <c r="A1015" s="25"/>
      <c r="B1015" s="25"/>
      <c r="C1015" s="25"/>
      <c r="D1015" s="25"/>
      <c r="E1015" s="25"/>
      <c r="F1015" s="25"/>
      <c r="G1015" s="25"/>
      <c r="H1015" s="35"/>
      <c r="I1015" s="35"/>
      <c r="J1015" s="35"/>
      <c r="K1015" s="35"/>
      <c r="L1015" s="35"/>
      <c r="M1015" s="35"/>
      <c r="N1015" s="25"/>
    </row>
    <row r="1016" spans="1:14" ht="20.100000000000001" customHeight="1" x14ac:dyDescent="0.25">
      <c r="A1016" s="25" t="s">
        <v>278</v>
      </c>
      <c r="B1016" s="25"/>
      <c r="C1016" s="25"/>
      <c r="D1016" s="35" t="s">
        <v>749</v>
      </c>
      <c r="E1016" s="25"/>
      <c r="F1016" s="25"/>
      <c r="G1016" s="25"/>
      <c r="H1016" s="35"/>
      <c r="I1016" s="35"/>
      <c r="J1016" s="35"/>
      <c r="K1016" s="35"/>
      <c r="L1016" s="35"/>
      <c r="M1016" s="35"/>
      <c r="N1016" s="25"/>
    </row>
    <row r="1017" spans="1:14" ht="20.100000000000001" customHeight="1" x14ac:dyDescent="0.25">
      <c r="A1017" s="25" t="s">
        <v>574</v>
      </c>
      <c r="B1017" s="25"/>
      <c r="C1017" s="25"/>
      <c r="D1017" s="25"/>
      <c r="E1017" s="342">
        <f>(G1000-4*G1002)/K998</f>
        <v>15.733333333333334</v>
      </c>
      <c r="F1017" s="43" t="str">
        <f>IF(E1017&lt;J1017,"&lt;","&gt;")</f>
        <v>&lt;</v>
      </c>
      <c r="G1017" s="25" t="s">
        <v>575</v>
      </c>
      <c r="H1017" s="25"/>
      <c r="I1017" s="25"/>
      <c r="J1017" s="35">
        <f>665/SQRT(K999)</f>
        <v>43.379816858053907</v>
      </c>
      <c r="K1017" s="35"/>
      <c r="L1017" s="35" t="str">
        <f>IF(E1017&lt;J1017,"Alma no esbelta","Alma esbelta")</f>
        <v>Alma no esbelta</v>
      </c>
      <c r="M1017" s="35"/>
      <c r="N1017" s="25"/>
    </row>
    <row r="1018" spans="1:14" ht="20.100000000000001" customHeight="1" x14ac:dyDescent="0.25">
      <c r="A1018" s="25"/>
      <c r="B1018" s="25"/>
      <c r="C1018" s="25"/>
      <c r="D1018" s="25"/>
      <c r="E1018" s="25"/>
      <c r="F1018" s="25"/>
      <c r="G1018" s="25"/>
      <c r="H1018" s="35"/>
      <c r="I1018" s="35"/>
      <c r="J1018" s="35"/>
      <c r="K1018" s="35"/>
      <c r="L1018" s="35"/>
      <c r="M1018" s="35"/>
      <c r="N1018" s="25"/>
    </row>
    <row r="1019" spans="1:14" ht="20.100000000000001" customHeight="1" x14ac:dyDescent="0.25">
      <c r="A1019" s="26" t="s">
        <v>276</v>
      </c>
      <c r="B1019" s="200">
        <v>1</v>
      </c>
      <c r="C1019" s="25"/>
      <c r="D1019" s="25"/>
      <c r="E1019" s="25"/>
      <c r="F1019" s="25"/>
      <c r="G1019" s="25"/>
      <c r="H1019" s="35"/>
      <c r="I1019" s="35"/>
      <c r="J1019" s="35"/>
      <c r="K1019" s="35"/>
      <c r="L1019" s="35"/>
      <c r="M1019" s="35"/>
      <c r="N1019" s="25"/>
    </row>
    <row r="1020" spans="1:14" ht="20.100000000000001" customHeight="1" x14ac:dyDescent="0.25">
      <c r="A1020" s="25" t="s">
        <v>219</v>
      </c>
      <c r="B1020" s="25"/>
      <c r="C1020" s="25"/>
      <c r="D1020" s="25"/>
      <c r="E1020" s="25"/>
      <c r="F1020" s="25"/>
      <c r="G1020" s="25"/>
      <c r="H1020" s="35"/>
      <c r="I1020" s="35"/>
      <c r="J1020" s="35"/>
      <c r="K1020" s="35"/>
      <c r="L1020" s="35"/>
      <c r="M1020" s="35"/>
      <c r="N1020" s="25"/>
    </row>
    <row r="1021" spans="1:14" ht="20.100000000000001" customHeight="1" x14ac:dyDescent="0.25">
      <c r="A1021" s="25" t="s">
        <v>576</v>
      </c>
      <c r="B1021" s="25"/>
      <c r="C1021" s="25"/>
      <c r="D1021" s="25"/>
      <c r="E1021" s="190">
        <f>((G1007*E990)/(3.14*K997))*SQRT(K999/K1000)</f>
        <v>0.13471607495028476</v>
      </c>
      <c r="F1021" s="190" t="str">
        <f>IF(E1021&lt;1.5,"&lt; 1,5","&gt; 1,5")</f>
        <v>&lt; 1,5</v>
      </c>
      <c r="G1021" s="25"/>
      <c r="H1021" s="35" t="s">
        <v>480</v>
      </c>
      <c r="I1021" s="35"/>
      <c r="J1021" s="35"/>
      <c r="K1021" s="35"/>
      <c r="L1021" s="503">
        <f>0.658^(E1021^2)*K999</f>
        <v>233.22169602766624</v>
      </c>
      <c r="M1021" s="503"/>
      <c r="N1021" s="25" t="s">
        <v>275</v>
      </c>
    </row>
    <row r="1022" spans="1:14" ht="20.100000000000001" customHeight="1" x14ac:dyDescent="0.25">
      <c r="A1022" s="25"/>
      <c r="B1022" s="25"/>
      <c r="C1022" s="25"/>
      <c r="D1022" s="25"/>
      <c r="E1022" s="25"/>
      <c r="F1022" s="25"/>
      <c r="G1022" s="25"/>
      <c r="H1022" s="35"/>
      <c r="I1022" s="35"/>
      <c r="J1022" s="35"/>
      <c r="K1022" s="35"/>
      <c r="L1022" s="35"/>
      <c r="M1022" s="35"/>
      <c r="N1022" s="25"/>
    </row>
    <row r="1023" spans="1:14" ht="20.100000000000001" customHeight="1" x14ac:dyDescent="0.25">
      <c r="A1023" s="25" t="s">
        <v>753</v>
      </c>
      <c r="B1023" s="25"/>
      <c r="C1023" s="25"/>
      <c r="D1023" s="25"/>
      <c r="E1023" s="392">
        <f>E1011*L1021*2*G994/10</f>
        <v>951.54451979287819</v>
      </c>
      <c r="F1023" s="265" t="s">
        <v>195</v>
      </c>
      <c r="G1023" s="25"/>
      <c r="H1023" s="35"/>
      <c r="I1023" s="374" t="s">
        <v>259</v>
      </c>
      <c r="J1023" s="548">
        <f>-J986/100</f>
        <v>99.291338316924154</v>
      </c>
      <c r="K1023" s="548"/>
      <c r="L1023" s="381" t="s">
        <v>195</v>
      </c>
      <c r="M1023" s="35"/>
      <c r="N1023" s="25"/>
    </row>
    <row r="1024" spans="1:14" ht="20.100000000000001" customHeight="1" x14ac:dyDescent="0.25">
      <c r="A1024" s="25"/>
      <c r="B1024" s="25"/>
      <c r="C1024" s="25"/>
      <c r="D1024" s="25"/>
      <c r="E1024" s="393"/>
      <c r="F1024" s="394"/>
      <c r="G1024" s="25"/>
      <c r="H1024" s="35"/>
      <c r="I1024" s="395" t="s">
        <v>284</v>
      </c>
      <c r="J1024" s="547">
        <f>J983/100</f>
        <v>96.710613684524688</v>
      </c>
      <c r="K1024" s="547"/>
      <c r="L1024" s="384" t="s">
        <v>179</v>
      </c>
      <c r="M1024" s="35"/>
      <c r="N1024" s="25"/>
    </row>
    <row r="1025" spans="1:14" ht="20.100000000000001" customHeight="1" x14ac:dyDescent="0.25">
      <c r="A1025" s="25" t="s">
        <v>750</v>
      </c>
      <c r="B1025" s="25"/>
      <c r="C1025" s="25"/>
      <c r="D1025" s="25"/>
      <c r="E1025" s="393"/>
      <c r="F1025" s="394"/>
      <c r="G1025" s="25"/>
      <c r="H1025" s="35"/>
      <c r="I1025" s="35" t="s">
        <v>756</v>
      </c>
      <c r="J1025" s="35">
        <v>0.9</v>
      </c>
      <c r="K1025" s="35"/>
      <c r="L1025" s="35"/>
      <c r="M1025" s="35"/>
      <c r="N1025" s="25"/>
    </row>
    <row r="1026" spans="1:14" ht="20.100000000000001" customHeight="1" x14ac:dyDescent="0.25">
      <c r="A1026" s="25" t="s">
        <v>752</v>
      </c>
      <c r="B1026" s="25"/>
      <c r="C1026" s="71">
        <f>-J986/(100*E1023)</f>
        <v>0.10434754890768203</v>
      </c>
      <c r="D1026" s="338" t="str">
        <f>IF(C1026&lt;0.2,"&lt; 0,2","MC ver NORMA")</f>
        <v>&lt; 0,2</v>
      </c>
      <c r="E1026" s="393"/>
      <c r="F1026" s="394"/>
      <c r="G1026" s="25" t="s">
        <v>757</v>
      </c>
      <c r="H1026" s="35"/>
      <c r="I1026" s="35"/>
      <c r="J1026" s="496">
        <f>J1025*2*K1001*K999</f>
        <v>58374</v>
      </c>
      <c r="K1026" s="496"/>
      <c r="L1026" s="35" t="s">
        <v>179</v>
      </c>
      <c r="M1026" s="35"/>
      <c r="N1026" s="25"/>
    </row>
    <row r="1027" spans="1:14" ht="20.100000000000001" customHeight="1" x14ac:dyDescent="0.25">
      <c r="A1027" s="25"/>
      <c r="B1027" s="25"/>
      <c r="C1027" s="25"/>
      <c r="D1027" s="25"/>
      <c r="E1027" s="393"/>
      <c r="F1027" s="394"/>
      <c r="G1027" s="25"/>
      <c r="H1027" s="35"/>
      <c r="I1027" s="35"/>
      <c r="J1027" s="35"/>
      <c r="K1027" s="35"/>
      <c r="L1027" s="35"/>
      <c r="M1027" s="35"/>
      <c r="N1027" s="25"/>
    </row>
    <row r="1028" spans="1:14" ht="20.100000000000001" customHeight="1" x14ac:dyDescent="0.25">
      <c r="A1028" s="25" t="s">
        <v>755</v>
      </c>
      <c r="B1028" s="25"/>
      <c r="C1028" s="25"/>
      <c r="D1028" s="25"/>
      <c r="E1028" s="393"/>
      <c r="F1028" s="394"/>
      <c r="G1028" s="25"/>
      <c r="H1028" s="35"/>
      <c r="I1028" s="35">
        <f>(J1023/(2*E1023))+(J1024/J1026)</f>
        <v>5.3830515703104799E-2</v>
      </c>
      <c r="K1028" s="21" t="str">
        <f>IF(I1028&lt;1,"&lt; 1 BC","MC Ver Norma")</f>
        <v>&lt; 1 BC</v>
      </c>
      <c r="L1028" s="35"/>
      <c r="M1028" s="35"/>
      <c r="N1028" s="25"/>
    </row>
    <row r="1029" spans="1:14" ht="20.100000000000001" customHeight="1" x14ac:dyDescent="0.25">
      <c r="A1029" s="25"/>
      <c r="B1029" s="25"/>
      <c r="C1029" s="25"/>
      <c r="D1029" s="25"/>
      <c r="E1029" s="393"/>
      <c r="F1029" s="394"/>
      <c r="G1029" s="25"/>
      <c r="H1029" s="35"/>
      <c r="I1029" s="35"/>
      <c r="J1029" s="35"/>
      <c r="K1029" s="35"/>
      <c r="L1029" s="35"/>
      <c r="M1029" s="35"/>
      <c r="N1029" s="25"/>
    </row>
    <row r="1030" spans="1:14" ht="20.100000000000001" customHeight="1" x14ac:dyDescent="0.25">
      <c r="A1030" s="25" t="s">
        <v>277</v>
      </c>
      <c r="B1030" s="25"/>
      <c r="C1030" s="25"/>
      <c r="D1030" s="25"/>
      <c r="E1030" s="25"/>
      <c r="F1030" s="25"/>
      <c r="G1030" s="25"/>
      <c r="H1030" s="35"/>
      <c r="I1030" s="35"/>
      <c r="J1030" s="35"/>
      <c r="K1030" s="35"/>
      <c r="L1030" s="35"/>
      <c r="M1030" s="35"/>
      <c r="N1030" s="25"/>
    </row>
    <row r="1031" spans="1:14" ht="20.100000000000001" customHeight="1" x14ac:dyDescent="0.25">
      <c r="A1031" s="25" t="s">
        <v>577</v>
      </c>
      <c r="B1031" s="25"/>
      <c r="C1031" s="25"/>
      <c r="D1031" s="25"/>
      <c r="E1031" s="25">
        <f>2*(G998+G994*(B997-G999)^2)</f>
        <v>9727.0208000000002</v>
      </c>
      <c r="F1031" s="25" t="s">
        <v>426</v>
      </c>
      <c r="G1031" s="25"/>
      <c r="H1031" s="35" t="s">
        <v>578</v>
      </c>
      <c r="I1031" s="35"/>
      <c r="J1031" s="35"/>
      <c r="K1031" s="217">
        <f>SQRT(E1031/(2*G994))</f>
        <v>14.235387829864933</v>
      </c>
      <c r="L1031" s="35" t="s">
        <v>143</v>
      </c>
      <c r="M1031" s="35"/>
      <c r="N1031" s="25"/>
    </row>
    <row r="1032" spans="1:14" ht="20.100000000000001" customHeight="1" x14ac:dyDescent="0.25">
      <c r="A1032" s="25" t="s">
        <v>579</v>
      </c>
      <c r="B1032" s="25"/>
      <c r="C1032" s="25"/>
      <c r="D1032" s="39"/>
      <c r="E1032" s="25"/>
      <c r="F1032" s="272">
        <f>SQRT((3.14*2*2*G994*(B1000^3))/(2*K996*B999*(B997-2*G997)^2))</f>
        <v>28.799508570377469</v>
      </c>
      <c r="G1032" s="25"/>
      <c r="H1032" s="60" t="s">
        <v>580</v>
      </c>
      <c r="I1032" s="200">
        <v>1</v>
      </c>
      <c r="J1032" s="35"/>
      <c r="K1032" s="35"/>
      <c r="L1032" s="35"/>
      <c r="M1032" s="35"/>
      <c r="N1032" s="25"/>
    </row>
    <row r="1033" spans="1:14" ht="20.100000000000001" customHeight="1" x14ac:dyDescent="0.25">
      <c r="A1033" s="25" t="s">
        <v>581</v>
      </c>
      <c r="B1033" s="197">
        <v>2</v>
      </c>
      <c r="C1033" s="25"/>
      <c r="D1033" s="25"/>
      <c r="E1033" s="25"/>
      <c r="F1033" s="25"/>
      <c r="G1033" s="25"/>
      <c r="H1033" s="35"/>
      <c r="I1033" s="35"/>
      <c r="J1033" s="35"/>
      <c r="M1033" s="35"/>
      <c r="N1033" s="25"/>
    </row>
    <row r="1034" spans="1:14" ht="20.100000000000001" customHeight="1" x14ac:dyDescent="0.25">
      <c r="A1034" s="25" t="s">
        <v>760</v>
      </c>
      <c r="B1034" s="25"/>
      <c r="C1034" s="25"/>
      <c r="D1034" s="25"/>
      <c r="E1034" s="25"/>
      <c r="F1034" s="25"/>
      <c r="G1034" s="25"/>
      <c r="H1034" s="341">
        <f>((F1035*E990*100/K1031)^2+F1032^2)^(1/2)</f>
        <v>40.5318281982738</v>
      </c>
      <c r="I1034" s="21" t="str">
        <f>IF(H1034&lt;200,"&lt; 200","&gt; 200 Ver Norma")</f>
        <v>&lt; 200</v>
      </c>
      <c r="K1034" s="35"/>
      <c r="L1034" s="35"/>
      <c r="M1034" s="35"/>
      <c r="N1034" s="25"/>
    </row>
    <row r="1035" spans="1:14" ht="20.100000000000001" customHeight="1" x14ac:dyDescent="0.25">
      <c r="A1035" s="197" t="s">
        <v>17</v>
      </c>
      <c r="B1035" s="257">
        <v>2</v>
      </c>
      <c r="C1035" s="25"/>
      <c r="D1035" s="25"/>
      <c r="E1035" s="339" t="s">
        <v>582</v>
      </c>
      <c r="F1035" s="259">
        <v>0.7</v>
      </c>
      <c r="G1035" s="25"/>
      <c r="H1035" s="35"/>
      <c r="I1035" s="35"/>
      <c r="J1035" s="35"/>
      <c r="K1035" s="35"/>
      <c r="L1035" s="35"/>
      <c r="M1035" s="35"/>
      <c r="N1035" s="25"/>
    </row>
    <row r="1036" spans="1:14" ht="20.100000000000001" customHeight="1" x14ac:dyDescent="0.25">
      <c r="A1036" s="25" t="s">
        <v>583</v>
      </c>
      <c r="B1036" s="257">
        <v>1</v>
      </c>
      <c r="C1036" s="25"/>
      <c r="D1036" s="25"/>
      <c r="E1036" s="504" t="s">
        <v>759</v>
      </c>
      <c r="F1036" s="504"/>
      <c r="G1036" s="340">
        <v>500</v>
      </c>
      <c r="H1036" s="41" t="s">
        <v>189</v>
      </c>
      <c r="I1036" s="35">
        <f>F1035*E990*100/G1036</f>
        <v>0.81199999999999983</v>
      </c>
      <c r="J1036" s="35" t="s">
        <v>143</v>
      </c>
      <c r="K1036" s="35"/>
      <c r="L1036" s="35"/>
      <c r="M1036" s="35"/>
      <c r="N1036" s="25"/>
    </row>
    <row r="1037" spans="1:14" ht="20.100000000000001" customHeight="1" x14ac:dyDescent="0.25">
      <c r="A1037" s="25"/>
      <c r="B1037" s="25"/>
      <c r="C1037" s="25"/>
      <c r="D1037" s="25"/>
      <c r="E1037" s="25"/>
      <c r="F1037" s="25"/>
      <c r="G1037" s="25"/>
      <c r="H1037" s="35"/>
      <c r="I1037" s="35"/>
      <c r="J1037" s="35"/>
      <c r="K1037" s="286"/>
      <c r="L1037" s="35"/>
      <c r="M1037" s="35"/>
      <c r="N1037" s="25"/>
    </row>
    <row r="1038" spans="1:14" ht="20.100000000000001" customHeight="1" x14ac:dyDescent="0.25">
      <c r="A1038" s="25" t="s">
        <v>758</v>
      </c>
      <c r="B1038" s="25"/>
      <c r="C1038" s="25"/>
      <c r="D1038" s="25"/>
      <c r="E1038" s="514">
        <f>K1000*3.14*G1003/(10*H1034^2)</f>
        <v>1834.8834978218174</v>
      </c>
      <c r="F1038" s="514"/>
      <c r="G1038" s="25" t="s">
        <v>279</v>
      </c>
      <c r="H1038" s="35"/>
      <c r="I1038" s="35" t="s">
        <v>584</v>
      </c>
      <c r="J1038" s="334">
        <f>J1023*I1036/100</f>
        <v>0.80624566713342405</v>
      </c>
      <c r="K1038" s="25" t="s">
        <v>179</v>
      </c>
      <c r="M1038" s="35" t="s">
        <v>586</v>
      </c>
      <c r="N1038" s="205">
        <f>J1023/E1038</f>
        <v>5.4113156739810722E-2</v>
      </c>
    </row>
    <row r="1039" spans="1:14" ht="20.100000000000001" customHeight="1" x14ac:dyDescent="0.25">
      <c r="A1039" s="25"/>
      <c r="B1039" s="25"/>
      <c r="C1039" s="25"/>
      <c r="D1039" s="25"/>
      <c r="E1039" s="25"/>
      <c r="F1039" s="25"/>
      <c r="G1039" s="25"/>
      <c r="H1039" s="35"/>
      <c r="I1039" s="35"/>
      <c r="J1039" s="35"/>
    </row>
    <row r="1040" spans="1:14" ht="20.100000000000001" customHeight="1" x14ac:dyDescent="0.25">
      <c r="A1040" s="25" t="s">
        <v>585</v>
      </c>
      <c r="B1040" s="25"/>
      <c r="C1040" s="25"/>
      <c r="D1040" s="25"/>
      <c r="E1040" s="25"/>
      <c r="F1040" s="25"/>
      <c r="G1040" s="130">
        <f>(J1038+J1024)/(1-(N1038))</f>
        <v>103.09569273164499</v>
      </c>
      <c r="H1040" s="396" t="s">
        <v>179</v>
      </c>
      <c r="I1040" s="35"/>
      <c r="J1040" s="35"/>
    </row>
    <row r="1041" spans="1:14" ht="20.100000000000001" customHeight="1" x14ac:dyDescent="0.25">
      <c r="A1041" s="25"/>
      <c r="B1041" s="25"/>
      <c r="C1041" s="25"/>
      <c r="D1041" s="25"/>
      <c r="E1041" s="25"/>
      <c r="F1041" s="25"/>
      <c r="G1041" s="25"/>
      <c r="H1041" s="35"/>
      <c r="I1041" s="35"/>
      <c r="J1041" s="35"/>
      <c r="M1041" s="192"/>
      <c r="N1041" s="25"/>
    </row>
    <row r="1042" spans="1:14" ht="20.100000000000001" customHeight="1" x14ac:dyDescent="0.25">
      <c r="A1042" s="25" t="s">
        <v>587</v>
      </c>
      <c r="B1042" s="25"/>
      <c r="C1042" s="25"/>
      <c r="D1042" s="25"/>
      <c r="E1042" s="334">
        <f>(J1023/B1035)+(G1040/(B1036*L1042))</f>
        <v>886.46135691532072</v>
      </c>
      <c r="F1042" s="218" t="s">
        <v>195</v>
      </c>
      <c r="G1042" s="35"/>
      <c r="H1042" s="35"/>
      <c r="I1042" s="35"/>
      <c r="J1042" s="35"/>
      <c r="K1042" s="35" t="s">
        <v>173</v>
      </c>
      <c r="L1042" s="192">
        <f>(B997-2*G997)/100</f>
        <v>0.1232</v>
      </c>
      <c r="M1042" s="35" t="s">
        <v>5</v>
      </c>
      <c r="N1042" s="25"/>
    </row>
    <row r="1043" spans="1:14" ht="20.100000000000001" customHeight="1" x14ac:dyDescent="0.25">
      <c r="A1043" s="25" t="s">
        <v>280</v>
      </c>
      <c r="B1043" s="25"/>
      <c r="C1043" s="25"/>
      <c r="D1043" s="25"/>
      <c r="E1043" s="25"/>
      <c r="F1043" s="25"/>
      <c r="G1043" s="25"/>
      <c r="H1043" s="35"/>
      <c r="I1043" s="35"/>
      <c r="J1043" s="35"/>
      <c r="K1043" s="35" t="s">
        <v>588</v>
      </c>
      <c r="L1043" s="35"/>
      <c r="M1043" s="276">
        <f>SQRT(K999/K1000)</f>
        <v>3.427827300200522E-2</v>
      </c>
      <c r="N1043" s="25"/>
    </row>
    <row r="1044" spans="1:14" ht="20.100000000000001" customHeight="1" x14ac:dyDescent="0.25">
      <c r="A1044" s="25" t="s">
        <v>589</v>
      </c>
      <c r="B1044" s="25"/>
      <c r="C1044" s="25"/>
      <c r="D1044" s="25"/>
      <c r="E1044" s="190">
        <f>(B999/G999*3.14)*M1043</f>
        <v>1.6515235659061354</v>
      </c>
      <c r="F1044" s="25"/>
      <c r="G1044" s="25"/>
      <c r="H1044" s="35"/>
      <c r="I1044" s="35"/>
      <c r="J1044" s="35"/>
      <c r="K1044" s="35"/>
      <c r="L1044" s="35"/>
      <c r="M1044" s="35"/>
      <c r="N1044" s="25"/>
    </row>
    <row r="1045" spans="1:14" ht="20.100000000000001" customHeight="1" x14ac:dyDescent="0.25">
      <c r="A1045" s="25"/>
      <c r="B1045" s="25"/>
      <c r="C1045" s="25"/>
      <c r="D1045" s="25"/>
      <c r="E1045" s="25"/>
      <c r="F1045" s="25"/>
      <c r="G1045" s="25"/>
      <c r="H1045" s="35"/>
      <c r="I1045" s="35"/>
      <c r="J1045" s="35"/>
      <c r="K1045" s="35"/>
      <c r="L1045" s="35"/>
      <c r="M1045" s="35"/>
      <c r="N1045" s="25"/>
    </row>
    <row r="1046" spans="1:14" ht="20.100000000000001" customHeight="1" x14ac:dyDescent="0.25">
      <c r="A1046" s="287" t="s">
        <v>590</v>
      </c>
      <c r="B1046" s="397">
        <f>E1044</f>
        <v>1.6515235659061354</v>
      </c>
      <c r="C1046" s="287"/>
      <c r="D1046" s="288" t="str">
        <f>IF(B1046&lt;1.5,"&lt; 1,5","&gt; 1,5")</f>
        <v>&gt; 1,5</v>
      </c>
      <c r="E1046" s="25"/>
      <c r="F1046" s="35" t="s">
        <v>591</v>
      </c>
      <c r="G1046" s="35"/>
      <c r="H1046" s="35"/>
      <c r="I1046" s="35"/>
      <c r="J1046" s="217">
        <f>(0.877/(B1046^2))*K999</f>
        <v>75.561036283547026</v>
      </c>
      <c r="K1046" s="25" t="s">
        <v>275</v>
      </c>
      <c r="L1046" s="35"/>
      <c r="M1046" s="339" t="s">
        <v>592</v>
      </c>
      <c r="N1046" s="271">
        <v>0.85</v>
      </c>
    </row>
    <row r="1047" spans="1:14" ht="20.100000000000001" customHeight="1" x14ac:dyDescent="0.25">
      <c r="A1047" s="338"/>
      <c r="B1047" s="25"/>
      <c r="C1047" s="25"/>
      <c r="D1047" s="25"/>
      <c r="E1047" s="25"/>
      <c r="F1047" s="25"/>
      <c r="G1047" s="25"/>
      <c r="H1047" s="35"/>
      <c r="I1047" s="35"/>
      <c r="J1047" s="35"/>
      <c r="K1047" s="35"/>
      <c r="L1047" s="35"/>
      <c r="M1047" s="35"/>
      <c r="N1047" s="25"/>
    </row>
    <row r="1048" spans="1:14" ht="20.100000000000001" customHeight="1" x14ac:dyDescent="0.25">
      <c r="A1048" s="25" t="s">
        <v>761</v>
      </c>
      <c r="B1048" s="25"/>
      <c r="C1048" s="25"/>
      <c r="D1048" s="25"/>
      <c r="E1048" s="335">
        <f>N1046*J1046*G994/10</f>
        <v>154.14451401843593</v>
      </c>
      <c r="F1048" s="25" t="s">
        <v>279</v>
      </c>
      <c r="H1048" s="21" t="str">
        <f>IF(E1048&lt;L1048,"&lt; Pu      BC","&gt; Pu      MC")</f>
        <v>&lt; Pu      BC</v>
      </c>
      <c r="K1048" s="336" t="s">
        <v>765</v>
      </c>
      <c r="L1048" s="335">
        <f>E1042</f>
        <v>886.46135691532072</v>
      </c>
      <c r="M1048" s="25" t="s">
        <v>195</v>
      </c>
      <c r="N1048" s="25"/>
    </row>
    <row r="1049" spans="1:14" ht="20.100000000000001" customHeight="1" x14ac:dyDescent="0.25">
      <c r="D1049" s="25"/>
      <c r="E1049" s="25"/>
      <c r="F1049" s="25"/>
      <c r="G1049" s="25"/>
      <c r="H1049" s="35"/>
      <c r="I1049" s="35"/>
      <c r="J1049" s="35"/>
      <c r="K1049" s="35"/>
      <c r="L1049" s="35"/>
      <c r="M1049" s="35"/>
      <c r="N1049" s="25"/>
    </row>
    <row r="1050" spans="1:14" ht="20.100000000000001" customHeight="1" x14ac:dyDescent="0.25">
      <c r="A1050" s="25" t="s">
        <v>766</v>
      </c>
      <c r="D1050" s="25"/>
      <c r="E1050" s="25"/>
      <c r="F1050" s="25"/>
      <c r="G1050" s="25"/>
      <c r="H1050" s="35"/>
      <c r="I1050" s="35"/>
      <c r="J1050" s="35"/>
      <c r="K1050" s="35"/>
      <c r="L1050" s="35"/>
      <c r="M1050" s="35"/>
      <c r="N1050" s="25"/>
    </row>
    <row r="1051" spans="1:14" ht="20.100000000000001" customHeight="1" x14ac:dyDescent="0.25">
      <c r="D1051" s="25" t="s">
        <v>57</v>
      </c>
      <c r="E1051" s="25">
        <v>7.62</v>
      </c>
      <c r="F1051" s="25" t="s">
        <v>143</v>
      </c>
      <c r="G1051" s="338" t="s">
        <v>6</v>
      </c>
      <c r="H1051" s="337">
        <v>9.43</v>
      </c>
      <c r="I1051" s="35" t="s">
        <v>767</v>
      </c>
      <c r="J1051" s="35"/>
      <c r="K1051" s="35"/>
      <c r="L1051" s="35"/>
      <c r="M1051" s="35"/>
      <c r="N1051" s="25"/>
    </row>
    <row r="1052" spans="1:14" ht="20.100000000000001" customHeight="1" x14ac:dyDescent="0.25">
      <c r="D1052" s="25" t="s">
        <v>167</v>
      </c>
      <c r="E1052" s="25">
        <v>7.62</v>
      </c>
      <c r="F1052" s="25" t="s">
        <v>143</v>
      </c>
      <c r="G1052" s="25"/>
      <c r="H1052" s="35"/>
      <c r="I1052" s="35"/>
      <c r="J1052" s="35"/>
      <c r="K1052" s="35"/>
      <c r="L1052" s="35"/>
      <c r="M1052" s="35"/>
      <c r="N1052" s="25"/>
    </row>
    <row r="1053" spans="1:14" ht="20.100000000000001" customHeight="1" x14ac:dyDescent="0.25">
      <c r="D1053" s="25" t="s">
        <v>270</v>
      </c>
      <c r="E1053" s="25">
        <v>0.64</v>
      </c>
      <c r="F1053" s="25" t="s">
        <v>143</v>
      </c>
      <c r="G1053" s="25"/>
      <c r="H1053" s="35"/>
      <c r="I1053" s="35"/>
      <c r="J1053" s="35"/>
      <c r="K1053" s="35"/>
      <c r="L1053" s="35"/>
      <c r="M1053" s="35"/>
      <c r="N1053" s="25"/>
    </row>
    <row r="1054" spans="1:14" ht="20.100000000000001" customHeight="1" x14ac:dyDescent="0.25">
      <c r="D1054" s="25"/>
      <c r="E1054" s="25"/>
      <c r="F1054" s="25"/>
      <c r="G1054" s="25"/>
      <c r="H1054" s="35"/>
      <c r="I1054" s="35"/>
      <c r="J1054" s="35"/>
      <c r="K1054" s="35"/>
      <c r="L1054" s="35"/>
      <c r="M1054" s="35"/>
      <c r="N1054" s="25"/>
    </row>
    <row r="1055" spans="1:14" ht="20.100000000000001" customHeight="1" x14ac:dyDescent="0.25">
      <c r="A1055" s="28" t="s">
        <v>281</v>
      </c>
      <c r="B1055" s="25"/>
      <c r="C1055" s="25"/>
      <c r="D1055" s="25"/>
      <c r="E1055" s="25"/>
      <c r="F1055" s="25"/>
      <c r="G1055" s="25"/>
      <c r="H1055" s="35"/>
      <c r="I1055" s="35"/>
      <c r="J1055" s="35"/>
      <c r="K1055" s="339" t="s">
        <v>762</v>
      </c>
      <c r="L1055" s="334">
        <f>J984/100</f>
        <v>120.88826710565586</v>
      </c>
      <c r="M1055" s="35" t="s">
        <v>195</v>
      </c>
      <c r="N1055" s="25"/>
    </row>
    <row r="1056" spans="1:14" ht="20.100000000000001" customHeight="1" x14ac:dyDescent="0.25">
      <c r="A1056" s="273" t="s">
        <v>769</v>
      </c>
      <c r="B1056" s="25"/>
      <c r="C1056" s="25"/>
      <c r="D1056" s="25"/>
      <c r="E1056" s="25">
        <f>(3.14/400)/(1-N1038)</f>
        <v>8.2990899555631815E-3</v>
      </c>
      <c r="G1056" s="25"/>
      <c r="H1056" s="35"/>
      <c r="I1056" s="25" t="s">
        <v>593</v>
      </c>
      <c r="J1056" s="35"/>
      <c r="K1056" s="35"/>
      <c r="L1056" s="334">
        <f>E1056*J1023+L1055</f>
        <v>121.71229485415627</v>
      </c>
      <c r="M1056" s="218"/>
      <c r="N1056" s="25"/>
    </row>
    <row r="1057" spans="1:14" ht="20.100000000000001" customHeight="1" x14ac:dyDescent="0.25">
      <c r="A1057" s="507" t="s">
        <v>396</v>
      </c>
      <c r="B1057" s="507"/>
      <c r="C1057" s="25">
        <f>C1003</f>
        <v>0.43778884201339707</v>
      </c>
      <c r="D1057" s="25"/>
      <c r="E1057" s="25"/>
      <c r="F1057" s="25"/>
      <c r="G1057" s="25"/>
      <c r="H1057" s="35"/>
      <c r="I1057" s="35"/>
      <c r="J1057" s="35"/>
      <c r="K1057" s="35"/>
      <c r="L1057" s="35"/>
      <c r="M1057" s="35"/>
      <c r="N1057" s="25"/>
    </row>
    <row r="1058" spans="1:14" ht="20.100000000000001" customHeight="1" x14ac:dyDescent="0.25">
      <c r="A1058" s="25" t="s">
        <v>768</v>
      </c>
      <c r="B1058" s="25"/>
      <c r="C1058" s="25"/>
      <c r="D1058" s="25"/>
      <c r="E1058" s="25"/>
      <c r="F1058" s="25"/>
      <c r="G1058" s="398">
        <f>L1056/(2*C1057)</f>
        <v>139.0079910378708</v>
      </c>
      <c r="H1058" s="266" t="s">
        <v>195</v>
      </c>
      <c r="I1058" s="218"/>
      <c r="J1058" s="284"/>
      <c r="K1058" s="284"/>
      <c r="L1058" s="35"/>
      <c r="M1058" s="339" t="s">
        <v>770</v>
      </c>
      <c r="N1058" s="259">
        <v>1</v>
      </c>
    </row>
    <row r="1059" spans="1:14" ht="20.100000000000001" customHeight="1" x14ac:dyDescent="0.25">
      <c r="A1059" s="273" t="s">
        <v>594</v>
      </c>
      <c r="B1059" s="25"/>
      <c r="C1059" s="25"/>
      <c r="D1059" s="39">
        <f>N1058*B1000/K997</f>
        <v>70.470192177358285</v>
      </c>
      <c r="E1059" s="34" t="str">
        <f>IF(D1059&lt;200,"&lt; 200 Verifica","&gt;200 No Verifica")</f>
        <v>&lt; 200 Verifica</v>
      </c>
      <c r="F1059" s="25"/>
      <c r="G1059" s="25"/>
      <c r="H1059" s="35"/>
      <c r="I1059" s="35"/>
      <c r="J1059" s="35"/>
      <c r="K1059" s="35"/>
      <c r="L1059" s="35"/>
      <c r="M1059" s="35"/>
      <c r="N1059" s="25"/>
    </row>
    <row r="1060" spans="1:14" ht="20.100000000000001" customHeight="1" x14ac:dyDescent="0.25">
      <c r="A1060" s="25"/>
      <c r="B1060" s="25"/>
      <c r="C1060" s="25"/>
      <c r="D1060" s="25"/>
      <c r="E1060" s="25"/>
      <c r="F1060" s="25"/>
      <c r="G1060" s="25"/>
      <c r="H1060" s="35"/>
      <c r="I1060" s="35"/>
      <c r="J1060" s="35"/>
      <c r="K1060" s="35"/>
      <c r="L1060" s="35"/>
      <c r="M1060" s="35"/>
      <c r="N1060" s="25"/>
    </row>
    <row r="1061" spans="1:14" ht="20.100000000000001" customHeight="1" x14ac:dyDescent="0.25">
      <c r="A1061" s="25" t="s">
        <v>282</v>
      </c>
      <c r="B1061" s="25"/>
      <c r="C1061" s="25"/>
      <c r="D1061" s="25"/>
      <c r="E1061" s="273" t="s">
        <v>763</v>
      </c>
      <c r="F1061" s="25"/>
      <c r="G1061" s="25"/>
      <c r="H1061" s="35"/>
      <c r="I1061" s="192">
        <f>(N1058*D1059/3.14)*M1043</f>
        <v>0.76929824393607005</v>
      </c>
      <c r="K1061" s="289"/>
      <c r="L1061" s="35"/>
      <c r="M1061" s="35"/>
      <c r="N1061" s="25"/>
    </row>
    <row r="1062" spans="1:14" ht="20.100000000000001" customHeight="1" x14ac:dyDescent="0.25">
      <c r="A1062" s="25"/>
      <c r="B1062" s="25"/>
      <c r="C1062" s="25"/>
      <c r="D1062" s="25"/>
      <c r="E1062" s="25"/>
      <c r="F1062" s="25"/>
      <c r="G1062" s="25"/>
      <c r="H1062" s="35"/>
      <c r="I1062" s="35"/>
      <c r="J1062" s="35"/>
      <c r="K1062" s="35"/>
      <c r="L1062" s="35"/>
      <c r="M1062" s="35"/>
      <c r="N1062" s="25"/>
    </row>
    <row r="1063" spans="1:14" ht="20.100000000000001" customHeight="1" x14ac:dyDescent="0.25">
      <c r="A1063" s="25"/>
      <c r="B1063" s="25"/>
      <c r="C1063" s="273" t="s">
        <v>764</v>
      </c>
      <c r="D1063" s="34" t="str">
        <f>IF(I1061&lt;1.5,"&lt; 1,5","&gt; 1,5")</f>
        <v>&lt; 1,5</v>
      </c>
      <c r="E1063" s="25"/>
      <c r="F1063" s="35" t="s">
        <v>480</v>
      </c>
      <c r="G1063" s="25"/>
      <c r="H1063" s="35"/>
      <c r="I1063" s="35"/>
      <c r="J1063" s="218">
        <f>(0.658^(I1061^2))*K999</f>
        <v>183.43844031268856</v>
      </c>
      <c r="K1063" s="35" t="s">
        <v>275</v>
      </c>
      <c r="L1063" s="35"/>
      <c r="M1063" s="35"/>
      <c r="N1063" s="25"/>
    </row>
    <row r="1064" spans="1:14" ht="20.100000000000001" customHeight="1" x14ac:dyDescent="0.25">
      <c r="A1064" s="35" t="s">
        <v>592</v>
      </c>
      <c r="B1064" s="255">
        <v>0.85</v>
      </c>
      <c r="C1064" s="25"/>
      <c r="D1064" s="25"/>
      <c r="E1064" s="25" t="s">
        <v>595</v>
      </c>
      <c r="F1064" s="25"/>
      <c r="G1064" s="25"/>
      <c r="H1064" s="334">
        <f>B1064*J1063*H1051/10</f>
        <v>147.03508183263551</v>
      </c>
      <c r="I1064" s="35" t="s">
        <v>195</v>
      </c>
      <c r="K1064" s="263" t="str">
        <f>IF(H1064&lt;G1058,"&lt; Du   MC!!!","&gt; Du    BC!!!")</f>
        <v>&gt; Du    BC!!!</v>
      </c>
      <c r="L1064" s="266"/>
      <c r="M1064" s="35"/>
      <c r="N1064" s="25"/>
    </row>
    <row r="1065" spans="1:14" ht="20.100000000000001" customHeight="1" x14ac:dyDescent="0.25">
      <c r="A1065" s="28" t="s">
        <v>283</v>
      </c>
      <c r="B1065" s="25"/>
      <c r="C1065" s="25"/>
      <c r="D1065" s="25"/>
      <c r="E1065" s="25"/>
      <c r="F1065" s="25"/>
      <c r="G1065" s="25"/>
      <c r="H1065" s="35"/>
      <c r="I1065" s="35"/>
      <c r="J1065" s="35"/>
      <c r="K1065" s="35"/>
      <c r="L1065" s="35"/>
      <c r="M1065" s="35"/>
      <c r="N1065" s="25"/>
    </row>
    <row r="1066" spans="1:14" ht="20.100000000000001" customHeight="1" x14ac:dyDescent="0.25">
      <c r="A1066" s="25" t="s">
        <v>596</v>
      </c>
      <c r="B1066" s="514">
        <f>H1064</f>
        <v>147.03508183263551</v>
      </c>
      <c r="C1066" s="514"/>
      <c r="D1066" s="39" t="s">
        <v>195</v>
      </c>
      <c r="E1066" s="187" t="s">
        <v>511</v>
      </c>
      <c r="F1066" s="26">
        <v>0.9</v>
      </c>
      <c r="G1066" s="25"/>
      <c r="H1066" s="35"/>
      <c r="I1066" s="35"/>
      <c r="J1066" s="35" t="s">
        <v>169</v>
      </c>
      <c r="K1066" s="44">
        <v>235</v>
      </c>
      <c r="L1066" s="35" t="s">
        <v>275</v>
      </c>
      <c r="M1066" s="35"/>
      <c r="N1066" s="25"/>
    </row>
    <row r="1067" spans="1:14" ht="20.100000000000001" customHeight="1" x14ac:dyDescent="0.25">
      <c r="A1067" s="25" t="s">
        <v>597</v>
      </c>
      <c r="B1067" s="25"/>
      <c r="C1067" s="25"/>
      <c r="D1067" s="25"/>
      <c r="E1067" s="25"/>
      <c r="F1067" s="190">
        <f>B1066/(0.75*F1066*K1067*K1066)</f>
        <v>3.089783700186719</v>
      </c>
      <c r="G1067" s="25" t="s">
        <v>143</v>
      </c>
      <c r="H1067" s="35"/>
      <c r="I1067" s="35"/>
      <c r="J1067" s="35" t="s">
        <v>598</v>
      </c>
      <c r="K1067" s="44">
        <v>0.3</v>
      </c>
      <c r="L1067" s="35" t="s">
        <v>143</v>
      </c>
      <c r="M1067" s="35"/>
      <c r="N1067" s="25"/>
    </row>
    <row r="1068" spans="1:14" ht="20.100000000000001" customHeight="1" x14ac:dyDescent="0.25">
      <c r="A1068" s="25" t="s">
        <v>599</v>
      </c>
      <c r="B1068" s="25"/>
      <c r="C1068" s="25"/>
      <c r="D1068" s="25"/>
      <c r="E1068" s="25"/>
      <c r="F1068" s="25"/>
      <c r="G1068" s="25"/>
      <c r="H1068" s="35">
        <f>B1069*F1067/J1069</f>
        <v>2.6942913865628193</v>
      </c>
      <c r="I1068" s="41" t="s">
        <v>188</v>
      </c>
      <c r="J1068" s="192">
        <f>F1069*F1067/J1069</f>
        <v>0.39549231362390003</v>
      </c>
      <c r="K1068" s="35" t="s">
        <v>189</v>
      </c>
      <c r="L1068" s="192">
        <f>H1068+J1068</f>
        <v>3.0897837001867194</v>
      </c>
      <c r="M1068" s="35" t="s">
        <v>143</v>
      </c>
      <c r="N1068" s="25"/>
    </row>
    <row r="1069" spans="1:14" ht="20.100000000000001" customHeight="1" x14ac:dyDescent="0.25">
      <c r="A1069" s="35" t="s">
        <v>285</v>
      </c>
      <c r="B1069" s="25">
        <f>(K994-K995)</f>
        <v>2.1800000000000002</v>
      </c>
      <c r="C1069" s="25" t="s">
        <v>143</v>
      </c>
      <c r="D1069" s="25"/>
      <c r="E1069" s="35" t="s">
        <v>266</v>
      </c>
      <c r="F1069" s="25">
        <f>K995</f>
        <v>0.32</v>
      </c>
      <c r="G1069" s="25" t="s">
        <v>143</v>
      </c>
      <c r="H1069" s="35"/>
      <c r="I1069" s="35" t="s">
        <v>57</v>
      </c>
      <c r="J1069" s="35">
        <f>K994</f>
        <v>2.5</v>
      </c>
      <c r="K1069" s="35" t="s">
        <v>143</v>
      </c>
      <c r="L1069" s="35"/>
      <c r="M1069" s="35"/>
      <c r="N1069" s="25"/>
    </row>
    <row r="1070" spans="1:14" ht="20.100000000000001" customHeight="1" x14ac:dyDescent="0.25">
      <c r="A1070" s="25"/>
      <c r="B1070" s="25"/>
      <c r="C1070" s="25"/>
      <c r="D1070" s="25"/>
      <c r="E1070" s="25"/>
      <c r="F1070" s="25"/>
      <c r="G1070" s="25"/>
      <c r="H1070" s="35"/>
      <c r="I1070" s="35"/>
      <c r="J1070" s="35"/>
      <c r="K1070" s="35"/>
      <c r="L1070" s="35"/>
      <c r="M1070" s="35"/>
      <c r="N1070" s="25"/>
    </row>
    <row r="1079" spans="1:14" ht="20.100000000000001" customHeight="1" x14ac:dyDescent="0.25">
      <c r="A1079" s="28" t="s">
        <v>773</v>
      </c>
      <c r="B1079" s="25"/>
      <c r="C1079" s="25"/>
      <c r="D1079" s="25"/>
      <c r="E1079" s="25"/>
      <c r="F1079" s="25"/>
      <c r="G1079" s="25"/>
      <c r="H1079" s="35"/>
      <c r="I1079" s="35"/>
      <c r="J1079" s="35"/>
      <c r="K1079" s="35"/>
      <c r="L1079" s="35"/>
      <c r="M1079" s="35"/>
      <c r="N1079" s="25"/>
    </row>
    <row r="1080" spans="1:14" ht="20.100000000000001" customHeight="1" x14ac:dyDescent="0.25">
      <c r="A1080" s="28" t="s">
        <v>805</v>
      </c>
      <c r="B1080" s="25"/>
      <c r="C1080" s="25"/>
      <c r="D1080" s="25"/>
      <c r="E1080" s="25"/>
      <c r="F1080" s="25"/>
      <c r="G1080" s="25"/>
      <c r="H1080" s="35"/>
      <c r="I1080" s="35"/>
      <c r="J1080" s="35"/>
      <c r="K1080" s="35"/>
      <c r="L1080" s="35"/>
      <c r="M1080" s="35"/>
      <c r="N1080" s="25"/>
    </row>
    <row r="1081" spans="1:14" ht="20.100000000000001" customHeight="1" x14ac:dyDescent="0.25">
      <c r="A1081" s="25" t="s">
        <v>774</v>
      </c>
      <c r="B1081" s="25"/>
      <c r="C1081" s="25"/>
      <c r="D1081" s="25"/>
      <c r="E1081" s="25"/>
      <c r="F1081" s="25"/>
      <c r="G1081" s="25"/>
      <c r="H1081" s="35"/>
      <c r="I1081" s="35"/>
      <c r="J1081" s="35"/>
      <c r="K1081" s="35"/>
      <c r="L1081" s="35"/>
      <c r="M1081" s="35"/>
      <c r="N1081" s="25"/>
    </row>
    <row r="1082" spans="1:14" ht="20.100000000000001" customHeight="1" x14ac:dyDescent="0.25">
      <c r="A1082" s="338" t="s">
        <v>124</v>
      </c>
      <c r="B1082" s="335">
        <f>L263</f>
        <v>30</v>
      </c>
      <c r="C1082" s="25" t="s">
        <v>660</v>
      </c>
      <c r="D1082" s="25"/>
      <c r="E1082" s="338" t="s">
        <v>118</v>
      </c>
      <c r="F1082" s="190">
        <f>G15</f>
        <v>4</v>
      </c>
      <c r="G1082" s="25" t="s">
        <v>5</v>
      </c>
      <c r="H1082" s="35"/>
      <c r="I1082" s="35"/>
      <c r="J1082" s="35"/>
      <c r="K1082" s="35"/>
      <c r="L1082" s="35"/>
      <c r="M1082" s="35"/>
      <c r="N1082" s="25"/>
    </row>
    <row r="1083" spans="1:14" ht="20.100000000000001" customHeight="1" x14ac:dyDescent="0.25">
      <c r="A1083" s="25" t="s">
        <v>27</v>
      </c>
      <c r="B1083" s="191">
        <f>L271</f>
        <v>93.311999999999998</v>
      </c>
      <c r="C1083" s="25" t="s">
        <v>660</v>
      </c>
      <c r="D1083" s="25"/>
      <c r="E1083" s="338" t="s">
        <v>57</v>
      </c>
      <c r="F1083" s="190">
        <f>G14</f>
        <v>2</v>
      </c>
      <c r="G1083" s="25" t="s">
        <v>5</v>
      </c>
      <c r="H1083" s="35"/>
      <c r="I1083" s="35"/>
      <c r="J1083" s="35"/>
      <c r="K1083" s="35"/>
      <c r="L1083" s="35"/>
      <c r="M1083" s="35"/>
      <c r="N1083" s="25"/>
    </row>
    <row r="1084" spans="1:14" ht="20.100000000000001" customHeight="1" x14ac:dyDescent="0.25">
      <c r="A1084" s="25" t="s">
        <v>715</v>
      </c>
      <c r="B1084" s="25"/>
      <c r="C1084" s="25"/>
      <c r="D1084" s="39"/>
      <c r="E1084" s="25" t="s">
        <v>780</v>
      </c>
      <c r="F1084" s="25"/>
      <c r="G1084" s="267">
        <v>2</v>
      </c>
      <c r="H1084" s="35" t="s">
        <v>5</v>
      </c>
      <c r="I1084" s="35"/>
      <c r="J1084" s="35"/>
      <c r="K1084" s="35"/>
      <c r="L1084" s="35"/>
      <c r="M1084" s="35"/>
      <c r="N1084" s="25"/>
    </row>
    <row r="1085" spans="1:14" ht="20.100000000000001" customHeight="1" x14ac:dyDescent="0.25">
      <c r="A1085" s="505" t="s">
        <v>676</v>
      </c>
      <c r="B1085" s="505"/>
      <c r="C1085" s="333">
        <f>(1.2*B1082+1.6*B1083)*F1082*F1083/2</f>
        <v>741.19680000000005</v>
      </c>
      <c r="D1085" s="28" t="s">
        <v>120</v>
      </c>
      <c r="E1085" s="25"/>
      <c r="F1085" s="25"/>
      <c r="G1085" s="25"/>
      <c r="H1085" s="35"/>
      <c r="I1085" s="35"/>
      <c r="J1085" s="35"/>
      <c r="K1085" s="35"/>
      <c r="L1085" s="35"/>
      <c r="M1085" s="35"/>
      <c r="N1085" s="25"/>
    </row>
    <row r="1086" spans="1:14" ht="20.100000000000001" customHeight="1" x14ac:dyDescent="0.25">
      <c r="A1086" s="25"/>
      <c r="B1086" s="25"/>
      <c r="C1086" s="25"/>
      <c r="D1086" s="25"/>
      <c r="E1086" s="25"/>
      <c r="F1086" s="25"/>
      <c r="G1086" s="25"/>
      <c r="H1086" s="35"/>
      <c r="I1086" s="35"/>
      <c r="J1086" s="35"/>
      <c r="K1086" s="35"/>
      <c r="L1086" s="35"/>
      <c r="M1086" s="35"/>
      <c r="N1086" s="25"/>
    </row>
    <row r="1087" spans="1:14" ht="20.100000000000001" customHeight="1" x14ac:dyDescent="0.25">
      <c r="A1087" s="25" t="s">
        <v>775</v>
      </c>
      <c r="B1087" s="25"/>
      <c r="C1087" s="25"/>
      <c r="D1087" s="25"/>
      <c r="E1087" s="25"/>
      <c r="F1087" s="25"/>
      <c r="G1087" s="25"/>
      <c r="H1087" s="35"/>
      <c r="I1087" s="35"/>
      <c r="J1087" s="35"/>
      <c r="K1087" s="35"/>
      <c r="L1087" s="35"/>
      <c r="M1087" s="35"/>
      <c r="N1087" s="25"/>
    </row>
    <row r="1088" spans="1:14" ht="20.100000000000001" customHeight="1" x14ac:dyDescent="0.25">
      <c r="A1088" s="25" t="s">
        <v>240</v>
      </c>
      <c r="B1088" s="25"/>
      <c r="C1088" s="25"/>
      <c r="D1088" s="25"/>
      <c r="E1088" s="25" t="s">
        <v>776</v>
      </c>
      <c r="F1088" s="25"/>
      <c r="G1088" s="25"/>
      <c r="H1088" s="35"/>
      <c r="I1088" s="255">
        <v>1</v>
      </c>
      <c r="J1088" s="35" t="s">
        <v>5</v>
      </c>
      <c r="K1088" s="35"/>
      <c r="L1088" s="35"/>
      <c r="M1088" s="35"/>
      <c r="N1088" s="25"/>
    </row>
    <row r="1089" spans="1:14" ht="20.100000000000001" customHeight="1" x14ac:dyDescent="0.25">
      <c r="A1089" s="12" t="s">
        <v>241</v>
      </c>
      <c r="B1089" s="12"/>
      <c r="C1089" s="12"/>
      <c r="D1089" s="324">
        <v>100</v>
      </c>
      <c r="F1089" s="12" t="s">
        <v>634</v>
      </c>
      <c r="G1089" s="282">
        <v>10.6</v>
      </c>
      <c r="H1089" s="50" t="s">
        <v>242</v>
      </c>
      <c r="I1089" s="35"/>
      <c r="J1089" s="35"/>
      <c r="K1089" s="35"/>
      <c r="L1089" s="35"/>
      <c r="M1089" s="35"/>
      <c r="N1089" s="25"/>
    </row>
    <row r="1090" spans="1:14" ht="20.100000000000001" customHeight="1" x14ac:dyDescent="0.25">
      <c r="A1090" s="214" t="s">
        <v>243</v>
      </c>
      <c r="B1090" s="214"/>
      <c r="C1090" s="325">
        <v>10</v>
      </c>
      <c r="D1090" s="214" t="s">
        <v>546</v>
      </c>
      <c r="E1090" s="214"/>
      <c r="F1090" s="214"/>
      <c r="G1090" s="214">
        <f>C1090*I1088</f>
        <v>10</v>
      </c>
      <c r="H1090" s="215" t="s">
        <v>242</v>
      </c>
      <c r="I1090" s="35"/>
      <c r="J1090" s="35"/>
      <c r="K1090" s="35"/>
      <c r="L1090" s="35"/>
      <c r="M1090" s="35"/>
      <c r="N1090" s="25"/>
    </row>
    <row r="1091" spans="1:14" ht="20.100000000000001" customHeight="1" x14ac:dyDescent="0.25">
      <c r="A1091" s="28" t="s">
        <v>106</v>
      </c>
      <c r="B1091" s="25"/>
      <c r="C1091" s="25"/>
      <c r="D1091" s="25"/>
      <c r="E1091" s="25"/>
      <c r="F1091" s="338" t="s">
        <v>244</v>
      </c>
      <c r="G1091" s="191">
        <f>G1089+G1090</f>
        <v>20.6</v>
      </c>
      <c r="H1091" s="35" t="s">
        <v>242</v>
      </c>
      <c r="I1091" s="500" t="s">
        <v>777</v>
      </c>
      <c r="J1091" s="500"/>
      <c r="K1091" s="218">
        <f>1.2*G1091*G1084</f>
        <v>49.440000000000005</v>
      </c>
      <c r="L1091" s="35" t="s">
        <v>122</v>
      </c>
      <c r="M1091" s="35"/>
      <c r="N1091" s="25"/>
    </row>
    <row r="1092" spans="1:14" ht="20.100000000000001" customHeight="1" x14ac:dyDescent="0.25">
      <c r="K1092" s="279"/>
      <c r="M1092" s="35"/>
      <c r="N1092" s="25"/>
    </row>
    <row r="1093" spans="1:14" ht="20.100000000000001" customHeight="1" x14ac:dyDescent="0.25">
      <c r="A1093" s="25" t="s">
        <v>245</v>
      </c>
      <c r="B1093" s="25"/>
      <c r="C1093" s="25"/>
      <c r="D1093" s="25"/>
      <c r="E1093" s="25"/>
      <c r="F1093" s="25"/>
      <c r="G1093" s="25"/>
      <c r="H1093" s="35"/>
      <c r="I1093" s="35"/>
      <c r="J1093" s="35"/>
      <c r="K1093" s="218"/>
      <c r="L1093" s="35"/>
      <c r="M1093" s="35"/>
      <c r="N1093" s="25"/>
    </row>
    <row r="1094" spans="1:14" ht="20.100000000000001" customHeight="1" x14ac:dyDescent="0.25">
      <c r="A1094" s="25" t="s">
        <v>246</v>
      </c>
      <c r="B1094" s="25"/>
      <c r="C1094" s="130">
        <f>C754</f>
        <v>87.744970802582387</v>
      </c>
      <c r="D1094" s="25" t="s">
        <v>366</v>
      </c>
      <c r="E1094" s="25"/>
      <c r="F1094" s="338" t="s">
        <v>247</v>
      </c>
      <c r="G1094" s="335">
        <f>C1094*I1088</f>
        <v>87.744970802582387</v>
      </c>
      <c r="H1094" s="35" t="s">
        <v>242</v>
      </c>
      <c r="I1094" s="500" t="s">
        <v>249</v>
      </c>
      <c r="J1094" s="500"/>
      <c r="K1094" s="218">
        <f>1.5*G1094*G1084</f>
        <v>263.23491240774717</v>
      </c>
      <c r="L1094" s="35" t="s">
        <v>120</v>
      </c>
      <c r="M1094" s="35"/>
      <c r="N1094" s="25"/>
    </row>
    <row r="1095" spans="1:14" ht="20.100000000000001" customHeight="1" x14ac:dyDescent="0.25">
      <c r="A1095" s="25"/>
      <c r="B1095" s="25"/>
      <c r="C1095" s="25"/>
      <c r="D1095" s="25"/>
      <c r="E1095" s="25"/>
      <c r="F1095" s="25"/>
      <c r="G1095" s="25"/>
      <c r="H1095" s="35"/>
      <c r="I1095" s="35"/>
      <c r="J1095" s="35"/>
      <c r="K1095" s="35"/>
      <c r="L1095" s="35"/>
      <c r="M1095" s="35"/>
      <c r="N1095" s="25"/>
    </row>
    <row r="1096" spans="1:14" ht="20.100000000000001" customHeight="1" x14ac:dyDescent="0.25">
      <c r="A1096" s="25" t="s">
        <v>778</v>
      </c>
      <c r="B1096" s="25"/>
      <c r="C1096" s="25"/>
      <c r="D1096" s="25"/>
      <c r="E1096" s="25"/>
      <c r="F1096" s="25"/>
      <c r="G1096" s="25"/>
      <c r="H1096" s="35"/>
      <c r="I1096" s="35"/>
      <c r="J1096" s="35"/>
      <c r="K1096" s="35"/>
      <c r="L1096" s="35"/>
      <c r="M1096" s="35"/>
      <c r="N1096" s="25"/>
    </row>
    <row r="1097" spans="1:14" ht="20.100000000000001" customHeight="1" x14ac:dyDescent="0.25">
      <c r="A1097" s="25" t="s">
        <v>779</v>
      </c>
      <c r="B1097" s="130">
        <f>C1085</f>
        <v>741.19680000000005</v>
      </c>
      <c r="C1097" s="25" t="s">
        <v>122</v>
      </c>
      <c r="D1097" s="25"/>
      <c r="E1097" s="338" t="s">
        <v>781</v>
      </c>
      <c r="F1097" s="25">
        <v>0.76</v>
      </c>
      <c r="G1097" s="25" t="s">
        <v>5</v>
      </c>
      <c r="J1097" s="25" t="s">
        <v>790</v>
      </c>
      <c r="K1097" s="218">
        <f>6*K1094-K1098</f>
        <v>775.53054963205511</v>
      </c>
      <c r="L1097" s="35" t="s">
        <v>122</v>
      </c>
      <c r="M1097" s="35"/>
      <c r="N1097" s="25"/>
    </row>
    <row r="1098" spans="1:14" ht="20.100000000000001" customHeight="1" x14ac:dyDescent="0.25">
      <c r="A1098" s="25" t="s">
        <v>679</v>
      </c>
      <c r="B1098" s="130">
        <f>B1097+$K$1091</f>
        <v>790.63680000000011</v>
      </c>
      <c r="C1098" s="25" t="s">
        <v>122</v>
      </c>
      <c r="D1098" s="25"/>
      <c r="E1098" s="358" t="s">
        <v>783</v>
      </c>
      <c r="F1098" s="190">
        <v>0.76</v>
      </c>
      <c r="G1098" s="25" t="s">
        <v>5</v>
      </c>
      <c r="I1098" s="2"/>
      <c r="J1098" s="25" t="s">
        <v>789</v>
      </c>
      <c r="K1098" s="130">
        <f>K1094*(6*F1098+5*F1099+4*F1100+3*F1101+2*F1102+F1103)/F1104</f>
        <v>803.87892481442793</v>
      </c>
      <c r="L1098" s="35" t="s">
        <v>122</v>
      </c>
      <c r="M1098" s="35"/>
      <c r="N1098" s="25"/>
    </row>
    <row r="1099" spans="1:14" ht="20.100000000000001" customHeight="1" x14ac:dyDescent="0.25">
      <c r="A1099" s="25" t="s">
        <v>680</v>
      </c>
      <c r="B1099" s="130">
        <f t="shared" ref="B1099:B1103" si="18">B1098+$K$1091</f>
        <v>840.07680000000016</v>
      </c>
      <c r="C1099" s="25" t="s">
        <v>122</v>
      </c>
      <c r="D1099" s="25"/>
      <c r="E1099" s="359" t="s">
        <v>788</v>
      </c>
      <c r="F1099" s="28">
        <v>0.76</v>
      </c>
      <c r="G1099" s="28" t="s">
        <v>5</v>
      </c>
      <c r="H1099" s="35"/>
      <c r="I1099" s="35"/>
      <c r="J1099" s="25" t="s">
        <v>703</v>
      </c>
      <c r="K1099" s="130">
        <f>K1098*(F1097+F1098+F1099)-K1094*(F1098+F1099)-K1094*F1099</f>
        <v>1232.6683482872324</v>
      </c>
      <c r="L1099" s="35" t="s">
        <v>251</v>
      </c>
      <c r="M1099" s="35"/>
      <c r="N1099" s="25"/>
    </row>
    <row r="1100" spans="1:14" ht="20.100000000000001" customHeight="1" x14ac:dyDescent="0.25">
      <c r="A1100" s="25" t="s">
        <v>681</v>
      </c>
      <c r="B1100" s="130">
        <f t="shared" si="18"/>
        <v>889.51680000000022</v>
      </c>
      <c r="C1100" s="25" t="s">
        <v>122</v>
      </c>
      <c r="D1100" s="25"/>
      <c r="E1100" s="358" t="s">
        <v>784</v>
      </c>
      <c r="F1100" s="25">
        <v>0.76</v>
      </c>
      <c r="G1100" s="25" t="s">
        <v>5</v>
      </c>
      <c r="H1100" s="35"/>
      <c r="I1100" s="35"/>
      <c r="J1100" s="35"/>
      <c r="K1100" s="35"/>
      <c r="L1100" s="35"/>
      <c r="M1100" s="35"/>
      <c r="N1100" s="25"/>
    </row>
    <row r="1101" spans="1:14" ht="20.100000000000001" customHeight="1" x14ac:dyDescent="0.25">
      <c r="A1101" s="25" t="s">
        <v>682</v>
      </c>
      <c r="B1101" s="130">
        <f t="shared" si="18"/>
        <v>938.95680000000027</v>
      </c>
      <c r="C1101" s="25" t="s">
        <v>122</v>
      </c>
      <c r="D1101" s="25"/>
      <c r="E1101" s="358" t="s">
        <v>785</v>
      </c>
      <c r="F1101" s="25">
        <v>0.76</v>
      </c>
      <c r="G1101" s="25" t="s">
        <v>5</v>
      </c>
      <c r="H1101" s="35"/>
      <c r="I1101" s="35" t="s">
        <v>791</v>
      </c>
      <c r="J1101" s="218">
        <f>K1097</f>
        <v>775.53054963205511</v>
      </c>
      <c r="K1101" s="35" t="s">
        <v>120</v>
      </c>
      <c r="L1101" s="35" t="s">
        <v>710</v>
      </c>
      <c r="M1101" s="218">
        <f>J1104-$K$1094</f>
        <v>-277.40909999893358</v>
      </c>
      <c r="N1101" s="25" t="s">
        <v>120</v>
      </c>
    </row>
    <row r="1102" spans="1:14" ht="20.100000000000001" customHeight="1" x14ac:dyDescent="0.25">
      <c r="A1102" s="25" t="s">
        <v>683</v>
      </c>
      <c r="B1102" s="130">
        <f t="shared" si="18"/>
        <v>988.39680000000033</v>
      </c>
      <c r="C1102" s="25" t="s">
        <v>122</v>
      </c>
      <c r="D1102" s="25"/>
      <c r="E1102" s="358" t="s">
        <v>786</v>
      </c>
      <c r="F1102" s="190">
        <v>0.8</v>
      </c>
      <c r="G1102" s="25" t="s">
        <v>5</v>
      </c>
      <c r="H1102" s="35"/>
      <c r="I1102" s="35" t="s">
        <v>707</v>
      </c>
      <c r="J1102" s="218">
        <f>J1101-$K$1094</f>
        <v>512.29563722430794</v>
      </c>
      <c r="K1102" s="35" t="s">
        <v>120</v>
      </c>
      <c r="L1102" s="35" t="s">
        <v>711</v>
      </c>
      <c r="M1102" s="218">
        <f>M1101-$K$1094</f>
        <v>-540.64401240668076</v>
      </c>
      <c r="N1102" s="25" t="s">
        <v>120</v>
      </c>
    </row>
    <row r="1103" spans="1:14" ht="20.100000000000001" customHeight="1" x14ac:dyDescent="0.25">
      <c r="A1103" s="25" t="s">
        <v>684</v>
      </c>
      <c r="B1103" s="495">
        <f t="shared" si="18"/>
        <v>1037.8368000000003</v>
      </c>
      <c r="C1103" s="25" t="s">
        <v>122</v>
      </c>
      <c r="D1103" s="25"/>
      <c r="E1103" s="358" t="s">
        <v>787</v>
      </c>
      <c r="F1103" s="190">
        <v>0.6</v>
      </c>
      <c r="G1103" s="25" t="s">
        <v>5</v>
      </c>
      <c r="H1103" s="35"/>
      <c r="I1103" s="35" t="s">
        <v>708</v>
      </c>
      <c r="J1103" s="218">
        <f t="shared" ref="J1103:J1104" si="19">J1102-$K$1094</f>
        <v>249.06072481656076</v>
      </c>
      <c r="K1103" s="35" t="s">
        <v>120</v>
      </c>
      <c r="L1103" s="35" t="s">
        <v>712</v>
      </c>
      <c r="M1103" s="218">
        <f>M1102-$K$1094</f>
        <v>-803.87892481442793</v>
      </c>
      <c r="N1103" s="25" t="s">
        <v>120</v>
      </c>
    </row>
    <row r="1104" spans="1:14" ht="20.100000000000001" customHeight="1" x14ac:dyDescent="0.25">
      <c r="A1104" s="25"/>
      <c r="B1104" s="25"/>
      <c r="C1104" s="25"/>
      <c r="D1104" s="25"/>
      <c r="E1104" s="358" t="s">
        <v>782</v>
      </c>
      <c r="F1104" s="190">
        <f>SUM(F1097:F1103)</f>
        <v>5.1999999999999993</v>
      </c>
      <c r="G1104" s="25" t="s">
        <v>5</v>
      </c>
      <c r="H1104" s="35"/>
      <c r="I1104" s="35" t="s">
        <v>709</v>
      </c>
      <c r="J1104" s="218">
        <f t="shared" si="19"/>
        <v>-14.17418759118641</v>
      </c>
      <c r="K1104" s="35" t="s">
        <v>120</v>
      </c>
      <c r="L1104" s="35" t="s">
        <v>713</v>
      </c>
      <c r="M1104" s="218">
        <f>M1103+K1098</f>
        <v>0</v>
      </c>
      <c r="N1104" s="25" t="s">
        <v>120</v>
      </c>
    </row>
    <row r="1105" spans="1:14" ht="20.100000000000001" customHeight="1" x14ac:dyDescent="0.25">
      <c r="A1105" s="25"/>
      <c r="B1105" s="25"/>
      <c r="C1105" s="25"/>
      <c r="D1105" s="25"/>
      <c r="E1105" s="433"/>
      <c r="F1105" s="190"/>
      <c r="G1105" s="25"/>
      <c r="H1105" s="35"/>
      <c r="I1105" s="35"/>
      <c r="J1105" s="218"/>
      <c r="K1105" s="35"/>
      <c r="L1105" s="35"/>
      <c r="M1105" s="218"/>
      <c r="N1105" s="25"/>
    </row>
    <row r="1106" spans="1:14" ht="20.100000000000001" customHeight="1" x14ac:dyDescent="0.25">
      <c r="A1106" s="369" t="s">
        <v>867</v>
      </c>
      <c r="B1106" s="424"/>
      <c r="C1106" s="287"/>
      <c r="D1106" s="287"/>
      <c r="E1106" s="442"/>
      <c r="F1106" s="397"/>
      <c r="G1106" s="287"/>
      <c r="H1106" s="254"/>
      <c r="I1106" s="254"/>
      <c r="J1106" s="423"/>
      <c r="K1106" s="287"/>
      <c r="L1106" s="254"/>
      <c r="M1106" s="436"/>
      <c r="N1106" s="25"/>
    </row>
    <row r="1107" spans="1:14" ht="20.100000000000001" customHeight="1" x14ac:dyDescent="0.25">
      <c r="A1107" s="287" t="s">
        <v>879</v>
      </c>
      <c r="B1107" s="424"/>
      <c r="C1107" s="287"/>
      <c r="D1107" s="287" t="s">
        <v>880</v>
      </c>
      <c r="E1107" s="442"/>
      <c r="F1107" s="397"/>
      <c r="G1107" s="287" t="s">
        <v>873</v>
      </c>
      <c r="H1107" s="254"/>
      <c r="I1107" s="254"/>
      <c r="J1107" s="423"/>
      <c r="K1107" s="287"/>
      <c r="L1107" s="254"/>
      <c r="M1107" s="436"/>
      <c r="N1107" s="25"/>
    </row>
    <row r="1108" spans="1:14" ht="20.100000000000001" customHeight="1" x14ac:dyDescent="0.25">
      <c r="A1108" s="287" t="s">
        <v>881</v>
      </c>
      <c r="B1108" s="424"/>
      <c r="C1108" s="287"/>
      <c r="D1108" s="287" t="s">
        <v>882</v>
      </c>
      <c r="E1108" s="442"/>
      <c r="F1108" s="397"/>
      <c r="G1108" s="287" t="s">
        <v>208</v>
      </c>
      <c r="H1108" s="254"/>
      <c r="I1108" s="254"/>
      <c r="J1108" s="423"/>
      <c r="K1108" s="287"/>
      <c r="L1108" s="254"/>
      <c r="M1108" s="436"/>
      <c r="N1108" s="25"/>
    </row>
    <row r="1109" spans="1:14" ht="20.100000000000001" customHeight="1" x14ac:dyDescent="0.25">
      <c r="A1109" s="442" t="s">
        <v>883</v>
      </c>
      <c r="B1109" s="397">
        <v>1.3</v>
      </c>
      <c r="C1109" s="287" t="s">
        <v>874</v>
      </c>
      <c r="D1109" s="370"/>
      <c r="E1109" s="370"/>
      <c r="F1109" s="397"/>
      <c r="G1109" s="287" t="s">
        <v>884</v>
      </c>
      <c r="H1109" s="287">
        <v>1700</v>
      </c>
      <c r="I1109" s="442" t="s">
        <v>885</v>
      </c>
      <c r="J1109" s="423"/>
      <c r="K1109" s="287"/>
      <c r="L1109" s="254"/>
      <c r="M1109" s="436"/>
      <c r="N1109" s="25"/>
    </row>
    <row r="1110" spans="1:14" ht="20.100000000000001" customHeight="1" x14ac:dyDescent="0.25">
      <c r="A1110" s="287"/>
      <c r="B1110" s="424"/>
      <c r="C1110" s="370"/>
      <c r="D1110" s="370"/>
      <c r="E1110" s="370"/>
      <c r="F1110" s="397"/>
      <c r="G1110" s="287"/>
      <c r="H1110" s="287"/>
      <c r="I1110" s="442"/>
      <c r="J1110" s="423"/>
      <c r="K1110" s="287"/>
      <c r="L1110" s="254"/>
      <c r="M1110" s="436"/>
      <c r="N1110" s="25"/>
    </row>
    <row r="1111" spans="1:14" ht="20.100000000000001" customHeight="1" x14ac:dyDescent="0.25">
      <c r="A1111" s="287" t="s">
        <v>886</v>
      </c>
      <c r="B1111" s="370"/>
      <c r="C1111" s="370"/>
      <c r="D1111" s="424">
        <f>K1099*100/H1109</f>
        <v>72.50990284042544</v>
      </c>
      <c r="E1111" s="443" t="s">
        <v>887</v>
      </c>
      <c r="F1111" s="397"/>
      <c r="G1111" s="287"/>
      <c r="H1111" s="254"/>
      <c r="I1111" s="254"/>
      <c r="J1111" s="423"/>
      <c r="K1111" s="287"/>
      <c r="L1111" s="254"/>
      <c r="M1111" s="436"/>
      <c r="N1111" s="25"/>
    </row>
    <row r="1112" spans="1:14" ht="20.100000000000001" customHeight="1" x14ac:dyDescent="0.25">
      <c r="A1112" s="287"/>
      <c r="B1112" s="424"/>
      <c r="C1112" s="287" t="s">
        <v>888</v>
      </c>
      <c r="D1112" s="397">
        <f>B1109*B1103/H1109</f>
        <v>0.79363990588235322</v>
      </c>
      <c r="E1112" s="443" t="s">
        <v>889</v>
      </c>
      <c r="F1112" s="397"/>
      <c r="G1112" s="287"/>
      <c r="H1112" s="254"/>
      <c r="I1112" s="254"/>
      <c r="J1112" s="423"/>
      <c r="K1112" s="287"/>
      <c r="L1112" s="254"/>
      <c r="M1112" s="436"/>
      <c r="N1112" s="25"/>
    </row>
    <row r="1113" spans="1:14" ht="20.100000000000001" customHeight="1" x14ac:dyDescent="0.25">
      <c r="A1113" s="287"/>
      <c r="B1113" s="424"/>
      <c r="C1113" s="287"/>
      <c r="D1113" s="287"/>
      <c r="E1113" s="442"/>
      <c r="F1113" s="397"/>
      <c r="G1113" s="287"/>
      <c r="H1113" s="254"/>
      <c r="I1113" s="254"/>
      <c r="J1113" s="423"/>
      <c r="K1113" s="287"/>
      <c r="L1113" s="254"/>
      <c r="M1113" s="436"/>
      <c r="N1113" s="25"/>
    </row>
    <row r="1114" spans="1:14" ht="20.100000000000001" customHeight="1" x14ac:dyDescent="0.25">
      <c r="A1114" s="287" t="s">
        <v>868</v>
      </c>
      <c r="B1114" s="424"/>
      <c r="C1114" s="287"/>
      <c r="D1114" s="287" t="s">
        <v>890</v>
      </c>
      <c r="E1114" s="446">
        <v>150</v>
      </c>
      <c r="F1114" s="397">
        <f>F1104*100/E1114</f>
        <v>3.4666666666666659</v>
      </c>
      <c r="G1114" s="287" t="s">
        <v>143</v>
      </c>
      <c r="H1114" s="254"/>
      <c r="I1114" s="254"/>
      <c r="J1114" s="423" t="s">
        <v>891</v>
      </c>
      <c r="K1114" s="449">
        <f>6*K1094/F1104</f>
        <v>303.73259123970831</v>
      </c>
      <c r="L1114" s="254" t="s">
        <v>242</v>
      </c>
      <c r="M1114" s="436"/>
      <c r="N1114" s="25"/>
    </row>
    <row r="1115" spans="1:14" ht="20.100000000000001" customHeight="1" x14ac:dyDescent="0.25">
      <c r="A1115" s="287" t="s">
        <v>892</v>
      </c>
      <c r="B1115" s="424"/>
      <c r="C1115" s="287"/>
      <c r="D1115" s="287"/>
      <c r="E1115" s="370"/>
      <c r="F1115" s="397"/>
      <c r="G1115" s="287"/>
      <c r="H1115" s="254"/>
      <c r="I1115" s="254"/>
      <c r="J1115" s="423"/>
      <c r="K1115" s="287"/>
      <c r="L1115" s="254"/>
      <c r="M1115" s="436"/>
      <c r="N1115" s="25"/>
    </row>
    <row r="1116" spans="1:14" ht="20.100000000000001" customHeight="1" x14ac:dyDescent="0.25">
      <c r="A1116" s="287"/>
      <c r="B1116" s="444" t="s">
        <v>893</v>
      </c>
      <c r="C1116" s="287"/>
      <c r="D1116" s="287"/>
      <c r="E1116" s="370"/>
      <c r="F1116" s="424">
        <f>5*(K1114/100)*(F1104*100)^4/(384*2100000*F1114)</f>
        <v>397.20268032954687</v>
      </c>
      <c r="G1116" s="287" t="s">
        <v>894</v>
      </c>
      <c r="H1116" s="445"/>
      <c r="I1116" s="254"/>
      <c r="J1116" s="423"/>
      <c r="K1116" s="287"/>
      <c r="L1116" s="254"/>
      <c r="M1116" s="436"/>
      <c r="N1116" s="25"/>
    </row>
    <row r="1117" spans="1:14" ht="20.100000000000001" customHeight="1" x14ac:dyDescent="0.25">
      <c r="A1117" s="25"/>
      <c r="B1117" s="25"/>
      <c r="C1117" s="25"/>
      <c r="D1117" s="25"/>
      <c r="H1117" s="35"/>
      <c r="K1117" s="35"/>
      <c r="L1117" s="35"/>
      <c r="M1117" s="35"/>
      <c r="N1117" s="25"/>
    </row>
    <row r="1118" spans="1:14" ht="20.100000000000001" customHeight="1" x14ac:dyDescent="0.25">
      <c r="A1118" s="498" t="s">
        <v>792</v>
      </c>
      <c r="B1118" s="498"/>
      <c r="C1118" s="498"/>
      <c r="D1118" s="366">
        <v>140</v>
      </c>
      <c r="E1118" s="35"/>
      <c r="F1118" s="35"/>
      <c r="G1118" s="35"/>
      <c r="H1118" s="35"/>
      <c r="I1118" s="35"/>
      <c r="N1118" s="25"/>
    </row>
    <row r="1119" spans="1:14" ht="20.100000000000001" customHeight="1" x14ac:dyDescent="0.25">
      <c r="A1119" s="25"/>
      <c r="C1119" s="25" t="s">
        <v>562</v>
      </c>
      <c r="D1119" s="26">
        <v>18.2</v>
      </c>
      <c r="E1119" s="35" t="s">
        <v>433</v>
      </c>
      <c r="F1119" s="35"/>
      <c r="G1119" s="25" t="s">
        <v>651</v>
      </c>
      <c r="H1119" s="267">
        <v>0.86</v>
      </c>
      <c r="I1119" s="35" t="s">
        <v>143</v>
      </c>
      <c r="J1119" s="35"/>
      <c r="N1119" s="25"/>
    </row>
    <row r="1120" spans="1:14" ht="20.100000000000001" customHeight="1" x14ac:dyDescent="0.25">
      <c r="A1120" s="25"/>
      <c r="C1120" s="25" t="s">
        <v>264</v>
      </c>
      <c r="D1120" s="26">
        <v>573</v>
      </c>
      <c r="E1120" s="35" t="s">
        <v>426</v>
      </c>
      <c r="F1120" s="35"/>
      <c r="G1120" s="35" t="s">
        <v>564</v>
      </c>
      <c r="H1120" s="44">
        <v>0.56999999999999995</v>
      </c>
      <c r="I1120" s="35" t="s">
        <v>143</v>
      </c>
      <c r="J1120" s="35"/>
      <c r="N1120" s="25"/>
    </row>
    <row r="1121" spans="1:14" ht="20.100000000000001" customHeight="1" x14ac:dyDescent="0.25">
      <c r="A1121" s="25"/>
      <c r="C1121" s="25" t="s">
        <v>171</v>
      </c>
      <c r="D1121" s="26">
        <v>81.900000000000006</v>
      </c>
      <c r="E1121" s="35" t="s">
        <v>754</v>
      </c>
      <c r="F1121" s="35"/>
      <c r="G1121" s="35" t="s">
        <v>640</v>
      </c>
      <c r="H1121" s="44">
        <v>95.4</v>
      </c>
      <c r="I1121" s="35" t="s">
        <v>754</v>
      </c>
      <c r="J1121" s="35"/>
      <c r="N1121" s="25"/>
    </row>
    <row r="1122" spans="1:14" ht="20.100000000000001" customHeight="1" x14ac:dyDescent="0.25">
      <c r="A1122" s="25"/>
      <c r="C1122" s="25" t="s">
        <v>265</v>
      </c>
      <c r="D1122" s="26">
        <v>5.61</v>
      </c>
      <c r="E1122" s="35" t="s">
        <v>143</v>
      </c>
      <c r="F1122" s="35"/>
      <c r="G1122" s="35" t="s">
        <v>169</v>
      </c>
      <c r="H1122" s="44">
        <v>235</v>
      </c>
      <c r="I1122" s="35" t="s">
        <v>275</v>
      </c>
      <c r="J1122" s="35"/>
      <c r="N1122" s="25"/>
    </row>
    <row r="1123" spans="1:14" ht="20.100000000000001" customHeight="1" x14ac:dyDescent="0.25">
      <c r="A1123" s="25"/>
      <c r="C1123" s="25" t="s">
        <v>173</v>
      </c>
      <c r="D1123" s="26">
        <v>14</v>
      </c>
      <c r="E1123" s="35" t="s">
        <v>143</v>
      </c>
      <c r="F1123" s="35"/>
      <c r="G1123" s="35" t="s">
        <v>144</v>
      </c>
      <c r="H1123" s="497">
        <v>200000</v>
      </c>
      <c r="I1123" s="497"/>
      <c r="J1123" s="35" t="s">
        <v>275</v>
      </c>
      <c r="N1123" s="25"/>
    </row>
    <row r="1124" spans="1:14" ht="20.100000000000001" customHeight="1" x14ac:dyDescent="0.25">
      <c r="A1124" s="25"/>
      <c r="C1124" s="25" t="s">
        <v>167</v>
      </c>
      <c r="D1124" s="26">
        <v>6.6</v>
      </c>
      <c r="E1124" s="35" t="s">
        <v>143</v>
      </c>
      <c r="F1124" s="35"/>
      <c r="N1124" s="25"/>
    </row>
    <row r="1125" spans="1:14" ht="20.100000000000001" customHeight="1" x14ac:dyDescent="0.25">
      <c r="A1125" s="358"/>
      <c r="B1125" s="25"/>
      <c r="C1125" s="25" t="s">
        <v>798</v>
      </c>
      <c r="D1125" s="26">
        <v>10.9</v>
      </c>
      <c r="E1125" s="25" t="s">
        <v>143</v>
      </c>
      <c r="I1125" s="35"/>
      <c r="N1125" s="25"/>
    </row>
    <row r="1126" spans="1:14" ht="20.100000000000001" customHeight="1" x14ac:dyDescent="0.25">
      <c r="D1126" s="25"/>
      <c r="E1126" s="25"/>
      <c r="I1126" s="35"/>
      <c r="N1126" s="25"/>
    </row>
    <row r="1127" spans="1:14" ht="20.100000000000001" customHeight="1" x14ac:dyDescent="0.25">
      <c r="A1127" s="25" t="s">
        <v>900</v>
      </c>
      <c r="D1127" s="25"/>
      <c r="E1127" s="25"/>
      <c r="I1127" s="35">
        <f>(B1109*B1103/D1119)+(K1099*100/D1121)</f>
        <v>1579.2207583482691</v>
      </c>
      <c r="J1127" s="35" t="s">
        <v>901</v>
      </c>
      <c r="L1127" s="447" t="str">
        <f>IF(I1127&lt;H1109,"BC","MC")</f>
        <v>BC</v>
      </c>
      <c r="N1127" s="25"/>
    </row>
    <row r="1128" spans="1:14" ht="20.100000000000001" customHeight="1" x14ac:dyDescent="0.25">
      <c r="A1128" s="25"/>
      <c r="B1128" s="190"/>
      <c r="C1128" s="25"/>
      <c r="D1128" s="25"/>
      <c r="E1128" s="25"/>
      <c r="I1128" s="35"/>
      <c r="M1128" s="35"/>
      <c r="N1128" s="25"/>
    </row>
    <row r="1129" spans="1:14" ht="20.100000000000001" customHeight="1" x14ac:dyDescent="0.25">
      <c r="A1129" s="25" t="s">
        <v>751</v>
      </c>
      <c r="B1129" s="25"/>
      <c r="C1129" s="25"/>
      <c r="D1129" s="25"/>
      <c r="E1129" s="25"/>
      <c r="F1129" s="358" t="s">
        <v>568</v>
      </c>
      <c r="G1129" s="39">
        <v>1</v>
      </c>
      <c r="H1129" s="35"/>
      <c r="I1129" s="35"/>
      <c r="J1129" s="358" t="s">
        <v>254</v>
      </c>
      <c r="K1129" s="71">
        <f>F1104</f>
        <v>5.1999999999999993</v>
      </c>
      <c r="L1129" s="25" t="s">
        <v>5</v>
      </c>
      <c r="M1129" s="35"/>
      <c r="N1129" s="25"/>
    </row>
    <row r="1130" spans="1:14" ht="20.100000000000001" customHeight="1" x14ac:dyDescent="0.25">
      <c r="A1130" s="25" t="s">
        <v>569</v>
      </c>
      <c r="B1130" s="25"/>
      <c r="C1130" s="25"/>
      <c r="D1130" s="360">
        <f>G1129*K1129*100/D1122</f>
        <v>92.691622103386777</v>
      </c>
      <c r="E1130" s="28" t="str">
        <f>IF(D1130&lt;200,"&lt; 200   BC !!"," &gt; 200  MC!!")</f>
        <v>&lt; 200   BC !!</v>
      </c>
      <c r="F1130" s="25"/>
      <c r="G1130" s="25"/>
      <c r="H1130" s="286" t="s">
        <v>747</v>
      </c>
      <c r="I1130" s="35"/>
      <c r="J1130" s="35"/>
      <c r="K1130" s="35"/>
      <c r="L1130" s="35"/>
      <c r="M1130" s="35"/>
      <c r="N1130" s="25"/>
    </row>
    <row r="1131" spans="1:14" ht="20.100000000000001" customHeight="1" x14ac:dyDescent="0.25">
      <c r="A1131" s="25"/>
      <c r="B1131" s="25"/>
      <c r="C1131" s="25"/>
      <c r="D1131" s="25"/>
      <c r="E1131" s="25"/>
      <c r="F1131" s="25"/>
      <c r="G1131" s="25"/>
      <c r="H1131" s="35"/>
      <c r="I1131" s="35"/>
      <c r="J1131" s="35"/>
      <c r="K1131" s="35"/>
      <c r="L1131" s="35"/>
      <c r="M1131" s="35"/>
      <c r="N1131" s="25"/>
    </row>
    <row r="1132" spans="1:14" ht="20.100000000000001" customHeight="1" x14ac:dyDescent="0.25">
      <c r="A1132" s="25" t="s">
        <v>273</v>
      </c>
      <c r="B1132" s="25"/>
      <c r="C1132" s="25"/>
      <c r="D1132" s="25"/>
      <c r="E1132" s="25"/>
      <c r="F1132" s="25"/>
      <c r="G1132" s="25"/>
      <c r="H1132" s="35"/>
      <c r="I1132" s="35"/>
      <c r="J1132" s="35"/>
      <c r="K1132" s="35"/>
      <c r="L1132" s="35"/>
      <c r="M1132" s="35"/>
      <c r="N1132" s="25"/>
    </row>
    <row r="1133" spans="1:14" ht="20.100000000000001" customHeight="1" x14ac:dyDescent="0.25">
      <c r="A1133" s="25" t="s">
        <v>570</v>
      </c>
      <c r="B1133" s="25"/>
      <c r="C1133" s="25"/>
      <c r="D1133" s="25" t="s">
        <v>571</v>
      </c>
      <c r="E1133" s="26">
        <v>0.85</v>
      </c>
      <c r="F1133" s="25"/>
      <c r="G1133" s="25" t="s">
        <v>483</v>
      </c>
      <c r="H1133" s="35"/>
      <c r="I1133" s="35"/>
      <c r="J1133" s="35"/>
      <c r="K1133" s="35"/>
      <c r="L1133" s="35"/>
      <c r="M1133" s="35"/>
      <c r="N1133" s="25"/>
    </row>
    <row r="1134" spans="1:14" ht="20.100000000000001" customHeight="1" x14ac:dyDescent="0.25">
      <c r="A1134" s="25"/>
      <c r="B1134" s="25"/>
      <c r="C1134" s="25"/>
      <c r="D1134" s="25"/>
      <c r="E1134" s="25"/>
      <c r="F1134" s="25"/>
      <c r="G1134" s="25"/>
      <c r="H1134" s="35"/>
      <c r="I1134" s="35"/>
      <c r="J1134" s="35"/>
      <c r="K1134" s="35"/>
      <c r="L1134" s="35"/>
      <c r="M1134" s="35"/>
      <c r="N1134" s="25"/>
    </row>
    <row r="1135" spans="1:14" ht="20.100000000000001" customHeight="1" x14ac:dyDescent="0.25">
      <c r="A1135" s="25" t="s">
        <v>274</v>
      </c>
      <c r="B1135" s="25"/>
      <c r="C1135" s="25"/>
      <c r="D1135" s="286" t="s">
        <v>795</v>
      </c>
      <c r="E1135" s="25"/>
      <c r="F1135" s="25"/>
      <c r="G1135" s="25"/>
      <c r="H1135" s="35"/>
      <c r="I1135" s="35"/>
      <c r="J1135" s="35"/>
      <c r="K1135" s="35"/>
      <c r="L1135" s="35"/>
      <c r="M1135" s="35"/>
      <c r="N1135" s="25"/>
    </row>
    <row r="1136" spans="1:14" ht="20.100000000000001" customHeight="1" x14ac:dyDescent="0.25">
      <c r="A1136" s="273" t="s">
        <v>793</v>
      </c>
      <c r="B1136" s="25"/>
      <c r="C1136" s="342">
        <f>(D1124/2)/H1119</f>
        <v>3.8372093023255811</v>
      </c>
      <c r="D1136" s="362" t="str">
        <f>IF(C1136&lt;H1136,"&lt;","&gt;")</f>
        <v>&lt;</v>
      </c>
      <c r="E1136" s="273" t="s">
        <v>794</v>
      </c>
      <c r="F1136" s="25"/>
      <c r="G1136" s="25"/>
      <c r="H1136" s="363">
        <f>0.38*SQRT(H1123/H1122)</f>
        <v>11.085739353839987</v>
      </c>
      <c r="I1136" s="263" t="str">
        <f>IF(C1136&lt;H1136,"Ala compacta","Ver Norma")</f>
        <v>Ala compacta</v>
      </c>
      <c r="J1136" s="322"/>
      <c r="K1136" s="266"/>
      <c r="M1136" s="35"/>
      <c r="N1136" s="25"/>
    </row>
    <row r="1137" spans="1:14" ht="20.100000000000001" customHeight="1" x14ac:dyDescent="0.25">
      <c r="A1137" s="25"/>
      <c r="B1137" s="25"/>
      <c r="C1137" s="25"/>
      <c r="D1137" s="25"/>
      <c r="E1137" s="25"/>
      <c r="F1137" s="25"/>
      <c r="G1137" s="25"/>
      <c r="H1137" s="35"/>
      <c r="I1137" s="35"/>
      <c r="J1137" s="35"/>
      <c r="K1137" s="35"/>
      <c r="L1137" s="35"/>
      <c r="M1137" s="35"/>
      <c r="N1137" s="25"/>
    </row>
    <row r="1138" spans="1:14" ht="20.100000000000001" customHeight="1" x14ac:dyDescent="0.25">
      <c r="A1138" s="25" t="s">
        <v>278</v>
      </c>
      <c r="B1138" s="25"/>
      <c r="C1138" s="25"/>
      <c r="D1138" s="286" t="s">
        <v>796</v>
      </c>
      <c r="E1138" s="25"/>
      <c r="F1138" s="25"/>
      <c r="G1138" s="25"/>
      <c r="H1138" s="35" t="s">
        <v>801</v>
      </c>
      <c r="I1138" s="205">
        <v>0.85</v>
      </c>
      <c r="K1138" s="35"/>
      <c r="L1138" s="35"/>
      <c r="M1138" s="35"/>
      <c r="N1138" s="25"/>
    </row>
    <row r="1139" spans="1:14" ht="20.100000000000001" customHeight="1" x14ac:dyDescent="0.25">
      <c r="A1139" s="266" t="s">
        <v>259</v>
      </c>
      <c r="B1139" s="406">
        <f>B1103/100</f>
        <v>10.378368000000002</v>
      </c>
      <c r="C1139" s="266" t="s">
        <v>195</v>
      </c>
      <c r="D1139" s="35"/>
      <c r="E1139" s="25"/>
      <c r="I1139" s="35"/>
      <c r="J1139" s="35"/>
      <c r="K1139" s="35"/>
      <c r="L1139" s="35"/>
      <c r="M1139" s="35"/>
      <c r="N1139" s="25"/>
    </row>
    <row r="1140" spans="1:14" ht="20.100000000000001" customHeight="1" x14ac:dyDescent="0.25">
      <c r="A1140" s="25" t="s">
        <v>799</v>
      </c>
      <c r="B1140" s="25"/>
      <c r="C1140" s="25"/>
      <c r="D1140" s="363">
        <f>D1119*H1122/10</f>
        <v>427.7</v>
      </c>
      <c r="E1140" s="25" t="s">
        <v>195</v>
      </c>
      <c r="F1140" s="25"/>
      <c r="G1140" s="25" t="s">
        <v>800</v>
      </c>
      <c r="H1140" s="35"/>
      <c r="I1140" s="205">
        <f>B1139/(I1138*D1140)</f>
        <v>2.8547684605757205E-2</v>
      </c>
      <c r="L1140" s="35"/>
      <c r="M1140" s="35"/>
      <c r="N1140" s="25"/>
    </row>
    <row r="1141" spans="1:14" ht="20.100000000000001" customHeight="1" x14ac:dyDescent="0.25">
      <c r="A1141" s="25"/>
      <c r="B1141" s="25"/>
      <c r="C1141" s="25"/>
      <c r="D1141" s="363"/>
      <c r="E1141" s="25"/>
      <c r="F1141" s="25"/>
      <c r="G1141" s="25"/>
      <c r="H1141" s="35"/>
      <c r="I1141" s="205"/>
      <c r="L1141" s="35"/>
      <c r="M1141" s="35"/>
      <c r="N1141" s="25"/>
    </row>
    <row r="1142" spans="1:14" ht="20.100000000000001" customHeight="1" x14ac:dyDescent="0.25">
      <c r="A1142" s="499" t="str">
        <f>IF(I1140&lt;0.125,"Calculo:","VER NORMA")</f>
        <v>Calculo:</v>
      </c>
      <c r="B1142" s="499"/>
      <c r="D1142" s="25" t="s">
        <v>802</v>
      </c>
      <c r="E1142" s="25"/>
      <c r="F1142" s="25"/>
      <c r="G1142" s="25"/>
      <c r="H1142" s="35"/>
      <c r="I1142" s="35">
        <f>3.76*SQRT(H1123/H1122)*(1-(2.75*B1139/(I1138*D1140)))</f>
        <v>101.07909873329338</v>
      </c>
      <c r="J1142" s="35"/>
      <c r="K1142" s="35"/>
      <c r="L1142" s="35"/>
      <c r="M1142" s="35"/>
      <c r="N1142" s="25"/>
    </row>
    <row r="1143" spans="1:14" ht="20.100000000000001" customHeight="1" x14ac:dyDescent="0.25">
      <c r="A1143" s="361"/>
      <c r="B1143" s="361"/>
      <c r="C1143" s="25"/>
      <c r="D1143" s="35"/>
      <c r="E1143" s="25"/>
      <c r="F1143" s="25"/>
      <c r="G1143" s="25"/>
      <c r="H1143" s="35"/>
      <c r="I1143" s="35"/>
      <c r="J1143" s="35"/>
      <c r="K1143" s="35"/>
      <c r="L1143" s="35"/>
      <c r="M1143" s="35"/>
      <c r="N1143" s="25"/>
    </row>
    <row r="1144" spans="1:14" ht="20.100000000000001" customHeight="1" x14ac:dyDescent="0.25">
      <c r="A1144" s="25" t="s">
        <v>574</v>
      </c>
      <c r="B1144" s="25"/>
      <c r="C1144" s="25"/>
      <c r="D1144" s="25"/>
      <c r="E1144" s="342">
        <f>(D1123-4*H1119)/H1120</f>
        <v>18.526315789473685</v>
      </c>
      <c r="F1144" s="362" t="str">
        <f>IF(E1144&lt;I1142,"&lt;","&gt;")</f>
        <v>&lt;</v>
      </c>
      <c r="G1144" s="273" t="s">
        <v>803</v>
      </c>
      <c r="H1144" s="25">
        <f>I1142</f>
        <v>101.07909873329338</v>
      </c>
      <c r="I1144" s="25"/>
      <c r="J1144" s="263" t="str">
        <f>IF(E1144&lt;H1144,"Alma Compacta","VER NORMA")</f>
        <v>Alma Compacta</v>
      </c>
      <c r="K1144" s="266"/>
      <c r="L1144" s="322"/>
      <c r="M1144" s="35"/>
      <c r="N1144" s="25"/>
    </row>
    <row r="1145" spans="1:14" ht="20.100000000000001" customHeight="1" x14ac:dyDescent="0.25">
      <c r="A1145" s="25"/>
      <c r="B1145" s="25"/>
      <c r="C1145" s="25"/>
      <c r="D1145" s="25"/>
      <c r="E1145" s="25"/>
      <c r="F1145" s="25"/>
      <c r="G1145" s="25"/>
      <c r="H1145" s="35"/>
      <c r="I1145" s="35"/>
      <c r="J1145" s="35"/>
      <c r="K1145" s="35"/>
      <c r="L1145" s="35"/>
      <c r="M1145" s="35"/>
      <c r="N1145" s="25"/>
    </row>
    <row r="1146" spans="1:14" ht="20.100000000000001" customHeight="1" x14ac:dyDescent="0.25">
      <c r="A1146" s="26" t="s">
        <v>276</v>
      </c>
      <c r="B1146" s="200">
        <v>1</v>
      </c>
      <c r="C1146" s="25"/>
      <c r="D1146" s="25"/>
      <c r="E1146" s="25"/>
      <c r="F1146" s="25"/>
      <c r="G1146" s="25"/>
      <c r="H1146" s="35"/>
      <c r="I1146" s="35"/>
      <c r="J1146" s="35"/>
      <c r="K1146" s="35"/>
      <c r="L1146" s="35"/>
      <c r="M1146" s="35"/>
      <c r="N1146" s="25"/>
    </row>
    <row r="1147" spans="1:14" ht="20.100000000000001" customHeight="1" x14ac:dyDescent="0.25">
      <c r="A1147" s="25" t="s">
        <v>219</v>
      </c>
      <c r="B1147" s="25"/>
      <c r="C1147" s="25"/>
      <c r="D1147" s="25"/>
      <c r="E1147" s="25"/>
      <c r="F1147" s="25"/>
      <c r="G1147" s="25"/>
      <c r="H1147" s="35"/>
      <c r="I1147" s="35"/>
      <c r="J1147" s="35"/>
      <c r="K1147" s="35"/>
      <c r="L1147" s="35"/>
      <c r="M1147" s="35"/>
      <c r="N1147" s="25"/>
    </row>
    <row r="1148" spans="1:14" ht="20.100000000000001" customHeight="1" x14ac:dyDescent="0.25">
      <c r="A1148" s="25" t="s">
        <v>576</v>
      </c>
      <c r="B1148" s="25"/>
      <c r="C1148" s="25"/>
      <c r="D1148" s="25"/>
      <c r="E1148" s="203">
        <f>G1129*K1129*100*SQRT(H1122/H1123)/(3.14*D1122)</f>
        <v>1.0118817603371317</v>
      </c>
      <c r="F1148" s="67" t="str">
        <f>IF(E1148&lt;1.5,"&lt; 1,5","&gt; 1,5")</f>
        <v>&lt; 1,5</v>
      </c>
      <c r="G1148" s="25"/>
      <c r="H1148" s="35" t="s">
        <v>480</v>
      </c>
      <c r="I1148" s="35"/>
      <c r="J1148" s="35"/>
      <c r="K1148" s="35"/>
      <c r="L1148" s="341">
        <f>0.658^(E1148^2)*H1122</f>
        <v>153.09059147109036</v>
      </c>
      <c r="M1148" s="25" t="s">
        <v>275</v>
      </c>
    </row>
    <row r="1149" spans="1:14" ht="20.100000000000001" customHeight="1" x14ac:dyDescent="0.25">
      <c r="A1149" s="25" t="s">
        <v>804</v>
      </c>
      <c r="B1149" s="360">
        <f>L1148*D1119/10</f>
        <v>278.62487647738442</v>
      </c>
      <c r="C1149" s="25" t="s">
        <v>195</v>
      </c>
      <c r="D1149" s="25"/>
      <c r="E1149" s="25"/>
      <c r="F1149" s="25"/>
      <c r="G1149" s="25"/>
      <c r="H1149" s="35"/>
      <c r="I1149" s="35"/>
      <c r="J1149" s="35"/>
      <c r="K1149" s="35"/>
      <c r="L1149" s="35"/>
      <c r="M1149" s="35"/>
      <c r="N1149" s="25"/>
    </row>
    <row r="1150" spans="1:14" ht="20.100000000000001" customHeight="1" x14ac:dyDescent="0.25">
      <c r="A1150" s="25" t="s">
        <v>753</v>
      </c>
      <c r="B1150" s="25"/>
      <c r="C1150" s="25"/>
      <c r="D1150" s="25"/>
      <c r="E1150" s="392">
        <f>I1138*L1148*D1119/10</f>
        <v>236.83114500577682</v>
      </c>
      <c r="F1150" s="265" t="s">
        <v>195</v>
      </c>
      <c r="G1150" s="265" t="str">
        <f>IF(E1150&gt;B1139,"&lt; Pu    BC","MC")</f>
        <v>&lt; Pu    BC</v>
      </c>
      <c r="H1150" s="266"/>
      <c r="I1150" s="50"/>
      <c r="J1150" s="122"/>
      <c r="K1150" s="122"/>
      <c r="L1150" s="12"/>
      <c r="M1150" s="35"/>
      <c r="N1150" s="25"/>
    </row>
    <row r="1151" spans="1:14" ht="20.100000000000001" customHeight="1" x14ac:dyDescent="0.25">
      <c r="A1151" s="25"/>
      <c r="B1151" s="25"/>
      <c r="C1151" s="25"/>
      <c r="D1151" s="25"/>
      <c r="E1151" s="393"/>
      <c r="F1151" s="394"/>
      <c r="G1151" s="25"/>
      <c r="H1151" s="35"/>
      <c r="I1151" s="50"/>
      <c r="J1151" s="404"/>
      <c r="K1151" s="404"/>
      <c r="L1151" s="12"/>
      <c r="M1151" s="35"/>
      <c r="N1151" s="25"/>
    </row>
    <row r="1152" spans="1:14" ht="20.100000000000001" customHeight="1" x14ac:dyDescent="0.25">
      <c r="A1152" s="25" t="s">
        <v>750</v>
      </c>
      <c r="B1152" s="25"/>
      <c r="C1152" s="25"/>
      <c r="D1152" s="25"/>
      <c r="E1152" s="393"/>
      <c r="F1152" s="394"/>
      <c r="G1152" s="25"/>
      <c r="H1152" s="35"/>
      <c r="I1152" s="35" t="s">
        <v>756</v>
      </c>
      <c r="J1152" s="192">
        <v>0.9</v>
      </c>
      <c r="K1152" s="35"/>
      <c r="L1152" s="35"/>
      <c r="M1152" s="35"/>
      <c r="N1152" s="25"/>
    </row>
    <row r="1153" spans="1:14" ht="20.100000000000001" customHeight="1" x14ac:dyDescent="0.25">
      <c r="A1153" s="25" t="s">
        <v>752</v>
      </c>
      <c r="B1153" s="25"/>
      <c r="C1153" s="71">
        <f>B1139/(J1152*B1149)</f>
        <v>4.1387259263391721E-2</v>
      </c>
      <c r="D1153" s="39" t="str">
        <f>IF(C1153&lt;0.2,"&lt; 0,2","MC ver NORMA")</f>
        <v>&lt; 0,2</v>
      </c>
      <c r="E1153" s="393"/>
      <c r="F1153" s="394"/>
      <c r="G1153" s="25" t="s">
        <v>757</v>
      </c>
      <c r="H1153" s="35"/>
      <c r="I1153" s="35"/>
      <c r="J1153" s="496">
        <f>J1152*H1121*H1122</f>
        <v>20177.100000000002</v>
      </c>
      <c r="K1153" s="496"/>
      <c r="L1153" s="35" t="s">
        <v>179</v>
      </c>
      <c r="M1153" s="35"/>
      <c r="N1153" s="25"/>
    </row>
    <row r="1154" spans="1:14" ht="20.100000000000001" customHeight="1" x14ac:dyDescent="0.25">
      <c r="A1154" s="25"/>
      <c r="B1154" s="25"/>
      <c r="C1154" s="25"/>
      <c r="D1154" s="25"/>
      <c r="E1154" s="393"/>
      <c r="F1154" s="394"/>
      <c r="G1154" s="25"/>
      <c r="H1154" s="35"/>
      <c r="I1154" s="35"/>
      <c r="J1154" s="35"/>
      <c r="K1154" s="35"/>
      <c r="L1154" s="35"/>
      <c r="M1154" s="35"/>
      <c r="N1154" s="25"/>
    </row>
    <row r="1155" spans="1:14" ht="20.100000000000001" customHeight="1" x14ac:dyDescent="0.25">
      <c r="A1155" s="25" t="s">
        <v>876</v>
      </c>
      <c r="B1155" s="25"/>
      <c r="C1155" s="25"/>
      <c r="D1155" s="25"/>
      <c r="E1155" s="393"/>
      <c r="F1155" s="394"/>
      <c r="G1155" s="25"/>
      <c r="H1155" s="35"/>
      <c r="I1155" s="405">
        <f>C1153/2+(K1099/100)/(J1152*J1153)</f>
        <v>2.1372434563076942E-2</v>
      </c>
      <c r="J1155" s="263" t="str">
        <f>IF(I1155&lt;1,"&lt; 1       BC","MC Ver Norma")</f>
        <v>&lt; 1       BC</v>
      </c>
      <c r="K1155" s="322"/>
      <c r="L1155" s="35"/>
      <c r="M1155" s="35"/>
      <c r="N1155" s="25"/>
    </row>
    <row r="1156" spans="1:14" ht="20.100000000000001" customHeight="1" x14ac:dyDescent="0.25">
      <c r="A1156" s="25"/>
      <c r="B1156" s="25"/>
      <c r="C1156" s="25"/>
      <c r="D1156" s="25"/>
      <c r="E1156" s="393"/>
      <c r="F1156" s="394"/>
      <c r="G1156" s="25"/>
      <c r="H1156" s="35"/>
      <c r="I1156" s="35"/>
      <c r="J1156" s="35"/>
      <c r="K1156" s="35"/>
      <c r="L1156" s="35"/>
      <c r="M1156" s="35"/>
      <c r="N1156" s="25"/>
    </row>
    <row r="1157" spans="1:14" ht="20.100000000000001" customHeight="1" x14ac:dyDescent="0.25">
      <c r="A1157" s="25" t="s">
        <v>871</v>
      </c>
      <c r="E1157" s="25" t="s">
        <v>877</v>
      </c>
      <c r="F1157" s="25"/>
      <c r="G1157" s="440">
        <f>E1114</f>
        <v>150</v>
      </c>
      <c r="H1157" s="35" t="s">
        <v>25</v>
      </c>
      <c r="I1157" s="55">
        <f>F1104*100/G1157</f>
        <v>3.4666666666666659</v>
      </c>
      <c r="J1157" s="35" t="s">
        <v>143</v>
      </c>
      <c r="K1157" s="35"/>
      <c r="L1157" s="35"/>
      <c r="M1157" s="35"/>
      <c r="N1157" s="25"/>
    </row>
    <row r="1158" spans="1:14" ht="20.100000000000001" customHeight="1" x14ac:dyDescent="0.25">
      <c r="A1158" s="433" t="s">
        <v>150</v>
      </c>
      <c r="B1158" s="431">
        <f>K1114</f>
        <v>303.73259123970831</v>
      </c>
      <c r="C1158" s="25" t="s">
        <v>123</v>
      </c>
      <c r="E1158" s="25"/>
      <c r="F1158" s="25"/>
      <c r="G1158" s="440"/>
      <c r="H1158" s="35"/>
      <c r="I1158" s="55"/>
      <c r="J1158" s="35"/>
      <c r="K1158" s="35"/>
      <c r="L1158" s="35"/>
      <c r="M1158" s="35"/>
      <c r="N1158" s="25"/>
    </row>
    <row r="1159" spans="1:14" ht="20.100000000000001" customHeight="1" x14ac:dyDescent="0.25">
      <c r="A1159" s="25"/>
      <c r="E1159" s="25"/>
      <c r="F1159" s="25"/>
      <c r="G1159" s="440"/>
      <c r="H1159" s="35"/>
      <c r="I1159" s="55"/>
      <c r="J1159" s="35"/>
      <c r="K1159" s="35"/>
      <c r="L1159" s="35"/>
      <c r="M1159" s="35"/>
      <c r="N1159" s="25"/>
    </row>
    <row r="1160" spans="1:14" ht="20.100000000000001" customHeight="1" x14ac:dyDescent="0.25">
      <c r="A1160" s="25" t="s">
        <v>878</v>
      </c>
      <c r="D1160" s="190">
        <f>5*(B1158/100)*(F1104*100)^4/(384*2100000*D1120)</f>
        <v>2.4030877693003414</v>
      </c>
      <c r="E1160" s="25" t="s">
        <v>143</v>
      </c>
      <c r="F1160" s="265" t="str">
        <f>IF(D1160&lt;I1157," &lt; fadm   BC","&gt; fadm     MC")</f>
        <v xml:space="preserve"> &lt; fadm   BC</v>
      </c>
      <c r="G1160" s="441"/>
      <c r="K1160" s="35"/>
      <c r="L1160" s="35"/>
      <c r="M1160" s="35"/>
      <c r="N1160" s="25"/>
    </row>
    <row r="1161" spans="1:14" ht="20.100000000000001" customHeight="1" x14ac:dyDescent="0.25">
      <c r="A1161" s="25"/>
      <c r="B1161" s="25"/>
      <c r="C1161" s="25"/>
      <c r="D1161" s="25"/>
      <c r="E1161" s="25"/>
      <c r="F1161" s="25"/>
      <c r="G1161" s="25"/>
      <c r="H1161" s="35"/>
      <c r="I1161" s="35"/>
      <c r="J1161" s="35"/>
      <c r="K1161" s="35"/>
      <c r="L1161" s="35"/>
      <c r="M1161" s="35"/>
      <c r="N1161" s="25"/>
    </row>
    <row r="1162" spans="1:14" ht="20.100000000000001" customHeight="1" x14ac:dyDescent="0.25">
      <c r="A1162" s="25"/>
      <c r="B1162" s="25"/>
      <c r="C1162" s="25"/>
      <c r="D1162" s="25"/>
      <c r="E1162" s="25"/>
      <c r="F1162" s="25"/>
      <c r="G1162" s="25"/>
      <c r="H1162" s="35"/>
      <c r="I1162" s="35"/>
      <c r="J1162" s="35"/>
      <c r="K1162" s="35"/>
      <c r="L1162" s="35"/>
      <c r="M1162" s="35"/>
      <c r="N1162" s="25"/>
    </row>
    <row r="1163" spans="1:14" ht="20.100000000000001" customHeight="1" x14ac:dyDescent="0.25">
      <c r="A1163" s="25"/>
      <c r="B1163" s="25"/>
      <c r="C1163" s="25"/>
      <c r="D1163" s="25"/>
      <c r="E1163" s="25"/>
      <c r="F1163" s="25"/>
      <c r="G1163" s="25"/>
      <c r="H1163" s="35"/>
      <c r="I1163" s="35"/>
      <c r="J1163" s="35"/>
      <c r="K1163" s="35"/>
      <c r="L1163" s="35"/>
      <c r="M1163" s="35"/>
      <c r="N1163" s="25"/>
    </row>
    <row r="1164" spans="1:14" ht="20.100000000000001" customHeight="1" x14ac:dyDescent="0.25">
      <c r="A1164" s="25"/>
      <c r="B1164" s="25"/>
      <c r="C1164" s="25"/>
      <c r="D1164" s="25"/>
      <c r="E1164" s="25"/>
      <c r="F1164" s="25"/>
      <c r="G1164" s="25"/>
      <c r="H1164" s="35"/>
      <c r="I1164" s="35"/>
      <c r="J1164" s="35"/>
      <c r="K1164" s="35"/>
      <c r="L1164" s="35"/>
      <c r="M1164" s="35"/>
      <c r="N1164" s="25"/>
    </row>
    <row r="1165" spans="1:14" ht="20.100000000000001" customHeight="1" x14ac:dyDescent="0.25">
      <c r="A1165" s="25"/>
      <c r="B1165" s="25"/>
      <c r="C1165" s="25"/>
      <c r="D1165" s="25"/>
      <c r="E1165" s="25"/>
      <c r="F1165" s="25"/>
      <c r="G1165" s="25"/>
      <c r="H1165" s="35"/>
      <c r="I1165" s="35"/>
      <c r="J1165" s="35"/>
      <c r="K1165" s="35"/>
      <c r="L1165" s="35"/>
      <c r="M1165" s="35"/>
      <c r="N1165" s="25"/>
    </row>
    <row r="1166" spans="1:14" ht="20.100000000000001" customHeight="1" x14ac:dyDescent="0.25">
      <c r="A1166" s="25"/>
      <c r="B1166" s="25"/>
      <c r="C1166" s="25"/>
      <c r="D1166" s="25"/>
      <c r="E1166" s="25"/>
      <c r="F1166" s="25"/>
      <c r="G1166" s="25"/>
      <c r="H1166" s="35"/>
      <c r="I1166" s="35"/>
      <c r="J1166" s="35"/>
      <c r="K1166" s="35"/>
      <c r="L1166" s="35"/>
      <c r="M1166" s="35"/>
      <c r="N1166" s="25"/>
    </row>
    <row r="1167" spans="1:14" ht="20.100000000000001" customHeight="1" x14ac:dyDescent="0.25">
      <c r="A1167" s="25"/>
      <c r="B1167" s="25"/>
      <c r="C1167" s="25"/>
      <c r="D1167" s="25"/>
      <c r="E1167" s="25"/>
      <c r="F1167" s="25"/>
      <c r="G1167" s="25"/>
      <c r="H1167" s="35"/>
      <c r="I1167" s="35"/>
      <c r="J1167" s="35"/>
      <c r="K1167" s="35"/>
      <c r="L1167" s="35"/>
      <c r="M1167" s="35"/>
      <c r="N1167" s="25"/>
    </row>
    <row r="1168" spans="1:14" ht="20.100000000000001" customHeight="1" x14ac:dyDescent="0.25">
      <c r="A1168" s="25"/>
      <c r="B1168" s="25"/>
      <c r="C1168" s="25"/>
      <c r="D1168" s="25"/>
      <c r="E1168" s="25"/>
      <c r="F1168" s="25"/>
      <c r="G1168" s="25"/>
      <c r="H1168" s="35"/>
      <c r="I1168" s="35"/>
      <c r="J1168" s="35"/>
      <c r="K1168" s="35"/>
      <c r="L1168" s="35"/>
      <c r="M1168" s="35"/>
      <c r="N1168" s="25"/>
    </row>
    <row r="1169" spans="1:14" ht="20.100000000000001" customHeight="1" x14ac:dyDescent="0.25">
      <c r="A1169" s="25"/>
      <c r="B1169" s="25"/>
      <c r="C1169" s="25"/>
      <c r="D1169" s="25"/>
      <c r="E1169" s="25"/>
      <c r="F1169" s="25"/>
      <c r="G1169" s="25"/>
      <c r="H1169" s="35"/>
      <c r="I1169" s="35"/>
      <c r="J1169" s="35"/>
      <c r="K1169" s="35"/>
      <c r="L1169" s="35"/>
      <c r="M1169" s="35"/>
      <c r="N1169" s="25"/>
    </row>
    <row r="1170" spans="1:14" ht="20.100000000000001" customHeight="1" x14ac:dyDescent="0.25">
      <c r="A1170" s="25"/>
      <c r="B1170" s="25"/>
      <c r="C1170" s="25"/>
      <c r="D1170" s="25"/>
      <c r="E1170" s="25"/>
      <c r="F1170" s="25"/>
      <c r="G1170" s="25"/>
      <c r="H1170" s="35"/>
      <c r="I1170" s="35"/>
      <c r="J1170" s="35"/>
      <c r="K1170" s="35"/>
      <c r="L1170" s="35"/>
      <c r="M1170" s="35"/>
      <c r="N1170" s="25"/>
    </row>
    <row r="1171" spans="1:14" ht="20.100000000000001" customHeight="1" x14ac:dyDescent="0.25">
      <c r="A1171" s="25"/>
      <c r="B1171" s="25"/>
      <c r="C1171" s="25"/>
      <c r="D1171" s="25"/>
      <c r="E1171" s="25"/>
      <c r="F1171" s="25"/>
      <c r="G1171" s="25"/>
      <c r="H1171" s="35"/>
      <c r="I1171" s="35"/>
      <c r="J1171" s="35"/>
      <c r="K1171" s="35"/>
      <c r="L1171" s="35"/>
      <c r="M1171" s="35"/>
      <c r="N1171" s="25"/>
    </row>
    <row r="1172" spans="1:14" ht="20.100000000000001" customHeight="1" x14ac:dyDescent="0.25">
      <c r="A1172" s="25"/>
      <c r="B1172" s="25"/>
      <c r="C1172" s="25"/>
      <c r="D1172" s="25"/>
      <c r="E1172" s="25"/>
      <c r="F1172" s="25"/>
      <c r="G1172" s="25"/>
      <c r="H1172" s="35"/>
      <c r="I1172" s="35"/>
      <c r="J1172" s="35"/>
      <c r="K1172" s="35"/>
      <c r="L1172" s="35"/>
      <c r="M1172" s="35"/>
      <c r="N1172" s="25"/>
    </row>
    <row r="1173" spans="1:14" ht="20.100000000000001" customHeight="1" x14ac:dyDescent="0.25">
      <c r="A1173" s="25"/>
      <c r="B1173" s="25"/>
      <c r="C1173" s="25"/>
      <c r="D1173" s="25"/>
      <c r="E1173" s="25"/>
      <c r="F1173" s="25"/>
      <c r="G1173" s="25"/>
      <c r="H1173" s="35"/>
      <c r="I1173" s="35"/>
      <c r="J1173" s="35"/>
      <c r="K1173" s="35"/>
      <c r="L1173" s="35"/>
      <c r="M1173" s="35"/>
      <c r="N1173" s="25"/>
    </row>
    <row r="1174" spans="1:14" ht="20.100000000000001" customHeight="1" x14ac:dyDescent="0.25">
      <c r="A1174" s="25"/>
      <c r="B1174" s="25"/>
      <c r="C1174" s="25"/>
      <c r="D1174" s="25"/>
      <c r="E1174" s="25"/>
      <c r="F1174" s="25"/>
      <c r="G1174" s="25"/>
      <c r="H1174" s="35"/>
      <c r="I1174" s="35"/>
      <c r="J1174" s="35"/>
      <c r="K1174" s="35"/>
      <c r="L1174" s="35"/>
      <c r="M1174" s="35"/>
      <c r="N1174" s="25"/>
    </row>
    <row r="1175" spans="1:14" ht="20.100000000000001" customHeight="1" x14ac:dyDescent="0.25">
      <c r="A1175" s="25"/>
      <c r="B1175" s="25"/>
      <c r="C1175" s="25"/>
      <c r="D1175" s="25"/>
      <c r="E1175" s="25"/>
      <c r="F1175" s="25"/>
      <c r="G1175" s="25"/>
      <c r="H1175" s="35"/>
      <c r="I1175" s="35"/>
      <c r="J1175" s="35"/>
      <c r="K1175" s="35"/>
      <c r="L1175" s="35"/>
      <c r="M1175" s="35"/>
      <c r="N1175" s="25"/>
    </row>
    <row r="1176" spans="1:14" ht="20.100000000000001" customHeight="1" x14ac:dyDescent="0.25">
      <c r="A1176" s="25"/>
      <c r="B1176" s="25"/>
      <c r="C1176" s="25"/>
      <c r="D1176" s="25"/>
      <c r="E1176" s="25"/>
      <c r="F1176" s="25"/>
      <c r="G1176" s="25"/>
      <c r="H1176" s="35"/>
      <c r="I1176" s="35"/>
      <c r="J1176" s="35"/>
      <c r="K1176" s="35"/>
      <c r="L1176" s="35"/>
      <c r="M1176" s="35"/>
      <c r="N1176" s="25"/>
    </row>
    <row r="1177" spans="1:14" ht="20.100000000000001" customHeight="1" x14ac:dyDescent="0.25">
      <c r="A1177" s="25"/>
      <c r="B1177" s="25"/>
      <c r="C1177" s="25"/>
      <c r="D1177" s="25"/>
      <c r="E1177" s="25"/>
      <c r="F1177" s="25"/>
      <c r="G1177" s="25"/>
      <c r="H1177" s="35"/>
      <c r="I1177" s="35"/>
      <c r="J1177" s="35"/>
      <c r="K1177" s="35"/>
      <c r="L1177" s="35"/>
      <c r="M1177" s="35"/>
      <c r="N1177" s="25"/>
    </row>
    <row r="1178" spans="1:14" ht="20.100000000000001" customHeight="1" x14ac:dyDescent="0.25">
      <c r="A1178" s="25"/>
      <c r="B1178" s="25"/>
      <c r="C1178" s="25"/>
      <c r="D1178" s="25"/>
      <c r="E1178" s="25"/>
      <c r="F1178" s="25"/>
      <c r="G1178" s="25"/>
      <c r="H1178" s="35"/>
      <c r="I1178" s="35"/>
      <c r="J1178" s="35"/>
      <c r="K1178" s="35"/>
      <c r="L1178" s="35"/>
      <c r="M1178" s="35"/>
      <c r="N1178" s="25"/>
    </row>
    <row r="1179" spans="1:14" ht="20.100000000000001" customHeight="1" x14ac:dyDescent="0.25">
      <c r="A1179" s="25"/>
      <c r="B1179" s="25"/>
      <c r="C1179" s="25"/>
      <c r="D1179" s="25"/>
      <c r="E1179" s="25"/>
      <c r="F1179" s="25"/>
      <c r="G1179" s="25"/>
      <c r="H1179" s="35"/>
      <c r="I1179" s="35"/>
      <c r="J1179" s="35"/>
      <c r="K1179" s="35"/>
      <c r="L1179" s="35"/>
      <c r="M1179" s="35"/>
      <c r="N1179" s="25"/>
    </row>
    <row r="1180" spans="1:14" ht="20.100000000000001" customHeight="1" x14ac:dyDescent="0.25">
      <c r="A1180" s="25"/>
      <c r="B1180" s="25"/>
      <c r="C1180" s="25"/>
      <c r="D1180" s="25"/>
      <c r="E1180" s="25"/>
      <c r="F1180" s="25"/>
      <c r="G1180" s="25"/>
      <c r="H1180" s="35"/>
      <c r="I1180" s="35"/>
      <c r="J1180" s="35"/>
      <c r="K1180" s="35"/>
      <c r="L1180" s="35"/>
      <c r="M1180" s="35"/>
      <c r="N1180" s="25"/>
    </row>
    <row r="1181" spans="1:14" ht="20.100000000000001" customHeight="1" x14ac:dyDescent="0.25">
      <c r="A1181" s="25"/>
      <c r="B1181" s="25"/>
      <c r="C1181" s="25"/>
      <c r="D1181" s="25"/>
      <c r="E1181" s="25"/>
      <c r="F1181" s="25"/>
      <c r="G1181" s="25"/>
      <c r="H1181" s="35"/>
      <c r="I1181" s="35"/>
      <c r="J1181" s="35"/>
      <c r="K1181" s="35"/>
      <c r="L1181" s="35"/>
      <c r="M1181" s="35"/>
      <c r="N1181" s="25"/>
    </row>
    <row r="1182" spans="1:14" ht="20.100000000000001" customHeight="1" x14ac:dyDescent="0.25">
      <c r="A1182" s="25"/>
      <c r="B1182" s="25"/>
      <c r="C1182" s="25"/>
      <c r="D1182" s="25"/>
      <c r="E1182" s="25"/>
      <c r="F1182" s="25"/>
      <c r="G1182" s="25"/>
      <c r="H1182" s="35"/>
      <c r="I1182" s="35"/>
      <c r="J1182" s="35"/>
      <c r="K1182" s="35"/>
      <c r="L1182" s="35"/>
      <c r="M1182" s="35"/>
      <c r="N1182" s="25"/>
    </row>
    <row r="1183" spans="1:14" ht="20.100000000000001" customHeight="1" x14ac:dyDescent="0.25">
      <c r="A1183" s="25"/>
      <c r="B1183" s="25"/>
      <c r="C1183" s="25"/>
      <c r="D1183" s="25"/>
      <c r="E1183" s="25"/>
      <c r="F1183" s="25"/>
      <c r="G1183" s="25"/>
      <c r="H1183" s="35"/>
      <c r="I1183" s="35"/>
      <c r="J1183" s="35"/>
      <c r="K1183" s="35"/>
      <c r="L1183" s="35"/>
      <c r="M1183" s="35"/>
      <c r="N1183" s="25"/>
    </row>
    <row r="1184" spans="1:14" ht="20.100000000000001" customHeight="1" x14ac:dyDescent="0.25">
      <c r="A1184" s="25"/>
      <c r="B1184" s="25"/>
      <c r="C1184" s="25"/>
      <c r="D1184" s="25"/>
      <c r="E1184" s="25"/>
      <c r="F1184" s="25"/>
      <c r="G1184" s="25"/>
      <c r="H1184" s="35"/>
      <c r="I1184" s="35"/>
      <c r="J1184" s="35"/>
      <c r="K1184" s="35"/>
      <c r="L1184" s="35"/>
      <c r="M1184" s="35"/>
      <c r="N1184" s="25"/>
    </row>
    <row r="1185" spans="1:14" ht="20.100000000000001" customHeight="1" x14ac:dyDescent="0.25">
      <c r="A1185" s="25"/>
      <c r="B1185" s="25"/>
      <c r="C1185" s="25"/>
      <c r="D1185" s="25"/>
      <c r="E1185" s="25"/>
      <c r="F1185" s="25"/>
      <c r="G1185" s="25"/>
      <c r="H1185" s="35"/>
      <c r="I1185" s="35"/>
      <c r="J1185" s="35"/>
      <c r="K1185" s="35"/>
      <c r="L1185" s="35"/>
      <c r="M1185" s="35"/>
      <c r="N1185" s="25"/>
    </row>
    <row r="1186" spans="1:14" ht="20.100000000000001" customHeight="1" x14ac:dyDescent="0.25">
      <c r="A1186" s="25"/>
      <c r="B1186" s="25"/>
      <c r="C1186" s="25"/>
      <c r="D1186" s="25"/>
      <c r="E1186" s="25"/>
      <c r="F1186" s="25"/>
      <c r="G1186" s="25"/>
      <c r="H1186" s="35"/>
      <c r="I1186" s="35"/>
      <c r="J1186" s="35"/>
      <c r="K1186" s="35"/>
      <c r="L1186" s="35"/>
      <c r="M1186" s="35"/>
      <c r="N1186" s="25"/>
    </row>
    <row r="1187" spans="1:14" ht="20.100000000000001" customHeight="1" x14ac:dyDescent="0.25">
      <c r="A1187" s="28" t="s">
        <v>806</v>
      </c>
      <c r="B1187" s="25"/>
      <c r="C1187" s="25"/>
      <c r="D1187" s="25"/>
      <c r="E1187" s="25"/>
      <c r="F1187" s="25"/>
      <c r="G1187" s="25"/>
      <c r="H1187" s="35"/>
      <c r="I1187" s="35"/>
      <c r="J1187" s="35"/>
      <c r="K1187" s="35"/>
      <c r="L1187" s="35"/>
      <c r="M1187" s="35"/>
      <c r="N1187" s="25"/>
    </row>
    <row r="1188" spans="1:14" ht="20.100000000000001" customHeight="1" x14ac:dyDescent="0.25">
      <c r="A1188" s="25" t="s">
        <v>807</v>
      </c>
      <c r="B1188" s="25"/>
      <c r="C1188" s="25"/>
      <c r="D1188" s="25"/>
      <c r="E1188" s="25"/>
      <c r="F1188" s="25"/>
      <c r="G1188" s="25"/>
      <c r="H1188" s="35"/>
      <c r="I1188" s="35"/>
      <c r="J1188" s="35"/>
      <c r="K1188" s="35"/>
      <c r="L1188" s="35"/>
      <c r="M1188" s="35"/>
      <c r="N1188" s="25"/>
    </row>
    <row r="1189" spans="1:14" ht="20.100000000000001" customHeight="1" x14ac:dyDescent="0.25">
      <c r="A1189" s="25" t="s">
        <v>808</v>
      </c>
      <c r="B1189" s="26">
        <v>4.4000000000000004</v>
      </c>
      <c r="C1189" s="25" t="s">
        <v>5</v>
      </c>
      <c r="D1189" s="25"/>
      <c r="E1189" s="25"/>
      <c r="F1189" s="25"/>
      <c r="G1189" s="25"/>
      <c r="H1189" s="35"/>
      <c r="I1189" s="35"/>
      <c r="J1189" s="35"/>
      <c r="K1189" s="35"/>
      <c r="L1189" s="35"/>
      <c r="M1189" s="35"/>
      <c r="N1189" s="25"/>
    </row>
    <row r="1190" spans="1:14" ht="20.100000000000001" customHeight="1" x14ac:dyDescent="0.25">
      <c r="A1190" s="25" t="s">
        <v>809</v>
      </c>
      <c r="B1190" s="26">
        <v>4</v>
      </c>
      <c r="C1190" s="25" t="s">
        <v>5</v>
      </c>
      <c r="D1190" s="25" t="s">
        <v>810</v>
      </c>
      <c r="E1190" s="25">
        <f>B1189*B1190</f>
        <v>17.600000000000001</v>
      </c>
      <c r="F1190" s="25" t="s">
        <v>811</v>
      </c>
      <c r="G1190" s="25"/>
      <c r="H1190" s="35"/>
      <c r="I1190" s="35"/>
      <c r="J1190" s="35"/>
      <c r="K1190" s="35"/>
      <c r="L1190" s="35"/>
      <c r="M1190" s="35"/>
      <c r="N1190" s="25"/>
    </row>
    <row r="1191" spans="1:14" ht="20.100000000000001" customHeight="1" x14ac:dyDescent="0.25">
      <c r="A1191" s="25"/>
      <c r="B1191" s="25"/>
      <c r="C1191" s="25"/>
      <c r="D1191" s="25"/>
      <c r="E1191" s="25"/>
      <c r="F1191" s="25"/>
      <c r="G1191" s="25"/>
      <c r="H1191" s="35"/>
      <c r="I1191" s="35"/>
      <c r="J1191" s="35"/>
      <c r="K1191" s="35"/>
      <c r="L1191" s="35"/>
      <c r="M1191" s="35"/>
      <c r="N1191" s="25"/>
    </row>
    <row r="1192" spans="1:14" ht="20.100000000000001" customHeight="1" x14ac:dyDescent="0.25">
      <c r="A1192" s="25" t="s">
        <v>812</v>
      </c>
      <c r="B1192" s="25"/>
      <c r="C1192" s="25"/>
      <c r="D1192" s="25"/>
      <c r="E1192" s="25"/>
      <c r="F1192" s="25"/>
      <c r="G1192" s="25"/>
      <c r="H1192" s="35"/>
      <c r="I1192" s="35"/>
      <c r="J1192" s="35"/>
      <c r="K1192" s="35"/>
      <c r="L1192" s="35"/>
      <c r="M1192" s="35"/>
      <c r="N1192" s="25"/>
    </row>
    <row r="1193" spans="1:14" ht="20.100000000000001" customHeight="1" x14ac:dyDescent="0.25">
      <c r="A1193" s="25" t="s">
        <v>813</v>
      </c>
      <c r="B1193" s="366">
        <v>10</v>
      </c>
      <c r="C1193" s="25" t="s">
        <v>660</v>
      </c>
      <c r="D1193" s="25"/>
      <c r="E1193" s="25"/>
      <c r="F1193" s="25"/>
      <c r="G1193" s="35">
        <f>B1193*E1190</f>
        <v>176</v>
      </c>
      <c r="H1193" s="35" t="s">
        <v>120</v>
      </c>
      <c r="J1193" s="35"/>
      <c r="K1193" s="35"/>
      <c r="L1193" s="35"/>
      <c r="M1193" s="35"/>
      <c r="N1193" s="25"/>
    </row>
    <row r="1194" spans="1:14" ht="20.100000000000001" customHeight="1" x14ac:dyDescent="0.25">
      <c r="A1194" s="214" t="s">
        <v>269</v>
      </c>
      <c r="B1194" s="407">
        <v>64</v>
      </c>
      <c r="C1194" s="408">
        <v>20</v>
      </c>
      <c r="D1194" s="214" t="s">
        <v>5</v>
      </c>
      <c r="E1194" s="408">
        <v>4.71</v>
      </c>
      <c r="F1194" s="214" t="s">
        <v>242</v>
      </c>
      <c r="G1194" s="403">
        <f>C1194*E1194</f>
        <v>94.2</v>
      </c>
      <c r="H1194" s="215" t="s">
        <v>120</v>
      </c>
      <c r="J1194" s="35" t="s">
        <v>847</v>
      </c>
      <c r="K1194" s="35"/>
      <c r="L1194" s="35"/>
      <c r="M1194" s="35"/>
      <c r="N1194" s="25"/>
    </row>
    <row r="1195" spans="1:14" ht="20.100000000000001" customHeight="1" x14ac:dyDescent="0.25">
      <c r="A1195" s="25"/>
      <c r="B1195" s="25"/>
      <c r="C1195" s="25"/>
      <c r="D1195" s="25"/>
      <c r="E1195" s="25"/>
      <c r="F1195" s="25"/>
      <c r="G1195" s="218">
        <f>G1193+G1194</f>
        <v>270.2</v>
      </c>
      <c r="H1195" s="35" t="s">
        <v>120</v>
      </c>
      <c r="I1195" s="500" t="s">
        <v>814</v>
      </c>
      <c r="J1195" s="500"/>
      <c r="K1195" s="70">
        <f>G1195/(100*2*B1190)</f>
        <v>0.33774999999999999</v>
      </c>
      <c r="L1195" s="21" t="s">
        <v>819</v>
      </c>
      <c r="M1195" s="35"/>
      <c r="N1195" s="25"/>
    </row>
    <row r="1196" spans="1:14" ht="20.100000000000001" customHeight="1" x14ac:dyDescent="0.25">
      <c r="A1196" s="25" t="s">
        <v>815</v>
      </c>
      <c r="B1196" s="25"/>
      <c r="C1196" s="25"/>
      <c r="D1196" s="360"/>
      <c r="E1196" s="25"/>
      <c r="F1196" s="25"/>
      <c r="G1196" s="25"/>
      <c r="H1196" s="35"/>
      <c r="I1196" s="35"/>
      <c r="J1196" s="35"/>
      <c r="K1196" s="35"/>
      <c r="L1196" s="35"/>
      <c r="M1196" s="35"/>
      <c r="N1196" s="25"/>
    </row>
    <row r="1197" spans="1:14" ht="20.100000000000001" customHeight="1" x14ac:dyDescent="0.25">
      <c r="A1197" s="123" t="s">
        <v>816</v>
      </c>
      <c r="B1197" s="378"/>
      <c r="C1197" s="378"/>
      <c r="D1197" s="409">
        <v>140</v>
      </c>
      <c r="E1197" s="410">
        <v>14.3</v>
      </c>
      <c r="F1197" s="378" t="s">
        <v>242</v>
      </c>
      <c r="G1197" s="378"/>
      <c r="H1197" s="411">
        <f>E1197*2/100</f>
        <v>0.28600000000000003</v>
      </c>
      <c r="I1197" s="412" t="s">
        <v>820</v>
      </c>
      <c r="J1197" s="35"/>
      <c r="K1197" s="35"/>
      <c r="L1197" s="35"/>
      <c r="M1197" s="35"/>
      <c r="N1197" s="25"/>
    </row>
    <row r="1198" spans="1:14" ht="20.100000000000001" customHeight="1" x14ac:dyDescent="0.25">
      <c r="A1198" s="25"/>
      <c r="B1198" s="25"/>
      <c r="C1198" s="25"/>
      <c r="D1198" s="25"/>
      <c r="E1198" s="25"/>
      <c r="F1198" s="25"/>
      <c r="G1198" s="25"/>
      <c r="H1198" s="35"/>
      <c r="I1198" s="35"/>
      <c r="J1198" s="35"/>
      <c r="K1198" s="35"/>
      <c r="L1198" s="35"/>
      <c r="M1198" s="35"/>
      <c r="N1198" s="25"/>
    </row>
    <row r="1199" spans="1:14" ht="20.100000000000001" customHeight="1" x14ac:dyDescent="0.25">
      <c r="A1199" s="25" t="s">
        <v>839</v>
      </c>
      <c r="B1199" s="25"/>
      <c r="C1199" s="25"/>
      <c r="D1199" s="25"/>
      <c r="E1199" s="25"/>
      <c r="F1199" s="25"/>
      <c r="G1199" s="25"/>
      <c r="M1199" s="35"/>
      <c r="N1199" s="25"/>
    </row>
    <row r="1200" spans="1:14" ht="20.100000000000001" customHeight="1" x14ac:dyDescent="0.25">
      <c r="A1200" s="25" t="s">
        <v>817</v>
      </c>
      <c r="B1200" s="333">
        <f>B1103/100</f>
        <v>10.378368000000002</v>
      </c>
      <c r="C1200" s="28" t="s">
        <v>195</v>
      </c>
      <c r="D1200" s="25"/>
      <c r="E1200" s="25"/>
      <c r="F1200" s="25"/>
      <c r="G1200" s="25"/>
      <c r="H1200" s="35" t="s">
        <v>823</v>
      </c>
      <c r="I1200" s="204">
        <f>((K1195+H1197)*B1190/2)+(B1200/2)</f>
        <v>6.4366840000000014</v>
      </c>
      <c r="J1200" s="35" t="s">
        <v>195</v>
      </c>
      <c r="K1200" s="35"/>
      <c r="L1200" s="35" t="s">
        <v>828</v>
      </c>
      <c r="M1200" s="204">
        <f>B1201/2</f>
        <v>4.0193946240721399</v>
      </c>
      <c r="N1200" s="25" t="s">
        <v>195</v>
      </c>
    </row>
    <row r="1201" spans="1:14" ht="20.100000000000001" customHeight="1" x14ac:dyDescent="0.25">
      <c r="A1201" s="25" t="s">
        <v>818</v>
      </c>
      <c r="B1201" s="333">
        <f>K1098/100</f>
        <v>8.0387892481442798</v>
      </c>
      <c r="C1201" s="28" t="s">
        <v>195</v>
      </c>
      <c r="D1201" s="25"/>
      <c r="E1201" s="25"/>
      <c r="F1201" s="25"/>
      <c r="G1201" s="25"/>
      <c r="H1201" s="35" t="s">
        <v>822</v>
      </c>
      <c r="I1201" s="35">
        <f>I1200*(B1190/2)-((K1195+H1197)*(B1190/2)^2/2)</f>
        <v>11.625868000000002</v>
      </c>
      <c r="J1201" s="35" t="s">
        <v>195</v>
      </c>
      <c r="K1201" s="35"/>
      <c r="L1201" s="35" t="s">
        <v>821</v>
      </c>
      <c r="M1201" s="204">
        <f>M1200*B1190/2</f>
        <v>8.0387892481442798</v>
      </c>
      <c r="N1201" s="25" t="s">
        <v>195</v>
      </c>
    </row>
    <row r="1202" spans="1:14" ht="20.100000000000001" customHeight="1" x14ac:dyDescent="0.25">
      <c r="A1202" s="25"/>
      <c r="B1202" s="25"/>
      <c r="C1202" s="25"/>
      <c r="D1202" s="25"/>
      <c r="E1202" s="25"/>
      <c r="F1202" s="25"/>
      <c r="G1202" s="25"/>
      <c r="M1202" s="35"/>
      <c r="N1202" s="25"/>
    </row>
    <row r="1203" spans="1:14" ht="20.100000000000001" customHeight="1" x14ac:dyDescent="0.25">
      <c r="A1203" s="25" t="s">
        <v>144</v>
      </c>
      <c r="B1203" s="501">
        <v>200000</v>
      </c>
      <c r="C1203" s="501"/>
      <c r="D1203" s="25" t="s">
        <v>168</v>
      </c>
      <c r="E1203" s="25"/>
      <c r="F1203" s="28" t="s">
        <v>824</v>
      </c>
      <c r="G1203" s="25"/>
      <c r="H1203" s="448">
        <v>140</v>
      </c>
    </row>
    <row r="1204" spans="1:14" ht="20.100000000000001" customHeight="1" x14ac:dyDescent="0.25">
      <c r="A1204" s="25" t="s">
        <v>169</v>
      </c>
      <c r="B1204" s="501">
        <v>235</v>
      </c>
      <c r="C1204" s="501"/>
      <c r="D1204" s="25" t="s">
        <v>168</v>
      </c>
      <c r="E1204" s="25"/>
      <c r="F1204" s="25" t="s">
        <v>173</v>
      </c>
      <c r="G1204" s="25">
        <v>14</v>
      </c>
      <c r="H1204" s="35" t="s">
        <v>143</v>
      </c>
      <c r="J1204" s="35" t="s">
        <v>171</v>
      </c>
      <c r="K1204" s="35">
        <v>81.900000000000006</v>
      </c>
      <c r="L1204" s="35" t="s">
        <v>754</v>
      </c>
      <c r="M1204" s="35"/>
      <c r="N1204" s="25"/>
    </row>
    <row r="1205" spans="1:14" ht="20.100000000000001" customHeight="1" x14ac:dyDescent="0.25">
      <c r="A1205" s="25"/>
      <c r="B1205" s="258"/>
      <c r="C1205" s="258"/>
      <c r="D1205" s="30"/>
      <c r="E1205" s="25"/>
      <c r="F1205" s="25" t="s">
        <v>167</v>
      </c>
      <c r="G1205" s="25">
        <v>6.6</v>
      </c>
      <c r="H1205" s="35" t="s">
        <v>143</v>
      </c>
      <c r="J1205" s="35" t="s">
        <v>265</v>
      </c>
      <c r="K1205" s="35">
        <v>5.61</v>
      </c>
      <c r="L1205" s="35" t="s">
        <v>143</v>
      </c>
      <c r="M1205" s="35"/>
      <c r="N1205" s="25"/>
    </row>
    <row r="1206" spans="1:14" ht="20.100000000000001" customHeight="1" x14ac:dyDescent="0.25">
      <c r="A1206" s="25"/>
      <c r="B1206" s="258"/>
      <c r="C1206" s="258"/>
      <c r="D1206" s="30"/>
      <c r="E1206" s="25"/>
      <c r="F1206" s="25" t="s">
        <v>825</v>
      </c>
      <c r="G1206" s="25">
        <v>0.86</v>
      </c>
      <c r="H1206" s="35" t="s">
        <v>143</v>
      </c>
      <c r="J1206" s="35" t="s">
        <v>640</v>
      </c>
      <c r="K1206" s="35">
        <v>95.4</v>
      </c>
      <c r="L1206" s="35" t="s">
        <v>754</v>
      </c>
      <c r="M1206" s="35"/>
      <c r="N1206" s="25"/>
    </row>
    <row r="1207" spans="1:14" ht="20.100000000000001" customHeight="1" x14ac:dyDescent="0.25">
      <c r="A1207" s="25"/>
      <c r="B1207" s="258"/>
      <c r="C1207" s="258"/>
      <c r="D1207" s="30"/>
      <c r="E1207" s="25"/>
      <c r="F1207" s="25" t="s">
        <v>527</v>
      </c>
      <c r="G1207" s="25">
        <v>0.56999999999999995</v>
      </c>
      <c r="H1207" s="35" t="s">
        <v>143</v>
      </c>
      <c r="J1207" s="35" t="s">
        <v>641</v>
      </c>
      <c r="K1207" s="35">
        <v>10.7</v>
      </c>
      <c r="L1207" s="35" t="s">
        <v>754</v>
      </c>
      <c r="M1207" s="35"/>
      <c r="N1207" s="25"/>
    </row>
    <row r="1208" spans="1:14" ht="20.100000000000001" customHeight="1" x14ac:dyDescent="0.25">
      <c r="A1208" s="25"/>
      <c r="B1208" s="258"/>
      <c r="C1208" s="258"/>
      <c r="D1208" s="30"/>
      <c r="E1208" s="25"/>
      <c r="F1208" s="25" t="s">
        <v>797</v>
      </c>
      <c r="G1208" s="25">
        <v>10.9</v>
      </c>
      <c r="H1208" s="35" t="s">
        <v>143</v>
      </c>
      <c r="J1208" s="35" t="s">
        <v>256</v>
      </c>
      <c r="K1208" s="35">
        <v>17.7</v>
      </c>
      <c r="L1208" s="35" t="s">
        <v>754</v>
      </c>
      <c r="M1208" s="35"/>
      <c r="N1208" s="25"/>
    </row>
    <row r="1209" spans="1:14" ht="20.100000000000001" customHeight="1" x14ac:dyDescent="0.25">
      <c r="A1209" s="25"/>
      <c r="B1209" s="258"/>
      <c r="C1209" s="258"/>
      <c r="D1209" s="30"/>
      <c r="E1209" s="25"/>
      <c r="F1209" s="25" t="s">
        <v>843</v>
      </c>
      <c r="G1209" s="25">
        <v>18.2</v>
      </c>
      <c r="H1209" s="35" t="s">
        <v>767</v>
      </c>
      <c r="J1209" s="35" t="s">
        <v>837</v>
      </c>
      <c r="K1209" s="35">
        <v>573</v>
      </c>
      <c r="L1209" s="35" t="s">
        <v>838</v>
      </c>
      <c r="M1209" s="35"/>
      <c r="N1209" s="25"/>
    </row>
    <row r="1210" spans="1:14" ht="20.100000000000001" customHeight="1" x14ac:dyDescent="0.25">
      <c r="A1210" s="25"/>
      <c r="B1210" s="258"/>
      <c r="C1210" s="258"/>
      <c r="D1210" s="30"/>
      <c r="E1210" s="25"/>
      <c r="F1210" s="25"/>
      <c r="G1210" s="25"/>
      <c r="H1210" s="35"/>
      <c r="J1210" s="35" t="s">
        <v>844</v>
      </c>
      <c r="K1210" s="35">
        <v>35.200000000000003</v>
      </c>
      <c r="L1210" s="35" t="s">
        <v>838</v>
      </c>
      <c r="M1210" s="35"/>
      <c r="N1210" s="25"/>
    </row>
    <row r="1211" spans="1:14" ht="20.100000000000001" customHeight="1" x14ac:dyDescent="0.25">
      <c r="A1211" s="28" t="s">
        <v>165</v>
      </c>
      <c r="B1211" s="25"/>
      <c r="C1211" s="25"/>
      <c r="D1211" s="25"/>
      <c r="E1211" s="25"/>
      <c r="F1211" s="25"/>
      <c r="G1211" s="25"/>
      <c r="H1211" s="35"/>
      <c r="I1211" s="35"/>
      <c r="J1211" s="35"/>
      <c r="K1211" s="35"/>
      <c r="L1211" s="35"/>
      <c r="M1211" s="35"/>
      <c r="N1211" s="25"/>
    </row>
    <row r="1212" spans="1:14" ht="20.100000000000001" customHeight="1" x14ac:dyDescent="0.25">
      <c r="A1212" s="25" t="s">
        <v>166</v>
      </c>
      <c r="B1212" s="25"/>
      <c r="C1212" s="25"/>
      <c r="D1212" s="25" t="s">
        <v>446</v>
      </c>
      <c r="E1212" s="191">
        <f>(G1205/2)/G1206</f>
        <v>3.8372093023255811</v>
      </c>
      <c r="F1212" s="25"/>
      <c r="G1212" s="25"/>
      <c r="H1212" s="35"/>
      <c r="I1212" s="35"/>
      <c r="J1212" s="35"/>
      <c r="K1212" s="35"/>
      <c r="L1212" s="35"/>
      <c r="M1212" s="35"/>
      <c r="N1212" s="25"/>
    </row>
    <row r="1213" spans="1:14" ht="20.100000000000001" customHeight="1" x14ac:dyDescent="0.25">
      <c r="A1213" s="25"/>
      <c r="B1213" s="502" t="s">
        <v>447</v>
      </c>
      <c r="C1213" s="502"/>
      <c r="D1213" s="502"/>
      <c r="E1213" s="502"/>
      <c r="F1213" s="191">
        <f>0.38*SQRT(B1203/B1204)</f>
        <v>11.085739353839987</v>
      </c>
      <c r="G1213" s="25"/>
      <c r="H1213" s="265" t="str">
        <f>IF(E1212&lt;F1213,"&gt; b/2t   Sección Compacta","&lt; b/2t  Sección No compacta")</f>
        <v>&gt; b/2t   Sección Compacta</v>
      </c>
      <c r="I1213" s="266"/>
      <c r="J1213" s="266"/>
      <c r="K1213" s="266"/>
      <c r="L1213" s="266"/>
      <c r="M1213" s="35"/>
      <c r="N1213" s="25"/>
    </row>
    <row r="1214" spans="1:14" ht="20.100000000000001" customHeight="1" x14ac:dyDescent="0.25">
      <c r="A1214" s="25"/>
      <c r="B1214" s="25"/>
      <c r="C1214" s="25"/>
      <c r="D1214" s="25"/>
      <c r="E1214" s="25"/>
      <c r="F1214" s="25"/>
      <c r="G1214" s="25"/>
      <c r="H1214" s="35"/>
      <c r="I1214" s="35"/>
      <c r="J1214" s="35"/>
      <c r="K1214" s="35"/>
      <c r="L1214" s="35"/>
      <c r="M1214" s="35"/>
      <c r="N1214" s="25"/>
    </row>
    <row r="1215" spans="1:14" ht="20.100000000000001" customHeight="1" x14ac:dyDescent="0.25">
      <c r="A1215" s="28" t="s">
        <v>170</v>
      </c>
      <c r="B1215" s="25"/>
      <c r="C1215" s="25"/>
      <c r="D1215" s="25"/>
      <c r="E1215" s="25"/>
      <c r="F1215" s="25"/>
      <c r="G1215" s="25"/>
      <c r="H1215" s="35"/>
      <c r="I1215" s="35"/>
      <c r="J1215" s="35"/>
      <c r="K1215" s="35"/>
      <c r="L1215" s="35"/>
      <c r="M1215" s="35"/>
      <c r="N1215" s="25"/>
    </row>
    <row r="1216" spans="1:14" ht="20.100000000000001" customHeight="1" x14ac:dyDescent="0.25">
      <c r="A1216" s="25" t="s">
        <v>448</v>
      </c>
      <c r="B1216" s="25"/>
      <c r="C1216" s="25"/>
      <c r="D1216" s="25"/>
      <c r="E1216" s="25"/>
      <c r="F1216" s="25"/>
      <c r="G1216" s="25"/>
      <c r="H1216" s="35"/>
      <c r="I1216" s="35"/>
      <c r="J1216" s="35"/>
      <c r="K1216" s="35"/>
      <c r="L1216" s="35"/>
      <c r="M1216" s="35"/>
      <c r="N1216" s="25"/>
    </row>
    <row r="1217" spans="1:14" ht="20.100000000000001" customHeight="1" x14ac:dyDescent="0.25">
      <c r="A1217" s="25"/>
      <c r="B1217" s="25"/>
      <c r="C1217" s="25"/>
      <c r="D1217" s="25"/>
      <c r="E1217" s="25"/>
      <c r="F1217" s="25"/>
      <c r="G1217" s="25"/>
      <c r="H1217" s="35"/>
      <c r="I1217" s="35"/>
      <c r="J1217" s="35"/>
      <c r="K1217" s="35"/>
      <c r="L1217" s="35"/>
      <c r="M1217" s="35"/>
      <c r="N1217" s="25"/>
    </row>
    <row r="1218" spans="1:14" ht="20.100000000000001" customHeight="1" x14ac:dyDescent="0.25">
      <c r="A1218" s="25" t="s">
        <v>449</v>
      </c>
      <c r="B1218" s="25"/>
      <c r="C1218" s="25"/>
      <c r="D1218" s="25"/>
      <c r="E1218" s="25"/>
      <c r="F1218" s="25"/>
      <c r="G1218" s="25"/>
      <c r="H1218" s="35"/>
      <c r="I1218" s="35"/>
      <c r="J1218" s="35"/>
      <c r="K1218" s="35"/>
      <c r="L1218" s="35"/>
      <c r="M1218" s="35"/>
      <c r="N1218" s="25"/>
    </row>
    <row r="1219" spans="1:14" ht="20.100000000000001" customHeight="1" x14ac:dyDescent="0.25">
      <c r="A1219" s="25" t="s">
        <v>176</v>
      </c>
      <c r="B1219" s="25"/>
      <c r="C1219" s="25"/>
      <c r="D1219" s="25"/>
      <c r="E1219" s="25"/>
      <c r="F1219" s="25"/>
      <c r="G1219" s="25"/>
      <c r="H1219" s="35"/>
      <c r="I1219" s="35"/>
      <c r="J1219" s="35"/>
      <c r="K1219" s="35"/>
      <c r="L1219" s="35"/>
      <c r="M1219" s="35"/>
      <c r="N1219" s="25"/>
    </row>
    <row r="1220" spans="1:14" ht="20.100000000000001" customHeight="1" x14ac:dyDescent="0.25">
      <c r="B1220" s="25"/>
      <c r="C1220" s="25" t="s">
        <v>840</v>
      </c>
      <c r="D1220" s="25"/>
      <c r="E1220" s="25"/>
      <c r="F1220" s="191">
        <f>2*B1204*K1206/1000</f>
        <v>44.838000000000001</v>
      </c>
      <c r="G1220" s="25" t="s">
        <v>179</v>
      </c>
      <c r="H1220" s="35"/>
      <c r="I1220" s="35"/>
      <c r="J1220" s="35"/>
      <c r="K1220" s="35"/>
      <c r="L1220" s="35"/>
      <c r="M1220" s="35"/>
      <c r="N1220" s="25"/>
    </row>
    <row r="1221" spans="1:14" ht="20.100000000000001" customHeight="1" x14ac:dyDescent="0.25">
      <c r="B1221" s="25"/>
      <c r="C1221" s="214" t="s">
        <v>826</v>
      </c>
      <c r="D1221" s="214"/>
      <c r="E1221" s="214"/>
      <c r="F1221" s="261">
        <f>B1204*K1204/1000</f>
        <v>19.246500000000001</v>
      </c>
      <c r="G1221" s="261" t="s">
        <v>179</v>
      </c>
      <c r="H1221" s="35"/>
      <c r="I1221" s="35"/>
      <c r="J1221" s="35"/>
      <c r="K1221" s="35"/>
      <c r="L1221" s="35"/>
      <c r="M1221" s="35"/>
      <c r="N1221" s="25"/>
    </row>
    <row r="1222" spans="1:14" ht="20.100000000000001" customHeight="1" x14ac:dyDescent="0.25">
      <c r="B1222" s="25"/>
      <c r="C1222" s="25"/>
      <c r="D1222" s="25" t="s">
        <v>635</v>
      </c>
      <c r="E1222" s="25"/>
      <c r="F1222" s="191">
        <f>F1220/F1221</f>
        <v>2.3296703296703294</v>
      </c>
      <c r="G1222" s="25"/>
      <c r="H1222" s="35"/>
      <c r="I1222" s="35"/>
      <c r="J1222" s="35" t="s">
        <v>902</v>
      </c>
      <c r="K1222" s="35"/>
      <c r="L1222" s="35"/>
      <c r="M1222" s="450"/>
      <c r="N1222" s="25"/>
    </row>
    <row r="1223" spans="1:14" ht="20.100000000000001" customHeight="1" x14ac:dyDescent="0.25">
      <c r="A1223" s="25" t="s">
        <v>841</v>
      </c>
      <c r="B1223" s="25"/>
      <c r="C1223" s="25"/>
      <c r="D1223" s="25"/>
      <c r="E1223" s="25"/>
      <c r="F1223" s="25"/>
      <c r="G1223" s="25"/>
      <c r="H1223" s="35"/>
      <c r="I1223" s="35"/>
      <c r="J1223" s="35"/>
      <c r="K1223" s="35"/>
      <c r="L1223" s="35"/>
      <c r="M1223" s="413"/>
      <c r="N1223" s="25"/>
    </row>
    <row r="1224" spans="1:14" ht="20.100000000000001" customHeight="1" x14ac:dyDescent="0.25">
      <c r="A1224" s="25" t="s">
        <v>842</v>
      </c>
      <c r="B1224" s="25"/>
      <c r="C1224" s="418">
        <f>G1205*G1209</f>
        <v>120.11999999999999</v>
      </c>
      <c r="D1224" s="25" t="s">
        <v>754</v>
      </c>
      <c r="E1224" s="25"/>
      <c r="F1224" s="25"/>
      <c r="G1224" s="25"/>
      <c r="H1224" s="35"/>
      <c r="I1224" s="35"/>
      <c r="J1224" s="35"/>
      <c r="K1224" s="35"/>
      <c r="L1224" s="35"/>
      <c r="M1224" s="413"/>
      <c r="N1224" s="25"/>
    </row>
    <row r="1225" spans="1:14" ht="20.100000000000001" customHeight="1" x14ac:dyDescent="0.25">
      <c r="A1225" s="25" t="s">
        <v>845</v>
      </c>
      <c r="B1225" s="25"/>
      <c r="C1225" s="25"/>
      <c r="D1225" s="25"/>
      <c r="E1225" s="25">
        <f>2*(K1210+G1209*(G1205/2)^2)</f>
        <v>466.79599999999994</v>
      </c>
      <c r="F1225" s="25" t="s">
        <v>838</v>
      </c>
      <c r="G1225" s="25"/>
      <c r="H1225" s="35"/>
      <c r="I1225" s="35"/>
      <c r="J1225" s="35"/>
      <c r="K1225" s="35"/>
      <c r="L1225" s="35"/>
      <c r="M1225" s="413"/>
      <c r="N1225" s="25"/>
    </row>
    <row r="1226" spans="1:14" ht="20.100000000000001" customHeight="1" x14ac:dyDescent="0.25">
      <c r="A1226" s="25" t="s">
        <v>846</v>
      </c>
      <c r="B1226" s="25"/>
      <c r="C1226" s="25">
        <f>E1225/G1205</f>
        <v>70.726666666666659</v>
      </c>
      <c r="D1226" s="25" t="s">
        <v>754</v>
      </c>
      <c r="E1226" s="25"/>
      <c r="F1226" s="25"/>
      <c r="G1226" s="25"/>
      <c r="H1226" s="35"/>
      <c r="I1226" s="35"/>
      <c r="J1226" s="35"/>
      <c r="K1226" s="35"/>
      <c r="L1226" s="35"/>
      <c r="M1226" s="413"/>
      <c r="N1226" s="25"/>
    </row>
    <row r="1227" spans="1:14" ht="20.100000000000001" customHeight="1" x14ac:dyDescent="0.25">
      <c r="A1227" s="25"/>
      <c r="B1227" s="25"/>
      <c r="C1227" s="25" t="s">
        <v>829</v>
      </c>
      <c r="D1227" s="25"/>
      <c r="E1227" s="25"/>
      <c r="F1227" s="191">
        <f>B1204*C1224/1000</f>
        <v>28.228199999999998</v>
      </c>
      <c r="G1227" s="25" t="s">
        <v>179</v>
      </c>
      <c r="H1227" s="35"/>
      <c r="I1227" s="35"/>
      <c r="J1227" s="35"/>
      <c r="K1227" s="35"/>
      <c r="L1227" s="35"/>
      <c r="M1227" s="365"/>
      <c r="N1227" s="25"/>
    </row>
    <row r="1228" spans="1:14" ht="20.100000000000001" customHeight="1" x14ac:dyDescent="0.25">
      <c r="A1228" s="25"/>
      <c r="B1228" s="25"/>
      <c r="C1228" s="214" t="s">
        <v>830</v>
      </c>
      <c r="D1228" s="214"/>
      <c r="E1228" s="214"/>
      <c r="F1228" s="261">
        <f>B1204*C1226/1000</f>
        <v>16.620766666666665</v>
      </c>
      <c r="G1228" s="214" t="s">
        <v>179</v>
      </c>
      <c r="H1228" s="35"/>
      <c r="I1228" s="35"/>
      <c r="J1228" s="35"/>
      <c r="K1228" s="35"/>
      <c r="L1228" s="35"/>
      <c r="M1228" s="365"/>
      <c r="N1228" s="25"/>
    </row>
    <row r="1229" spans="1:14" ht="20.100000000000001" customHeight="1" x14ac:dyDescent="0.25">
      <c r="A1229" s="25"/>
      <c r="B1229" s="25"/>
      <c r="C1229" s="25"/>
      <c r="D1229" s="25" t="s">
        <v>831</v>
      </c>
      <c r="E1229" s="25"/>
      <c r="F1229" s="191">
        <f>F1227/F1228</f>
        <v>1.6983693090771987</v>
      </c>
      <c r="G1229" s="25"/>
      <c r="H1229" s="35"/>
      <c r="I1229" s="35"/>
      <c r="J1229" s="35" t="s">
        <v>903</v>
      </c>
      <c r="K1229" s="35"/>
      <c r="L1229" s="35"/>
      <c r="M1229" s="450"/>
      <c r="N1229" s="25"/>
    </row>
    <row r="1230" spans="1:14" ht="20.100000000000001" customHeight="1" x14ac:dyDescent="0.25">
      <c r="A1230" s="25"/>
      <c r="B1230" s="25"/>
      <c r="C1230" s="25"/>
      <c r="D1230" s="25"/>
      <c r="E1230" s="25"/>
      <c r="F1230" s="25"/>
      <c r="G1230" s="25"/>
      <c r="H1230" s="35"/>
      <c r="I1230" s="35"/>
      <c r="J1230" s="35"/>
      <c r="K1230" s="35"/>
      <c r="L1230" s="35"/>
      <c r="M1230" s="35"/>
      <c r="N1230" s="25"/>
    </row>
    <row r="1231" spans="1:14" ht="20.100000000000001" customHeight="1" x14ac:dyDescent="0.25">
      <c r="A1231" s="25"/>
      <c r="B1231" s="25"/>
      <c r="C1231" s="25"/>
      <c r="D1231" s="25" t="s">
        <v>181</v>
      </c>
      <c r="E1231" s="191">
        <f>1.5*F1221</f>
        <v>28.869750000000003</v>
      </c>
      <c r="F1231" s="25" t="s">
        <v>179</v>
      </c>
      <c r="G1231" s="25"/>
      <c r="H1231" s="35"/>
      <c r="I1231" s="35"/>
      <c r="J1231" s="35"/>
      <c r="K1231" s="35"/>
      <c r="L1231" s="35"/>
      <c r="M1231" s="35"/>
      <c r="N1231" s="25"/>
    </row>
    <row r="1232" spans="1:14" ht="20.100000000000001" customHeight="1" x14ac:dyDescent="0.25">
      <c r="A1232" s="25"/>
      <c r="B1232" s="25"/>
      <c r="C1232" s="25"/>
      <c r="D1232" s="25" t="s">
        <v>832</v>
      </c>
      <c r="E1232" s="191">
        <f>1.5*F1228</f>
        <v>24.931149999999995</v>
      </c>
      <c r="F1232" s="25" t="s">
        <v>179</v>
      </c>
      <c r="G1232" s="25"/>
      <c r="H1232" s="35"/>
      <c r="I1232" s="35"/>
      <c r="J1232" s="35"/>
      <c r="K1232" s="35"/>
      <c r="L1232" s="35"/>
      <c r="M1232" s="35"/>
      <c r="N1232" s="25"/>
    </row>
    <row r="1233" spans="1:14" ht="20.100000000000001" customHeight="1" x14ac:dyDescent="0.25">
      <c r="A1233" s="504" t="s">
        <v>827</v>
      </c>
      <c r="B1233" s="504"/>
      <c r="C1233" s="190">
        <f>(G1205/2)/G1208</f>
        <v>0.30275229357798161</v>
      </c>
      <c r="D1233" s="25"/>
      <c r="E1233" s="25" t="s">
        <v>472</v>
      </c>
      <c r="F1233" s="25"/>
      <c r="G1233" s="39">
        <v>1</v>
      </c>
      <c r="H1233" s="35"/>
      <c r="I1233" s="35"/>
      <c r="J1233" s="35"/>
      <c r="K1233" s="35"/>
      <c r="L1233" s="35"/>
      <c r="M1233" s="35"/>
      <c r="N1233" s="25"/>
    </row>
    <row r="1234" spans="1:14" ht="20.100000000000001" customHeight="1" x14ac:dyDescent="0.25">
      <c r="A1234" s="25" t="s">
        <v>463</v>
      </c>
      <c r="B1234" s="25"/>
      <c r="C1234" s="357">
        <f>C1233</f>
        <v>0.30275229357798161</v>
      </c>
      <c r="D1234" s="25" t="str">
        <f>IF(C1234&lt;1,"&lt; 1", "&gt;1")</f>
        <v>&lt; 1</v>
      </c>
      <c r="E1234" s="25" t="s">
        <v>464</v>
      </c>
      <c r="F1234" s="358"/>
      <c r="G1234" s="365">
        <f>C1233+0.4</f>
        <v>0.70275229357798163</v>
      </c>
      <c r="H1234" s="35" t="str">
        <f>IF(G1234&gt;1,"&gt; 1","&lt; 1")</f>
        <v>&lt; 1</v>
      </c>
      <c r="J1234" s="35" t="s">
        <v>186</v>
      </c>
      <c r="K1234" s="35"/>
      <c r="L1234" s="259">
        <v>1</v>
      </c>
      <c r="N1234" s="25"/>
    </row>
    <row r="1235" spans="1:14" ht="20.100000000000001" customHeight="1" x14ac:dyDescent="0.25">
      <c r="A1235" s="25"/>
      <c r="B1235" s="25"/>
      <c r="C1235" s="357"/>
      <c r="D1235" s="25"/>
      <c r="E1235" s="25"/>
      <c r="F1235" s="358"/>
      <c r="G1235" s="365"/>
      <c r="H1235" s="35"/>
      <c r="J1235" s="35"/>
      <c r="K1235" s="35"/>
      <c r="L1235" s="259"/>
      <c r="N1235" s="25"/>
    </row>
    <row r="1236" spans="1:14" ht="20.100000000000001" customHeight="1" x14ac:dyDescent="0.25">
      <c r="A1236" s="28" t="s">
        <v>466</v>
      </c>
      <c r="B1236" s="25"/>
      <c r="C1236" s="25"/>
      <c r="D1236" s="358"/>
      <c r="E1236" s="357"/>
      <c r="F1236" s="25"/>
      <c r="G1236" s="25"/>
      <c r="H1236" s="35"/>
      <c r="I1236" s="35"/>
      <c r="J1236" s="35"/>
      <c r="K1236" s="35"/>
      <c r="L1236" s="35"/>
      <c r="M1236" s="35"/>
      <c r="N1236" s="25"/>
    </row>
    <row r="1237" spans="1:14" ht="20.100000000000001" customHeight="1" x14ac:dyDescent="0.25">
      <c r="A1237" s="25" t="s">
        <v>833</v>
      </c>
      <c r="B1237" s="25"/>
      <c r="C1237" s="25"/>
      <c r="D1237" s="25"/>
      <c r="E1237" s="25"/>
      <c r="F1237" s="260"/>
      <c r="G1237" s="420">
        <f>(B1238/(H1239*E1231))+(B1239/(H1239*E1232))</f>
        <v>0.80571138889622818</v>
      </c>
      <c r="H1237" s="320" t="str">
        <f>IF(G1237&lt;1,"&lt; 1","  MC         ver Norma")</f>
        <v>&lt; 1</v>
      </c>
      <c r="I1237" s="35"/>
      <c r="L1237" s="35"/>
      <c r="M1237" s="35"/>
      <c r="N1237" s="25"/>
    </row>
    <row r="1238" spans="1:14" ht="20.100000000000001" customHeight="1" x14ac:dyDescent="0.25">
      <c r="A1238" s="25" t="s">
        <v>470</v>
      </c>
      <c r="B1238" s="360">
        <f>I1201</f>
        <v>11.625868000000002</v>
      </c>
      <c r="C1238" s="25" t="s">
        <v>179</v>
      </c>
      <c r="D1238" s="71"/>
      <c r="E1238" s="39"/>
      <c r="F1238" s="25"/>
      <c r="G1238" s="25"/>
      <c r="H1238" s="35"/>
      <c r="I1238" s="35"/>
      <c r="J1238" s="35"/>
      <c r="K1238" s="35"/>
      <c r="L1238" s="35"/>
      <c r="M1238" s="35"/>
      <c r="N1238" s="25"/>
    </row>
    <row r="1239" spans="1:14" ht="20.100000000000001" customHeight="1" x14ac:dyDescent="0.25">
      <c r="A1239" s="25" t="s">
        <v>834</v>
      </c>
      <c r="B1239" s="360">
        <f>M1201</f>
        <v>8.0387892481442798</v>
      </c>
      <c r="C1239" s="25" t="s">
        <v>179</v>
      </c>
      <c r="D1239" s="71"/>
      <c r="E1239" s="39"/>
      <c r="F1239" s="25"/>
      <c r="G1239" s="35" t="s">
        <v>455</v>
      </c>
      <c r="H1239" s="364">
        <v>0.9</v>
      </c>
      <c r="I1239" s="35"/>
      <c r="J1239" s="21"/>
      <c r="K1239" s="35"/>
      <c r="L1239" s="35"/>
      <c r="M1239" s="35"/>
      <c r="N1239" s="25"/>
    </row>
    <row r="1240" spans="1:14" ht="20.100000000000001" customHeight="1" x14ac:dyDescent="0.25">
      <c r="A1240" s="25"/>
      <c r="B1240" s="25"/>
      <c r="C1240" s="25"/>
      <c r="D1240" s="25"/>
      <c r="E1240" s="25"/>
      <c r="F1240" s="25"/>
      <c r="G1240" s="25"/>
      <c r="H1240" s="35"/>
      <c r="I1240" s="35"/>
      <c r="J1240" s="35"/>
      <c r="K1240" s="35"/>
      <c r="L1240" s="35"/>
      <c r="M1240" s="35"/>
      <c r="N1240" s="25"/>
    </row>
    <row r="1241" spans="1:14" ht="20.100000000000001" customHeight="1" x14ac:dyDescent="0.25">
      <c r="A1241" s="28" t="s">
        <v>190</v>
      </c>
      <c r="B1241" s="25"/>
      <c r="C1241" s="25"/>
      <c r="D1241" s="25"/>
      <c r="E1241" s="25"/>
      <c r="F1241" s="25"/>
      <c r="G1241" s="25"/>
      <c r="H1241" s="35"/>
      <c r="I1241" s="35"/>
      <c r="J1241" s="35"/>
      <c r="K1241" s="35"/>
      <c r="L1241" s="35"/>
      <c r="M1241" s="35"/>
      <c r="N1241" s="25"/>
    </row>
    <row r="1242" spans="1:14" ht="20.100000000000001" customHeight="1" x14ac:dyDescent="0.25">
      <c r="A1242" s="25" t="s">
        <v>835</v>
      </c>
      <c r="B1242" s="25"/>
      <c r="C1242" s="25"/>
      <c r="D1242" s="25"/>
      <c r="E1242" s="71">
        <f>G1207*G1208</f>
        <v>6.2130000000000001</v>
      </c>
      <c r="F1242" s="25" t="s">
        <v>433</v>
      </c>
      <c r="G1242" s="25"/>
      <c r="H1242" s="35"/>
      <c r="I1242" s="35"/>
      <c r="J1242" s="35"/>
      <c r="K1242" s="35"/>
      <c r="L1242" s="35"/>
      <c r="M1242" s="35"/>
      <c r="N1242" s="25"/>
    </row>
    <row r="1243" spans="1:14" ht="20.100000000000001" customHeight="1" x14ac:dyDescent="0.25">
      <c r="A1243" s="25"/>
      <c r="B1243" s="25" t="s">
        <v>192</v>
      </c>
      <c r="C1243" s="25"/>
      <c r="D1243" s="25"/>
      <c r="E1243" s="360">
        <f>G1208/G1207</f>
        <v>19.122807017543863</v>
      </c>
      <c r="F1243" s="265" t="str">
        <f>IF(E1243&lt;260,"&lt; 260 BC","&gt; 260 MC")</f>
        <v>&lt; 260 BC</v>
      </c>
      <c r="G1243" s="264"/>
      <c r="H1243" s="35"/>
      <c r="I1243" s="35"/>
      <c r="J1243" s="35"/>
      <c r="K1243" s="35"/>
      <c r="L1243" s="35"/>
      <c r="M1243" s="35"/>
      <c r="N1243" s="25"/>
    </row>
    <row r="1244" spans="1:14" ht="20.100000000000001" customHeight="1" x14ac:dyDescent="0.25">
      <c r="A1244" s="25"/>
      <c r="B1244" s="25"/>
      <c r="C1244" s="25"/>
      <c r="D1244" s="25"/>
      <c r="E1244" s="25"/>
      <c r="F1244" s="25"/>
      <c r="G1244" s="25"/>
      <c r="H1244" s="35"/>
      <c r="I1244" s="35"/>
      <c r="J1244" s="35"/>
      <c r="K1244" s="35"/>
      <c r="L1244" s="35"/>
      <c r="M1244" s="35"/>
      <c r="N1244" s="25"/>
    </row>
    <row r="1245" spans="1:14" ht="20.100000000000001" customHeight="1" x14ac:dyDescent="0.25">
      <c r="A1245" s="28" t="s">
        <v>193</v>
      </c>
      <c r="B1245" s="25"/>
      <c r="C1245" s="25"/>
      <c r="D1245" s="25"/>
      <c r="E1245" s="25"/>
      <c r="F1245" s="25"/>
      <c r="G1245" s="25"/>
      <c r="H1245" s="35"/>
      <c r="I1245" s="35"/>
      <c r="J1245" s="35"/>
      <c r="K1245" s="35"/>
      <c r="L1245" s="35"/>
      <c r="M1245" s="35"/>
      <c r="N1245" s="25"/>
    </row>
    <row r="1246" spans="1:14" ht="20.100000000000001" customHeight="1" x14ac:dyDescent="0.25">
      <c r="A1246" s="25" t="s">
        <v>456</v>
      </c>
      <c r="B1246" s="25"/>
      <c r="C1246" s="25"/>
      <c r="D1246" s="360">
        <f>2.45*SQRT(B1203/B1204)</f>
        <v>71.47384583396834</v>
      </c>
      <c r="E1246" s="25" t="str">
        <f>IF(D1246&gt;E1243,"&gt; h/s se aplica","&lt; h/s ver norma")</f>
        <v>&gt; h/s se aplica</v>
      </c>
      <c r="F1246" s="25"/>
      <c r="G1246" s="25"/>
      <c r="H1246" s="35" t="s">
        <v>457</v>
      </c>
      <c r="I1246" s="35"/>
      <c r="J1246" s="35"/>
      <c r="K1246" s="35"/>
      <c r="L1246" s="35"/>
      <c r="M1246" s="35"/>
      <c r="N1246" s="25"/>
    </row>
    <row r="1247" spans="1:14" ht="20.100000000000001" customHeight="1" x14ac:dyDescent="0.25">
      <c r="A1247" s="25"/>
      <c r="B1247" s="25"/>
      <c r="C1247" s="25"/>
      <c r="D1247" s="25"/>
      <c r="E1247" s="25"/>
      <c r="F1247" s="25"/>
      <c r="G1247" s="25"/>
      <c r="H1247" s="361" t="s">
        <v>194</v>
      </c>
      <c r="I1247" s="218">
        <f>0.6*B1204*E1242/10</f>
        <v>87.603300000000004</v>
      </c>
      <c r="J1247" s="35" t="s">
        <v>195</v>
      </c>
      <c r="K1247" s="35"/>
      <c r="L1247" s="35"/>
      <c r="M1247" s="35"/>
      <c r="N1247" s="25"/>
    </row>
    <row r="1248" spans="1:14" ht="20.100000000000001" customHeight="1" x14ac:dyDescent="0.25">
      <c r="A1248" s="25"/>
      <c r="B1248" s="25"/>
      <c r="C1248" s="25"/>
      <c r="D1248" s="25"/>
      <c r="E1248" s="25"/>
      <c r="F1248" s="25"/>
      <c r="G1248" s="25"/>
      <c r="H1248" s="361" t="s">
        <v>458</v>
      </c>
      <c r="I1248" s="44">
        <v>0.9</v>
      </c>
      <c r="J1248" s="35"/>
      <c r="K1248" s="35"/>
      <c r="L1248" s="35"/>
      <c r="M1248" s="35"/>
      <c r="N1248" s="25"/>
    </row>
    <row r="1249" spans="1:14" ht="20.100000000000001" customHeight="1" x14ac:dyDescent="0.25">
      <c r="A1249" s="25"/>
      <c r="B1249" s="25"/>
      <c r="C1249" s="25"/>
      <c r="D1249" s="25" t="s">
        <v>473</v>
      </c>
      <c r="E1249" s="25"/>
      <c r="F1249" s="71">
        <f>I1248*I1247</f>
        <v>78.842970000000008</v>
      </c>
      <c r="G1249" s="25" t="s">
        <v>195</v>
      </c>
      <c r="H1249" s="365" t="str">
        <f>IF(F1249&gt;I1249,"&gt;","&lt;")</f>
        <v>&gt;</v>
      </c>
      <c r="I1249" s="204">
        <f>I1200</f>
        <v>6.4366840000000014</v>
      </c>
      <c r="J1249" s="35" t="s">
        <v>836</v>
      </c>
      <c r="K1249" s="55"/>
      <c r="L1249" s="35"/>
      <c r="M1249" s="263" t="str">
        <f>IF(F1249&gt;I1249,"BC !!!","MC")</f>
        <v>BC !!!</v>
      </c>
      <c r="N1249" s="264"/>
    </row>
    <row r="1250" spans="1:14" ht="20.100000000000001" customHeight="1" x14ac:dyDescent="0.25">
      <c r="A1250" s="25"/>
      <c r="B1250" s="25"/>
      <c r="C1250" s="25"/>
      <c r="D1250" s="25"/>
      <c r="E1250" s="25"/>
      <c r="F1250" s="25"/>
      <c r="G1250" s="25"/>
      <c r="H1250" s="35"/>
      <c r="I1250" s="35"/>
      <c r="J1250" s="35"/>
      <c r="K1250" s="35"/>
      <c r="L1250" s="35"/>
      <c r="M1250" s="35"/>
      <c r="N1250" s="25"/>
    </row>
    <row r="1251" spans="1:14" ht="20.100000000000001" customHeight="1" x14ac:dyDescent="0.25">
      <c r="A1251" s="25" t="s">
        <v>197</v>
      </c>
      <c r="B1251" s="25"/>
      <c r="C1251" s="25"/>
      <c r="D1251" s="25"/>
      <c r="E1251" s="25"/>
      <c r="F1251" s="25"/>
      <c r="G1251" s="25"/>
      <c r="H1251" s="35"/>
      <c r="I1251" s="35"/>
      <c r="J1251" s="35"/>
      <c r="K1251" s="35"/>
      <c r="L1251" s="35"/>
      <c r="M1251" s="35"/>
      <c r="N1251" s="25"/>
    </row>
    <row r="1252" spans="1:14" ht="20.100000000000001" customHeight="1" x14ac:dyDescent="0.25">
      <c r="A1252" s="25" t="s">
        <v>459</v>
      </c>
      <c r="B1252" s="25"/>
      <c r="C1252" s="357">
        <v>500</v>
      </c>
      <c r="D1252" s="25" t="s">
        <v>189</v>
      </c>
      <c r="E1252" s="191">
        <f>B1190*100/C1252</f>
        <v>0.8</v>
      </c>
      <c r="F1252" s="25" t="s">
        <v>143</v>
      </c>
      <c r="G1252" s="25"/>
      <c r="H1252" s="361" t="s">
        <v>144</v>
      </c>
      <c r="I1252" s="503">
        <f>B1203*10/0.981</f>
        <v>2038735.9836901121</v>
      </c>
      <c r="J1252" s="503"/>
      <c r="K1252" s="35" t="s">
        <v>420</v>
      </c>
      <c r="L1252" s="35"/>
      <c r="M1252" s="35"/>
      <c r="N1252" s="25"/>
    </row>
    <row r="1253" spans="1:14" ht="20.100000000000001" customHeight="1" x14ac:dyDescent="0.25">
      <c r="A1253" s="25"/>
      <c r="B1253" s="25"/>
      <c r="C1253" s="25"/>
      <c r="D1253" s="25"/>
      <c r="E1253" s="25"/>
      <c r="F1253" s="25"/>
      <c r="G1253" s="25"/>
      <c r="H1253" s="35"/>
      <c r="I1253" s="35"/>
      <c r="J1253" s="35"/>
      <c r="K1253" s="35"/>
      <c r="L1253" s="35"/>
      <c r="M1253" s="35"/>
      <c r="N1253" s="25"/>
    </row>
    <row r="1254" spans="1:14" ht="20.100000000000001" customHeight="1" x14ac:dyDescent="0.25">
      <c r="A1254" s="25" t="s">
        <v>460</v>
      </c>
      <c r="B1254" s="25"/>
      <c r="C1254" s="25"/>
      <c r="D1254" s="25"/>
      <c r="E1254" s="190">
        <f>5*I1201*100*(B1190*100)^2/(48*B1203*K1209)</f>
        <v>0.16907894124490985</v>
      </c>
      <c r="F1254" s="25" t="s">
        <v>143</v>
      </c>
      <c r="G1254" s="265" t="str">
        <f>IF(E1254&lt;E1252,"BC","MC")</f>
        <v>BC</v>
      </c>
      <c r="H1254" s="35"/>
      <c r="I1254" s="35"/>
      <c r="J1254" s="35"/>
      <c r="K1254" s="35"/>
      <c r="L1254" s="35"/>
      <c r="M1254" s="35"/>
      <c r="N1254" s="25"/>
    </row>
    <row r="1255" spans="1:14" ht="20.100000000000001" customHeight="1" x14ac:dyDescent="0.25">
      <c r="A1255" s="25"/>
      <c r="B1255" s="25"/>
      <c r="C1255" s="25"/>
      <c r="D1255" s="25"/>
      <c r="E1255" s="25"/>
      <c r="F1255" s="25"/>
      <c r="G1255" s="25"/>
      <c r="H1255" s="35"/>
      <c r="I1255" s="35"/>
      <c r="J1255" s="35"/>
      <c r="K1255" s="35"/>
      <c r="L1255" s="35"/>
      <c r="M1255" s="35"/>
      <c r="N1255" s="25"/>
    </row>
    <row r="1256" spans="1:14" ht="20.100000000000001" customHeight="1" x14ac:dyDescent="0.25">
      <c r="A1256" s="25"/>
      <c r="B1256" s="25"/>
      <c r="C1256" s="25"/>
      <c r="D1256" s="25"/>
      <c r="E1256" s="25"/>
      <c r="F1256" s="25"/>
      <c r="G1256" s="25"/>
      <c r="H1256" s="35"/>
      <c r="I1256" s="35"/>
      <c r="J1256" s="35"/>
      <c r="K1256" s="35"/>
      <c r="L1256" s="35"/>
      <c r="M1256" s="35"/>
      <c r="N1256" s="25"/>
    </row>
    <row r="1257" spans="1:14" ht="20.100000000000001" customHeight="1" x14ac:dyDescent="0.25">
      <c r="A1257" s="25"/>
      <c r="B1257" s="25"/>
      <c r="C1257" s="25"/>
      <c r="D1257" s="25"/>
      <c r="E1257" s="25"/>
      <c r="F1257" s="25"/>
      <c r="G1257" s="25"/>
      <c r="H1257" s="35"/>
      <c r="I1257" s="35"/>
      <c r="J1257" s="35"/>
      <c r="K1257" s="35"/>
      <c r="L1257" s="35"/>
      <c r="M1257" s="35"/>
      <c r="N1257" s="25"/>
    </row>
    <row r="1258" spans="1:14" ht="20.100000000000001" customHeight="1" x14ac:dyDescent="0.25">
      <c r="A1258" s="25"/>
      <c r="B1258" s="25"/>
      <c r="C1258" s="25"/>
      <c r="D1258" s="25"/>
      <c r="E1258" s="25"/>
      <c r="F1258" s="25"/>
      <c r="G1258" s="25"/>
      <c r="H1258" s="35"/>
      <c r="I1258" s="35"/>
      <c r="J1258" s="35"/>
      <c r="K1258" s="35"/>
      <c r="L1258" s="35"/>
      <c r="M1258" s="35"/>
      <c r="N1258" s="25"/>
    </row>
    <row r="1259" spans="1:14" ht="20.100000000000001" customHeight="1" x14ac:dyDescent="0.25">
      <c r="A1259" s="28" t="s">
        <v>848</v>
      </c>
      <c r="B1259" s="25"/>
      <c r="C1259" s="25"/>
      <c r="D1259" s="25"/>
      <c r="E1259" s="25"/>
      <c r="F1259" s="25"/>
      <c r="G1259" s="25"/>
      <c r="H1259" s="35"/>
      <c r="I1259" s="35"/>
      <c r="J1259" s="35"/>
      <c r="K1259" s="35"/>
      <c r="L1259" s="35"/>
      <c r="M1259" s="35"/>
      <c r="N1259" s="25"/>
    </row>
    <row r="1260" spans="1:14" ht="20.100000000000001" customHeight="1" x14ac:dyDescent="0.25">
      <c r="A1260" s="25" t="s">
        <v>774</v>
      </c>
      <c r="B1260" s="25"/>
      <c r="C1260" s="25"/>
      <c r="D1260" s="25"/>
      <c r="E1260" s="25"/>
      <c r="F1260" s="25"/>
      <c r="G1260" s="25"/>
      <c r="H1260" s="35"/>
      <c r="I1260" s="35"/>
      <c r="J1260" s="35"/>
      <c r="K1260" s="35"/>
      <c r="L1260" s="35"/>
      <c r="M1260" s="35"/>
      <c r="N1260" s="25"/>
    </row>
    <row r="1261" spans="1:14" ht="20.100000000000001" customHeight="1" x14ac:dyDescent="0.25">
      <c r="A1261" s="416" t="s">
        <v>124</v>
      </c>
      <c r="B1261" s="418">
        <f>L263</f>
        <v>30</v>
      </c>
      <c r="C1261" s="25" t="s">
        <v>660</v>
      </c>
      <c r="D1261" s="25"/>
      <c r="E1261" s="416" t="s">
        <v>118</v>
      </c>
      <c r="F1261" s="190">
        <f>G15</f>
        <v>4</v>
      </c>
      <c r="G1261" s="25" t="s">
        <v>5</v>
      </c>
      <c r="H1261" s="35"/>
      <c r="I1261" s="35"/>
      <c r="J1261" s="35"/>
      <c r="K1261" s="35"/>
      <c r="L1261" s="35"/>
      <c r="M1261" s="35"/>
      <c r="N1261" s="25"/>
    </row>
    <row r="1262" spans="1:14" ht="20.100000000000001" customHeight="1" x14ac:dyDescent="0.25">
      <c r="A1262" s="25" t="s">
        <v>27</v>
      </c>
      <c r="B1262" s="191">
        <f>L271</f>
        <v>93.311999999999998</v>
      </c>
      <c r="C1262" s="25" t="s">
        <v>660</v>
      </c>
      <c r="D1262" s="25"/>
      <c r="E1262" s="416" t="s">
        <v>57</v>
      </c>
      <c r="F1262" s="190">
        <f>G14</f>
        <v>2</v>
      </c>
      <c r="G1262" s="25" t="s">
        <v>5</v>
      </c>
      <c r="H1262" s="35"/>
      <c r="I1262" s="35"/>
      <c r="J1262" s="35"/>
      <c r="K1262" s="35"/>
      <c r="L1262" s="35"/>
      <c r="M1262" s="35"/>
      <c r="N1262" s="25"/>
    </row>
    <row r="1263" spans="1:14" ht="20.100000000000001" customHeight="1" x14ac:dyDescent="0.25">
      <c r="A1263" s="25" t="s">
        <v>715</v>
      </c>
      <c r="B1263" s="25"/>
      <c r="C1263" s="25"/>
      <c r="D1263" s="39"/>
      <c r="E1263" s="25" t="s">
        <v>780</v>
      </c>
      <c r="F1263" s="25"/>
      <c r="G1263" s="190">
        <f>G1084</f>
        <v>2</v>
      </c>
      <c r="H1263" s="35" t="s">
        <v>5</v>
      </c>
      <c r="I1263" s="35"/>
      <c r="J1263" s="35"/>
      <c r="K1263" s="35"/>
      <c r="L1263" s="35"/>
      <c r="M1263" s="35"/>
      <c r="N1263" s="25"/>
    </row>
    <row r="1264" spans="1:14" ht="20.100000000000001" customHeight="1" x14ac:dyDescent="0.25">
      <c r="A1264" s="505" t="s">
        <v>676</v>
      </c>
      <c r="B1264" s="505"/>
      <c r="C1264" s="333">
        <f>(1.2*B1261+1.6*B1262)*F1261*F1262/2</f>
        <v>741.19680000000005</v>
      </c>
      <c r="D1264" s="28" t="s">
        <v>120</v>
      </c>
      <c r="E1264" s="28" t="s">
        <v>895</v>
      </c>
      <c r="F1264" s="25"/>
      <c r="G1264" s="25"/>
      <c r="H1264" s="35"/>
      <c r="I1264" s="35"/>
      <c r="J1264" s="35"/>
      <c r="K1264" s="35"/>
      <c r="L1264" s="35"/>
      <c r="M1264" s="35"/>
      <c r="N1264" s="25"/>
    </row>
    <row r="1265" spans="1:14" ht="20.100000000000001" customHeight="1" x14ac:dyDescent="0.25">
      <c r="A1265" s="25"/>
      <c r="B1265" s="25"/>
      <c r="C1265" s="25"/>
      <c r="D1265" s="25"/>
      <c r="E1265" s="25"/>
      <c r="F1265" s="25"/>
      <c r="G1265" s="25"/>
      <c r="H1265" s="35"/>
      <c r="I1265" s="35"/>
      <c r="J1265" s="35"/>
      <c r="K1265" s="35"/>
      <c r="L1265" s="35"/>
      <c r="M1265" s="35"/>
      <c r="N1265" s="25"/>
    </row>
    <row r="1266" spans="1:14" ht="20.100000000000001" customHeight="1" x14ac:dyDescent="0.25">
      <c r="A1266" s="28" t="s">
        <v>775</v>
      </c>
      <c r="B1266" s="25"/>
      <c r="C1266" s="25"/>
      <c r="D1266" s="25"/>
      <c r="F1266" s="25" t="s">
        <v>896</v>
      </c>
      <c r="G1266" s="25"/>
      <c r="H1266" s="35"/>
      <c r="I1266" s="35"/>
      <c r="J1266" s="35"/>
      <c r="K1266" s="35"/>
      <c r="L1266" s="35"/>
      <c r="M1266" s="35"/>
      <c r="N1266" s="25"/>
    </row>
    <row r="1267" spans="1:14" ht="20.100000000000001" customHeight="1" x14ac:dyDescent="0.25">
      <c r="A1267" s="25" t="s">
        <v>240</v>
      </c>
      <c r="B1267" s="25"/>
      <c r="C1267" s="25"/>
      <c r="D1267" s="25"/>
      <c r="E1267" s="25" t="s">
        <v>776</v>
      </c>
      <c r="F1267" s="25"/>
      <c r="G1267" s="25"/>
      <c r="H1267" s="35"/>
      <c r="I1267" s="255">
        <v>1</v>
      </c>
      <c r="J1267" s="35" t="s">
        <v>5</v>
      </c>
      <c r="K1267" s="35"/>
      <c r="L1267" s="35"/>
      <c r="M1267" s="35"/>
      <c r="N1267" s="25"/>
    </row>
    <row r="1268" spans="1:14" ht="20.100000000000001" customHeight="1" x14ac:dyDescent="0.25">
      <c r="A1268" s="12" t="s">
        <v>241</v>
      </c>
      <c r="B1268" s="12"/>
      <c r="C1268" s="12"/>
      <c r="D1268" s="324">
        <v>100</v>
      </c>
      <c r="F1268" s="12" t="s">
        <v>634</v>
      </c>
      <c r="G1268" s="282">
        <v>10.6</v>
      </c>
      <c r="H1268" s="50" t="s">
        <v>242</v>
      </c>
      <c r="I1268" s="35"/>
      <c r="J1268" s="35"/>
      <c r="K1268" s="35"/>
      <c r="L1268" s="35"/>
      <c r="M1268" s="35"/>
      <c r="N1268" s="25"/>
    </row>
    <row r="1269" spans="1:14" ht="20.100000000000001" customHeight="1" x14ac:dyDescent="0.25">
      <c r="A1269" s="214" t="s">
        <v>243</v>
      </c>
      <c r="B1269" s="214"/>
      <c r="C1269" s="325">
        <v>10</v>
      </c>
      <c r="D1269" s="214" t="s">
        <v>546</v>
      </c>
      <c r="E1269" s="214"/>
      <c r="F1269" s="214"/>
      <c r="G1269" s="214">
        <f>C1269*I1267</f>
        <v>10</v>
      </c>
      <c r="H1269" s="215" t="s">
        <v>242</v>
      </c>
      <c r="I1269" s="35"/>
      <c r="J1269" s="35"/>
      <c r="K1269" s="35"/>
      <c r="L1269" s="35"/>
      <c r="M1269" s="35"/>
      <c r="N1269" s="25"/>
    </row>
    <row r="1270" spans="1:14" ht="20.100000000000001" customHeight="1" x14ac:dyDescent="0.25">
      <c r="A1270" s="28" t="s">
        <v>106</v>
      </c>
      <c r="B1270" s="25"/>
      <c r="C1270" s="25"/>
      <c r="D1270" s="25"/>
      <c r="E1270" s="25"/>
      <c r="F1270" s="416" t="s">
        <v>244</v>
      </c>
      <c r="G1270" s="191">
        <f>G1268+G1269</f>
        <v>20.6</v>
      </c>
      <c r="H1270" s="35" t="s">
        <v>242</v>
      </c>
      <c r="I1270" s="500" t="s">
        <v>777</v>
      </c>
      <c r="J1270" s="500"/>
      <c r="K1270" s="422">
        <f>1.2*G1270*G1263</f>
        <v>49.440000000000005</v>
      </c>
      <c r="L1270" s="21" t="s">
        <v>122</v>
      </c>
      <c r="M1270" s="35"/>
      <c r="N1270" s="25"/>
    </row>
    <row r="1271" spans="1:14" ht="20.100000000000001" customHeight="1" x14ac:dyDescent="0.25">
      <c r="A1271" s="28"/>
      <c r="B1271" s="25"/>
      <c r="C1271" s="25"/>
      <c r="D1271" s="25"/>
      <c r="E1271" s="25"/>
      <c r="F1271" s="416"/>
      <c r="G1271" s="191"/>
      <c r="H1271" s="35"/>
      <c r="I1271" s="414"/>
      <c r="J1271" s="414"/>
      <c r="K1271" s="218"/>
      <c r="L1271" s="35"/>
      <c r="M1271" s="35"/>
      <c r="N1271" s="25"/>
    </row>
    <row r="1272" spans="1:14" ht="20.100000000000001" customHeight="1" x14ac:dyDescent="0.25">
      <c r="A1272" s="28" t="s">
        <v>860</v>
      </c>
      <c r="B1272" s="25"/>
      <c r="C1272" s="25"/>
      <c r="D1272" s="25"/>
      <c r="E1272" s="416" t="s">
        <v>861</v>
      </c>
      <c r="F1272" s="71">
        <f>I1200</f>
        <v>6.4366840000000014</v>
      </c>
      <c r="G1272" s="39" t="s">
        <v>195</v>
      </c>
      <c r="H1272" s="35" t="s">
        <v>897</v>
      </c>
      <c r="I1272" s="414"/>
      <c r="J1272" s="414"/>
      <c r="K1272" s="218"/>
      <c r="L1272" s="35"/>
      <c r="M1272" s="35"/>
      <c r="N1272" s="25"/>
    </row>
    <row r="1273" spans="1:14" ht="20.100000000000001" customHeight="1" x14ac:dyDescent="0.25">
      <c r="A1273" s="28"/>
      <c r="B1273" s="25"/>
      <c r="C1273" s="25"/>
      <c r="D1273" s="25"/>
      <c r="E1273" s="416" t="s">
        <v>862</v>
      </c>
      <c r="F1273" s="71">
        <f>M1200</f>
        <v>4.0193946240721399</v>
      </c>
      <c r="G1273" s="191" t="s">
        <v>195</v>
      </c>
      <c r="H1273" s="35"/>
      <c r="I1273" s="414"/>
      <c r="J1273" s="414"/>
      <c r="K1273" s="218"/>
      <c r="L1273" s="35"/>
      <c r="M1273" s="35"/>
      <c r="N1273" s="25"/>
    </row>
    <row r="1274" spans="1:14" ht="20.100000000000001" customHeight="1" x14ac:dyDescent="0.25">
      <c r="A1274" s="28"/>
      <c r="B1274" s="25"/>
      <c r="C1274" s="25"/>
      <c r="D1274" s="25"/>
      <c r="E1274" s="433"/>
      <c r="F1274" s="71"/>
      <c r="G1274" s="191"/>
      <c r="H1274" s="35"/>
      <c r="I1274" s="428"/>
      <c r="J1274" s="428"/>
      <c r="K1274" s="218"/>
      <c r="L1274" s="35"/>
      <c r="M1274" s="35"/>
      <c r="N1274" s="25"/>
    </row>
    <row r="1275" spans="1:14" ht="20.100000000000001" customHeight="1" x14ac:dyDescent="0.25">
      <c r="A1275" s="28" t="s">
        <v>245</v>
      </c>
      <c r="B1275" s="25"/>
      <c r="C1275" s="25"/>
      <c r="E1275" s="25" t="s">
        <v>898</v>
      </c>
      <c r="F1275" s="25"/>
      <c r="G1275" s="25"/>
      <c r="H1275" s="35"/>
      <c r="I1275" s="35"/>
      <c r="J1275" s="35"/>
      <c r="K1275" s="218"/>
      <c r="L1275" s="35"/>
      <c r="M1275" s="35"/>
      <c r="N1275" s="25"/>
    </row>
    <row r="1276" spans="1:14" ht="20.100000000000001" customHeight="1" x14ac:dyDescent="0.25">
      <c r="A1276" s="25" t="s">
        <v>246</v>
      </c>
      <c r="B1276" s="25"/>
      <c r="C1276" s="130">
        <f>-G275</f>
        <v>107.5184853496432</v>
      </c>
      <c r="D1276" s="25" t="s">
        <v>366</v>
      </c>
      <c r="E1276" s="25"/>
      <c r="F1276" s="416" t="s">
        <v>247</v>
      </c>
      <c r="G1276" s="418">
        <f>C1276*I1267</f>
        <v>107.5184853496432</v>
      </c>
      <c r="H1276" s="35" t="s">
        <v>242</v>
      </c>
      <c r="I1276" s="500" t="s">
        <v>249</v>
      </c>
      <c r="J1276" s="500"/>
      <c r="K1276" s="422">
        <f>1.5*G1276*G1263</f>
        <v>322.55545604892961</v>
      </c>
      <c r="L1276" s="21" t="s">
        <v>120</v>
      </c>
      <c r="M1276" s="35"/>
      <c r="N1276" s="25"/>
    </row>
    <row r="1277" spans="1:14" ht="20.100000000000001" customHeight="1" x14ac:dyDescent="0.25">
      <c r="A1277" s="25"/>
      <c r="B1277" s="25"/>
      <c r="C1277" s="25"/>
      <c r="D1277" s="25"/>
      <c r="E1277" s="25"/>
      <c r="F1277" s="25"/>
      <c r="G1277" s="25"/>
      <c r="H1277" s="35"/>
      <c r="I1277" s="35"/>
      <c r="J1277" s="35"/>
      <c r="K1277" s="35"/>
      <c r="L1277" s="35"/>
      <c r="M1277" s="35"/>
      <c r="N1277" s="25"/>
    </row>
    <row r="1278" spans="1:14" ht="20.100000000000001" customHeight="1" x14ac:dyDescent="0.25">
      <c r="A1278" s="28" t="s">
        <v>899</v>
      </c>
      <c r="B1278" s="25"/>
      <c r="C1278" s="25"/>
      <c r="D1278" s="25"/>
      <c r="E1278" s="25"/>
      <c r="F1278" s="373"/>
      <c r="G1278" s="25"/>
      <c r="H1278" s="35"/>
      <c r="I1278" s="35"/>
      <c r="J1278" s="35"/>
      <c r="K1278" s="35"/>
      <c r="L1278" s="35"/>
      <c r="M1278" s="35"/>
      <c r="N1278" s="25"/>
    </row>
    <row r="1279" spans="1:14" ht="20.100000000000001" customHeight="1" x14ac:dyDescent="0.25">
      <c r="A1279" s="25" t="s">
        <v>779</v>
      </c>
      <c r="B1279" s="130">
        <f>C1264</f>
        <v>741.19680000000005</v>
      </c>
      <c r="C1279" s="25" t="s">
        <v>122</v>
      </c>
      <c r="D1279" s="25"/>
      <c r="E1279" s="416" t="s">
        <v>781</v>
      </c>
      <c r="F1279" s="25">
        <v>0.76</v>
      </c>
      <c r="G1279" s="25" t="s">
        <v>5</v>
      </c>
      <c r="J1279" s="287" t="s">
        <v>864</v>
      </c>
      <c r="K1279" s="423">
        <f>(K1276*(10*F1289+9*F1288+8*F1287+7*F1286+6*F1285+5*F1284+4*F1283+3*F1282+2*F1281+F1280)+(F1273*(F1289+F1288+F1287+F1286+F1285)))/F1290</f>
        <v>1635.2112612099556</v>
      </c>
      <c r="L1279" s="254" t="s">
        <v>122</v>
      </c>
      <c r="M1279" s="35"/>
      <c r="N1279" s="25"/>
    </row>
    <row r="1280" spans="1:14" ht="20.100000000000001" customHeight="1" x14ac:dyDescent="0.25">
      <c r="A1280" s="25" t="s">
        <v>679</v>
      </c>
      <c r="B1280" s="130">
        <f>B1279+$K$1270</f>
        <v>790.63680000000011</v>
      </c>
      <c r="C1280" s="25" t="s">
        <v>122</v>
      </c>
      <c r="D1280" s="25"/>
      <c r="E1280" s="416" t="s">
        <v>783</v>
      </c>
      <c r="F1280" s="190">
        <v>0.76</v>
      </c>
      <c r="G1280" s="25" t="s">
        <v>5</v>
      </c>
      <c r="I1280" s="2"/>
      <c r="J1280" s="287" t="s">
        <v>865</v>
      </c>
      <c r="K1280" s="424">
        <f>(K1276*(10*F1279+9*F1280+8*F1281+7*F1282+6*F1283+5*F1284+4*F1285+3*F1286+2*F1287+F1288)+(F1273*(F1279+F1280+F1281+F1282+F1283+F1284)))/F1290</f>
        <v>1594.3626939034129</v>
      </c>
      <c r="L1280" s="254" t="s">
        <v>122</v>
      </c>
      <c r="M1280" s="218"/>
      <c r="N1280" s="25"/>
    </row>
    <row r="1281" spans="1:14" ht="20.100000000000001" customHeight="1" x14ac:dyDescent="0.25">
      <c r="A1281" s="25" t="s">
        <v>680</v>
      </c>
      <c r="B1281" s="130">
        <f>B1280+$K$1270</f>
        <v>840.07680000000016</v>
      </c>
      <c r="C1281" s="25" t="s">
        <v>122</v>
      </c>
      <c r="D1281" s="25"/>
      <c r="E1281" s="416" t="s">
        <v>853</v>
      </c>
      <c r="F1281" s="25">
        <v>0.76</v>
      </c>
      <c r="G1281" s="25" t="s">
        <v>5</v>
      </c>
      <c r="H1281" s="35"/>
      <c r="I1281" s="35"/>
      <c r="J1281" s="287" t="s">
        <v>866</v>
      </c>
      <c r="K1281" s="424">
        <f>K1279*(F1279+F1280+F1281+F1282+F1283)-K1276*(4*F1283+3*F1282+2*F1281+F1280)</f>
        <v>3776.1809041065358</v>
      </c>
      <c r="L1281" s="254" t="s">
        <v>251</v>
      </c>
      <c r="M1281" s="35"/>
      <c r="N1281" s="25"/>
    </row>
    <row r="1282" spans="1:14" ht="20.100000000000001" customHeight="1" x14ac:dyDescent="0.25">
      <c r="A1282" s="25" t="s">
        <v>681</v>
      </c>
      <c r="B1282" s="130">
        <f>B1281+$K$1270</f>
        <v>889.51680000000022</v>
      </c>
      <c r="C1282" s="25" t="s">
        <v>122</v>
      </c>
      <c r="D1282" s="25"/>
      <c r="E1282" s="258" t="s">
        <v>784</v>
      </c>
      <c r="F1282" s="30">
        <v>0.76</v>
      </c>
      <c r="G1282" s="30" t="s">
        <v>5</v>
      </c>
      <c r="H1282" s="35"/>
      <c r="I1282" s="35"/>
      <c r="J1282" s="35"/>
      <c r="K1282" s="35"/>
      <c r="L1282" s="35"/>
      <c r="M1282" s="35"/>
      <c r="N1282" s="25"/>
    </row>
    <row r="1283" spans="1:14" ht="20.100000000000001" customHeight="1" x14ac:dyDescent="0.25">
      <c r="A1283" s="25" t="s">
        <v>682</v>
      </c>
      <c r="B1283" s="130">
        <f t="shared" ref="B1283:B1290" si="20">B1282+$K$1270</f>
        <v>938.95680000000027</v>
      </c>
      <c r="C1283" s="25" t="s">
        <v>122</v>
      </c>
      <c r="D1283" s="25"/>
      <c r="E1283" s="258" t="s">
        <v>785</v>
      </c>
      <c r="F1283" s="425">
        <v>0.8</v>
      </c>
      <c r="G1283" s="30" t="s">
        <v>5</v>
      </c>
      <c r="H1283" s="35"/>
      <c r="I1283" s="35" t="s">
        <v>791</v>
      </c>
      <c r="J1283" s="218">
        <f>K1279</f>
        <v>1635.2112612099556</v>
      </c>
      <c r="K1283" s="35" t="s">
        <v>120</v>
      </c>
      <c r="L1283" s="35" t="s">
        <v>791</v>
      </c>
      <c r="M1283" s="218">
        <f>J1290-$K$1276</f>
        <v>-543.29292477426748</v>
      </c>
      <c r="N1283" s="35" t="s">
        <v>120</v>
      </c>
    </row>
    <row r="1284" spans="1:14" ht="20.100000000000001" customHeight="1" x14ac:dyDescent="0.25">
      <c r="A1284" s="25" t="s">
        <v>683</v>
      </c>
      <c r="B1284" s="130">
        <f t="shared" si="20"/>
        <v>988.39680000000033</v>
      </c>
      <c r="C1284" s="25" t="s">
        <v>122</v>
      </c>
      <c r="D1284" s="25"/>
      <c r="E1284" s="416" t="s">
        <v>786</v>
      </c>
      <c r="F1284" s="190">
        <v>0.6</v>
      </c>
      <c r="G1284" s="25" t="s">
        <v>5</v>
      </c>
      <c r="H1284" s="35"/>
      <c r="I1284" s="35" t="s">
        <v>707</v>
      </c>
      <c r="J1284" s="218">
        <f>J1283-$K$1276</f>
        <v>1312.6558051610259</v>
      </c>
      <c r="K1284" s="35" t="s">
        <v>120</v>
      </c>
      <c r="L1284" s="35" t="s">
        <v>707</v>
      </c>
      <c r="M1284" s="218">
        <f>M1283-$K$1276</f>
        <v>-865.84838082319709</v>
      </c>
      <c r="N1284" s="35" t="s">
        <v>120</v>
      </c>
    </row>
    <row r="1285" spans="1:14" ht="20.100000000000001" customHeight="1" x14ac:dyDescent="0.25">
      <c r="A1285" s="28" t="s">
        <v>859</v>
      </c>
      <c r="B1285" s="208">
        <f>B1284+$K$1270+F1272*100</f>
        <v>1681.5052000000005</v>
      </c>
      <c r="C1285" s="28" t="s">
        <v>122</v>
      </c>
      <c r="D1285" s="25"/>
      <c r="E1285" s="416" t="s">
        <v>787</v>
      </c>
      <c r="F1285" s="190">
        <v>1</v>
      </c>
      <c r="G1285" s="25" t="s">
        <v>5</v>
      </c>
      <c r="H1285" s="35"/>
      <c r="I1285" s="35" t="s">
        <v>708</v>
      </c>
      <c r="J1285" s="218">
        <f t="shared" ref="J1285:J1288" si="21">J1284-$K$1276</f>
        <v>990.1003491120963</v>
      </c>
      <c r="K1285" s="35" t="s">
        <v>120</v>
      </c>
      <c r="L1285" s="35" t="s">
        <v>708</v>
      </c>
      <c r="M1285" s="218">
        <f t="shared" ref="M1285:M1286" si="22">M1284-$K$1276</f>
        <v>-1188.4038368721267</v>
      </c>
      <c r="N1285" s="35" t="s">
        <v>120</v>
      </c>
    </row>
    <row r="1286" spans="1:14" ht="20.100000000000001" customHeight="1" x14ac:dyDescent="0.25">
      <c r="A1286" s="25" t="s">
        <v>685</v>
      </c>
      <c r="B1286" s="130">
        <f t="shared" si="20"/>
        <v>1730.9452000000006</v>
      </c>
      <c r="C1286" s="25" t="s">
        <v>122</v>
      </c>
      <c r="D1286" s="25"/>
      <c r="E1286" s="416" t="s">
        <v>849</v>
      </c>
      <c r="F1286" s="190">
        <v>1</v>
      </c>
      <c r="G1286" s="25" t="s">
        <v>5</v>
      </c>
      <c r="H1286" s="35"/>
      <c r="I1286" s="35" t="s">
        <v>709</v>
      </c>
      <c r="J1286" s="218">
        <f t="shared" si="21"/>
        <v>667.54489306316668</v>
      </c>
      <c r="K1286" s="35" t="s">
        <v>120</v>
      </c>
      <c r="L1286" s="35" t="s">
        <v>709</v>
      </c>
      <c r="M1286" s="218">
        <f t="shared" si="22"/>
        <v>-1510.9592929210562</v>
      </c>
      <c r="N1286" s="35" t="s">
        <v>120</v>
      </c>
    </row>
    <row r="1287" spans="1:14" ht="20.100000000000001" customHeight="1" x14ac:dyDescent="0.25">
      <c r="A1287" s="25" t="s">
        <v>854</v>
      </c>
      <c r="B1287" s="130">
        <f t="shared" si="20"/>
        <v>1780.3852000000006</v>
      </c>
      <c r="C1287" s="25" t="s">
        <v>122</v>
      </c>
      <c r="D1287" s="25"/>
      <c r="E1287" s="416" t="s">
        <v>850</v>
      </c>
      <c r="F1287" s="190">
        <v>1</v>
      </c>
      <c r="G1287" s="25" t="s">
        <v>5</v>
      </c>
      <c r="H1287" s="35"/>
      <c r="I1287" s="35" t="s">
        <v>710</v>
      </c>
      <c r="J1287" s="218">
        <f t="shared" si="21"/>
        <v>344.98943701423707</v>
      </c>
      <c r="K1287" s="25" t="s">
        <v>120</v>
      </c>
      <c r="L1287" s="35"/>
      <c r="M1287" s="218"/>
      <c r="N1287" s="25"/>
    </row>
    <row r="1288" spans="1:14" ht="20.100000000000001" customHeight="1" x14ac:dyDescent="0.25">
      <c r="A1288" s="25" t="s">
        <v>855</v>
      </c>
      <c r="B1288" s="130">
        <f t="shared" si="20"/>
        <v>1829.8252000000007</v>
      </c>
      <c r="C1288" s="25" t="s">
        <v>122</v>
      </c>
      <c r="D1288" s="25"/>
      <c r="E1288" s="416" t="s">
        <v>851</v>
      </c>
      <c r="F1288" s="190">
        <v>1</v>
      </c>
      <c r="G1288" s="25" t="s">
        <v>5</v>
      </c>
      <c r="H1288" s="35"/>
      <c r="I1288" s="35" t="s">
        <v>711</v>
      </c>
      <c r="J1288" s="218">
        <f t="shared" si="21"/>
        <v>22.433980965307455</v>
      </c>
      <c r="K1288" s="25" t="s">
        <v>120</v>
      </c>
      <c r="L1288" s="35"/>
      <c r="M1288" s="218"/>
      <c r="N1288" s="25"/>
    </row>
    <row r="1289" spans="1:14" ht="20.100000000000001" customHeight="1" x14ac:dyDescent="0.25">
      <c r="A1289" s="25" t="s">
        <v>856</v>
      </c>
      <c r="B1289" s="130">
        <f t="shared" si="20"/>
        <v>1879.2652000000007</v>
      </c>
      <c r="C1289" s="25" t="s">
        <v>122</v>
      </c>
      <c r="D1289" s="25"/>
      <c r="E1289" s="416" t="s">
        <v>852</v>
      </c>
      <c r="F1289" s="190">
        <v>0.4</v>
      </c>
      <c r="G1289" s="25" t="s">
        <v>5</v>
      </c>
      <c r="H1289" s="35"/>
      <c r="I1289" s="21" t="s">
        <v>863</v>
      </c>
      <c r="J1289" s="422">
        <f>J1288-$K$1276+F1273*100</f>
        <v>101.81798732359181</v>
      </c>
      <c r="K1289" s="28" t="s">
        <v>120</v>
      </c>
      <c r="L1289" s="35"/>
      <c r="M1289" s="218"/>
      <c r="N1289" s="25"/>
    </row>
    <row r="1290" spans="1:14" ht="20.100000000000001" customHeight="1" x14ac:dyDescent="0.25">
      <c r="A1290" s="25" t="s">
        <v>857</v>
      </c>
      <c r="B1290" s="130">
        <f t="shared" si="20"/>
        <v>1928.7052000000008</v>
      </c>
      <c r="C1290" s="25" t="s">
        <v>122</v>
      </c>
      <c r="D1290" s="25"/>
      <c r="E1290" s="416" t="s">
        <v>858</v>
      </c>
      <c r="F1290" s="190">
        <f>SUM(F1279:F1289)</f>
        <v>8.84</v>
      </c>
      <c r="G1290" s="25" t="s">
        <v>5</v>
      </c>
      <c r="H1290" s="35"/>
      <c r="I1290" s="35" t="s">
        <v>713</v>
      </c>
      <c r="J1290" s="218">
        <f>J1289-$K$1276</f>
        <v>-220.73746872533781</v>
      </c>
      <c r="K1290" s="25" t="s">
        <v>120</v>
      </c>
      <c r="L1290" s="35"/>
      <c r="M1290" s="218"/>
      <c r="N1290" s="25"/>
    </row>
    <row r="1291" spans="1:14" ht="20.100000000000001" customHeight="1" x14ac:dyDescent="0.25">
      <c r="A1291" s="25"/>
      <c r="B1291" s="130"/>
      <c r="C1291" s="25"/>
      <c r="D1291" s="25"/>
      <c r="E1291" s="421"/>
      <c r="F1291" s="190"/>
      <c r="G1291" s="25"/>
      <c r="H1291" s="35"/>
      <c r="I1291" s="35"/>
      <c r="J1291" s="218"/>
      <c r="K1291" s="25"/>
      <c r="L1291" s="35"/>
      <c r="M1291" s="218"/>
      <c r="N1291" s="25"/>
    </row>
    <row r="1292" spans="1:14" ht="20.100000000000001" customHeight="1" x14ac:dyDescent="0.25">
      <c r="A1292" s="369" t="s">
        <v>867</v>
      </c>
      <c r="B1292" s="424"/>
      <c r="C1292" s="287"/>
      <c r="D1292" s="287"/>
      <c r="E1292" s="442"/>
      <c r="F1292" s="397"/>
      <c r="G1292" s="287"/>
      <c r="H1292" s="254"/>
      <c r="I1292" s="254"/>
      <c r="J1292" s="423"/>
      <c r="K1292" s="287"/>
      <c r="L1292" s="254"/>
      <c r="M1292" s="436"/>
      <c r="N1292" s="435"/>
    </row>
    <row r="1293" spans="1:14" ht="20.100000000000001" customHeight="1" x14ac:dyDescent="0.25">
      <c r="A1293" s="287" t="s">
        <v>879</v>
      </c>
      <c r="B1293" s="424"/>
      <c r="C1293" s="287"/>
      <c r="D1293" s="287" t="s">
        <v>880</v>
      </c>
      <c r="E1293" s="442"/>
      <c r="F1293" s="397"/>
      <c r="G1293" s="287" t="s">
        <v>873</v>
      </c>
      <c r="H1293" s="254"/>
      <c r="I1293" s="254"/>
      <c r="J1293" s="423"/>
      <c r="K1293" s="287"/>
      <c r="L1293" s="254"/>
      <c r="M1293" s="436"/>
      <c r="N1293" s="435"/>
    </row>
    <row r="1294" spans="1:14" ht="20.100000000000001" customHeight="1" x14ac:dyDescent="0.25">
      <c r="A1294" s="287" t="s">
        <v>881</v>
      </c>
      <c r="B1294" s="424"/>
      <c r="C1294" s="287"/>
      <c r="D1294" s="287" t="s">
        <v>882</v>
      </c>
      <c r="E1294" s="442"/>
      <c r="F1294" s="397"/>
      <c r="G1294" s="287" t="s">
        <v>208</v>
      </c>
      <c r="H1294" s="254"/>
      <c r="I1294" s="254"/>
      <c r="J1294" s="423"/>
      <c r="K1294" s="287"/>
      <c r="L1294" s="254"/>
      <c r="M1294" s="436"/>
      <c r="N1294" s="435"/>
    </row>
    <row r="1295" spans="1:14" ht="20.100000000000001" customHeight="1" x14ac:dyDescent="0.25">
      <c r="A1295" s="442" t="s">
        <v>883</v>
      </c>
      <c r="B1295" s="397">
        <v>1.3</v>
      </c>
      <c r="C1295" s="287" t="s">
        <v>874</v>
      </c>
      <c r="D1295" s="370"/>
      <c r="E1295" s="370"/>
      <c r="F1295" s="397"/>
      <c r="G1295" s="287" t="s">
        <v>884</v>
      </c>
      <c r="H1295" s="287">
        <v>1700</v>
      </c>
      <c r="I1295" s="442" t="s">
        <v>885</v>
      </c>
      <c r="J1295" s="423"/>
      <c r="K1295" s="287"/>
      <c r="L1295" s="254"/>
      <c r="M1295" s="436"/>
      <c r="N1295" s="435"/>
    </row>
    <row r="1296" spans="1:14" ht="20.100000000000001" customHeight="1" x14ac:dyDescent="0.25">
      <c r="A1296" s="287"/>
      <c r="B1296" s="424"/>
      <c r="C1296" s="370"/>
      <c r="D1296" s="370"/>
      <c r="E1296" s="370"/>
      <c r="F1296" s="397"/>
      <c r="G1296" s="287"/>
      <c r="H1296" s="287"/>
      <c r="I1296" s="442"/>
      <c r="J1296" s="423"/>
      <c r="K1296" s="287"/>
      <c r="L1296" s="254"/>
      <c r="M1296" s="436"/>
      <c r="N1296" s="435"/>
    </row>
    <row r="1297" spans="1:14" ht="20.100000000000001" customHeight="1" x14ac:dyDescent="0.25">
      <c r="A1297" s="287" t="s">
        <v>886</v>
      </c>
      <c r="B1297" s="370"/>
      <c r="C1297" s="370"/>
      <c r="D1297" s="424">
        <f>K1281*100/H1295</f>
        <v>222.12828847685503</v>
      </c>
      <c r="E1297" s="443" t="s">
        <v>887</v>
      </c>
      <c r="F1297" s="397"/>
      <c r="G1297" s="287"/>
      <c r="H1297" s="254"/>
      <c r="I1297" s="254"/>
      <c r="J1297" s="423"/>
      <c r="K1297" s="287"/>
      <c r="L1297" s="254"/>
      <c r="M1297" s="436"/>
      <c r="N1297" s="435"/>
    </row>
    <row r="1298" spans="1:14" ht="20.100000000000001" customHeight="1" x14ac:dyDescent="0.25">
      <c r="A1298" s="287"/>
      <c r="B1298" s="424"/>
      <c r="C1298" s="287" t="s">
        <v>888</v>
      </c>
      <c r="D1298" s="397">
        <f>B1295*B1290/H1295</f>
        <v>1.4748922117647065</v>
      </c>
      <c r="E1298" s="443" t="s">
        <v>889</v>
      </c>
      <c r="F1298" s="397"/>
      <c r="G1298" s="287"/>
      <c r="H1298" s="254"/>
      <c r="I1298" s="254"/>
      <c r="J1298" s="423"/>
      <c r="K1298" s="287"/>
      <c r="L1298" s="254"/>
      <c r="M1298" s="436"/>
      <c r="N1298" s="435"/>
    </row>
    <row r="1299" spans="1:14" ht="20.100000000000001" customHeight="1" x14ac:dyDescent="0.25">
      <c r="A1299" s="287"/>
      <c r="B1299" s="424"/>
      <c r="C1299" s="287"/>
      <c r="D1299" s="287"/>
      <c r="E1299" s="442"/>
      <c r="F1299" s="397"/>
      <c r="G1299" s="287"/>
      <c r="H1299" s="254"/>
      <c r="I1299" s="254"/>
      <c r="J1299" s="423"/>
      <c r="K1299" s="287"/>
      <c r="L1299" s="254"/>
      <c r="M1299" s="436"/>
      <c r="N1299" s="435"/>
    </row>
    <row r="1300" spans="1:14" ht="20.100000000000001" customHeight="1" x14ac:dyDescent="0.25">
      <c r="A1300" s="287" t="s">
        <v>868</v>
      </c>
      <c r="B1300" s="424"/>
      <c r="C1300" s="287"/>
      <c r="D1300" s="287" t="s">
        <v>890</v>
      </c>
      <c r="E1300" s="446">
        <v>150</v>
      </c>
      <c r="F1300" s="397">
        <f>F1290*100/E1300</f>
        <v>5.8933333333333335</v>
      </c>
      <c r="G1300" s="287" t="s">
        <v>143</v>
      </c>
      <c r="H1300" s="254"/>
      <c r="I1300" s="254"/>
      <c r="J1300" s="423" t="s">
        <v>891</v>
      </c>
      <c r="K1300" s="287">
        <f>10*K1276/F1290</f>
        <v>364.88173761191132</v>
      </c>
      <c r="L1300" s="254" t="s">
        <v>242</v>
      </c>
      <c r="M1300" s="436"/>
      <c r="N1300" s="435"/>
    </row>
    <row r="1301" spans="1:14" ht="20.100000000000001" customHeight="1" x14ac:dyDescent="0.25">
      <c r="A1301" s="287" t="s">
        <v>892</v>
      </c>
      <c r="B1301" s="424"/>
      <c r="C1301" s="287"/>
      <c r="D1301" s="287"/>
      <c r="E1301" s="370"/>
      <c r="F1301" s="397"/>
      <c r="G1301" s="287"/>
      <c r="H1301" s="254"/>
      <c r="I1301" s="254"/>
      <c r="J1301" s="423"/>
      <c r="K1301" s="287"/>
      <c r="L1301" s="254"/>
      <c r="M1301" s="436"/>
      <c r="N1301" s="435"/>
    </row>
    <row r="1302" spans="1:14" ht="20.100000000000001" customHeight="1" x14ac:dyDescent="0.25">
      <c r="A1302" s="287"/>
      <c r="B1302" s="444" t="s">
        <v>893</v>
      </c>
      <c r="C1302" s="287"/>
      <c r="D1302" s="287"/>
      <c r="E1302" s="370"/>
      <c r="F1302" s="424">
        <f>5*K1300*(F1290*100)^4/(384*2100000*100*F1300)</f>
        <v>2344.3349745365731</v>
      </c>
      <c r="G1302" s="287" t="s">
        <v>894</v>
      </c>
      <c r="H1302" s="445"/>
      <c r="I1302" s="254"/>
      <c r="J1302" s="423"/>
      <c r="K1302" s="287"/>
      <c r="L1302" s="254"/>
      <c r="M1302" s="436"/>
      <c r="N1302" s="435"/>
    </row>
    <row r="1303" spans="1:14" ht="20.100000000000001" customHeight="1" x14ac:dyDescent="0.25">
      <c r="A1303" s="25"/>
      <c r="B1303" s="25"/>
      <c r="C1303" s="25"/>
      <c r="D1303" s="25"/>
      <c r="H1303" s="35"/>
      <c r="K1303" s="35"/>
      <c r="L1303" s="35"/>
      <c r="M1303" s="35"/>
      <c r="N1303" s="25"/>
    </row>
    <row r="1304" spans="1:14" ht="20.100000000000001" customHeight="1" x14ac:dyDescent="0.25">
      <c r="A1304" s="498" t="s">
        <v>792</v>
      </c>
      <c r="B1304" s="498"/>
      <c r="C1304" s="498"/>
      <c r="D1304" s="419">
        <v>220</v>
      </c>
      <c r="E1304" s="35"/>
      <c r="F1304" s="35"/>
      <c r="G1304" s="35"/>
      <c r="H1304" s="35"/>
      <c r="I1304" s="35"/>
      <c r="N1304" s="25"/>
    </row>
    <row r="1305" spans="1:14" ht="20.100000000000001" customHeight="1" x14ac:dyDescent="0.25">
      <c r="A1305" s="25"/>
      <c r="C1305" s="25" t="s">
        <v>562</v>
      </c>
      <c r="D1305" s="26">
        <v>39.5</v>
      </c>
      <c r="E1305" s="35" t="s">
        <v>433</v>
      </c>
      <c r="F1305" s="35"/>
      <c r="G1305" s="25" t="s">
        <v>651</v>
      </c>
      <c r="H1305" s="267">
        <v>1.22</v>
      </c>
      <c r="I1305" s="35" t="s">
        <v>143</v>
      </c>
      <c r="J1305" s="35"/>
      <c r="N1305" s="25"/>
    </row>
    <row r="1306" spans="1:14" ht="20.100000000000001" customHeight="1" x14ac:dyDescent="0.25">
      <c r="A1306" s="25"/>
      <c r="C1306" s="25" t="s">
        <v>264</v>
      </c>
      <c r="D1306" s="26">
        <v>3060</v>
      </c>
      <c r="E1306" s="35" t="s">
        <v>426</v>
      </c>
      <c r="F1306" s="35"/>
      <c r="G1306" s="35" t="s">
        <v>564</v>
      </c>
      <c r="H1306" s="44">
        <v>0.81</v>
      </c>
      <c r="I1306" s="35" t="s">
        <v>143</v>
      </c>
      <c r="J1306" s="35"/>
      <c r="N1306" s="25"/>
    </row>
    <row r="1307" spans="1:14" ht="20.100000000000001" customHeight="1" x14ac:dyDescent="0.25">
      <c r="A1307" s="25"/>
      <c r="C1307" s="25" t="s">
        <v>171</v>
      </c>
      <c r="D1307" s="26">
        <v>278</v>
      </c>
      <c r="E1307" s="35" t="s">
        <v>754</v>
      </c>
      <c r="F1307" s="35"/>
      <c r="G1307" s="35" t="s">
        <v>640</v>
      </c>
      <c r="H1307" s="44">
        <v>324</v>
      </c>
      <c r="I1307" s="35" t="s">
        <v>754</v>
      </c>
      <c r="J1307" s="35"/>
      <c r="N1307" s="25"/>
    </row>
    <row r="1308" spans="1:14" ht="20.100000000000001" customHeight="1" x14ac:dyDescent="0.25">
      <c r="A1308" s="25"/>
      <c r="C1308" s="25" t="s">
        <v>265</v>
      </c>
      <c r="D1308" s="26">
        <v>8.8000000000000007</v>
      </c>
      <c r="E1308" s="35" t="s">
        <v>143</v>
      </c>
      <c r="F1308" s="35"/>
      <c r="G1308" s="35" t="s">
        <v>169</v>
      </c>
      <c r="H1308" s="44">
        <v>235</v>
      </c>
      <c r="I1308" s="35" t="s">
        <v>275</v>
      </c>
      <c r="J1308" s="35"/>
      <c r="N1308" s="25"/>
    </row>
    <row r="1309" spans="1:14" ht="20.100000000000001" customHeight="1" x14ac:dyDescent="0.25">
      <c r="A1309" s="25"/>
      <c r="C1309" s="25" t="s">
        <v>173</v>
      </c>
      <c r="D1309" s="26">
        <v>22</v>
      </c>
      <c r="E1309" s="35" t="s">
        <v>143</v>
      </c>
      <c r="F1309" s="35"/>
      <c r="G1309" s="35" t="s">
        <v>144</v>
      </c>
      <c r="H1309" s="497">
        <v>200000</v>
      </c>
      <c r="I1309" s="497"/>
      <c r="J1309" s="35" t="s">
        <v>275</v>
      </c>
      <c r="N1309" s="25"/>
    </row>
    <row r="1310" spans="1:14" ht="20.100000000000001" customHeight="1" x14ac:dyDescent="0.25">
      <c r="A1310" s="25"/>
      <c r="C1310" s="25" t="s">
        <v>869</v>
      </c>
      <c r="D1310" s="26">
        <v>9.8000000000000007</v>
      </c>
      <c r="E1310" s="35" t="s">
        <v>143</v>
      </c>
      <c r="F1310" s="35"/>
      <c r="N1310" s="25"/>
    </row>
    <row r="1311" spans="1:14" ht="20.100000000000001" customHeight="1" x14ac:dyDescent="0.25">
      <c r="A1311" s="416"/>
      <c r="B1311" s="25"/>
      <c r="C1311" s="25" t="s">
        <v>798</v>
      </c>
      <c r="D1311" s="26">
        <v>17.600000000000001</v>
      </c>
      <c r="E1311" s="25" t="s">
        <v>143</v>
      </c>
      <c r="I1311" s="35"/>
      <c r="N1311" s="25"/>
    </row>
    <row r="1312" spans="1:14" ht="20.100000000000001" customHeight="1" x14ac:dyDescent="0.25">
      <c r="D1312" s="25"/>
      <c r="E1312" s="25"/>
      <c r="I1312" s="35"/>
      <c r="N1312" s="25"/>
    </row>
    <row r="1313" spans="1:14" ht="20.100000000000001" customHeight="1" x14ac:dyDescent="0.25">
      <c r="A1313" s="25" t="s">
        <v>900</v>
      </c>
      <c r="D1313" s="25"/>
      <c r="E1313" s="25"/>
      <c r="I1313" s="35">
        <f>(B1290*B1295/D1305)+(K1281*100/D1307)</f>
        <v>1421.8148283854671</v>
      </c>
      <c r="J1313" s="35" t="s">
        <v>901</v>
      </c>
      <c r="L1313" s="447" t="str">
        <f>IF(I1313&lt;H1295,"BC","MC")</f>
        <v>BC</v>
      </c>
      <c r="N1313" s="25"/>
    </row>
    <row r="1314" spans="1:14" ht="20.100000000000001" customHeight="1" x14ac:dyDescent="0.25">
      <c r="A1314" s="25"/>
      <c r="B1314" s="190"/>
      <c r="C1314" s="25"/>
      <c r="D1314" s="25"/>
      <c r="E1314" s="25"/>
      <c r="I1314" s="35"/>
      <c r="M1314" s="35"/>
      <c r="N1314" s="25"/>
    </row>
    <row r="1315" spans="1:14" ht="20.100000000000001" customHeight="1" x14ac:dyDescent="0.25">
      <c r="A1315" s="25" t="s">
        <v>751</v>
      </c>
      <c r="B1315" s="25"/>
      <c r="C1315" s="25"/>
      <c r="D1315" s="25"/>
      <c r="E1315" s="25"/>
      <c r="F1315" s="416" t="s">
        <v>568</v>
      </c>
      <c r="G1315" s="39">
        <v>1</v>
      </c>
      <c r="H1315" s="35"/>
      <c r="I1315" s="35"/>
      <c r="J1315" s="416" t="s">
        <v>254</v>
      </c>
      <c r="K1315" s="71">
        <f>F1290</f>
        <v>8.84</v>
      </c>
      <c r="L1315" s="25" t="s">
        <v>5</v>
      </c>
      <c r="M1315" s="35"/>
      <c r="N1315" s="25"/>
    </row>
    <row r="1316" spans="1:14" ht="20.100000000000001" customHeight="1" x14ac:dyDescent="0.25">
      <c r="A1316" s="25" t="s">
        <v>569</v>
      </c>
      <c r="B1316" s="25"/>
      <c r="C1316" s="25"/>
      <c r="D1316" s="418">
        <f>G1315*K1315*100/D1308</f>
        <v>100.45454545454545</v>
      </c>
      <c r="E1316" s="28" t="str">
        <f>IF(D1316&lt;200,"&lt; 200   BC !!"," &gt; 200  MC!!")</f>
        <v>&lt; 200   BC !!</v>
      </c>
      <c r="F1316" s="25"/>
      <c r="G1316" s="25"/>
      <c r="H1316" s="35" t="s">
        <v>872</v>
      </c>
      <c r="I1316" s="35"/>
      <c r="J1316" s="35"/>
      <c r="K1316" s="35"/>
      <c r="L1316" s="35"/>
      <c r="M1316" s="35"/>
      <c r="N1316" s="25"/>
    </row>
    <row r="1317" spans="1:14" ht="20.100000000000001" customHeight="1" x14ac:dyDescent="0.25">
      <c r="A1317" s="25"/>
      <c r="B1317" s="25"/>
      <c r="C1317" s="25"/>
      <c r="D1317" s="25"/>
      <c r="E1317" s="25"/>
      <c r="F1317" s="25"/>
      <c r="G1317" s="25"/>
      <c r="H1317" s="35"/>
      <c r="I1317" s="35"/>
      <c r="J1317" s="35"/>
      <c r="K1317" s="35"/>
      <c r="L1317" s="35"/>
      <c r="M1317" s="35"/>
      <c r="N1317" s="25"/>
    </row>
    <row r="1318" spans="1:14" ht="20.100000000000001" customHeight="1" x14ac:dyDescent="0.25">
      <c r="A1318" s="25" t="s">
        <v>273</v>
      </c>
      <c r="B1318" s="25"/>
      <c r="C1318" s="25"/>
      <c r="D1318" s="25"/>
      <c r="E1318" s="25"/>
      <c r="F1318" s="25"/>
      <c r="G1318" s="25"/>
      <c r="H1318" s="35"/>
      <c r="I1318" s="35"/>
      <c r="J1318" s="35"/>
      <c r="K1318" s="35"/>
      <c r="L1318" s="35"/>
      <c r="M1318" s="35"/>
      <c r="N1318" s="25"/>
    </row>
    <row r="1319" spans="1:14" ht="20.100000000000001" customHeight="1" x14ac:dyDescent="0.25">
      <c r="A1319" s="25" t="s">
        <v>570</v>
      </c>
      <c r="B1319" s="25"/>
      <c r="C1319" s="25"/>
      <c r="D1319" s="25" t="s">
        <v>571</v>
      </c>
      <c r="E1319" s="26">
        <v>0.85</v>
      </c>
      <c r="F1319" s="25"/>
      <c r="G1319" s="25" t="s">
        <v>483</v>
      </c>
      <c r="H1319" s="35"/>
      <c r="I1319" s="35"/>
      <c r="J1319" s="35"/>
      <c r="K1319" s="35"/>
      <c r="L1319" s="35"/>
      <c r="M1319" s="35"/>
      <c r="N1319" s="25"/>
    </row>
    <row r="1320" spans="1:14" ht="20.100000000000001" customHeight="1" x14ac:dyDescent="0.25">
      <c r="A1320" s="25"/>
      <c r="B1320" s="25"/>
      <c r="C1320" s="25"/>
      <c r="D1320" s="25"/>
      <c r="E1320" s="25"/>
      <c r="F1320" s="25"/>
      <c r="G1320" s="25"/>
      <c r="H1320" s="35"/>
      <c r="I1320" s="35"/>
      <c r="J1320" s="35"/>
      <c r="K1320" s="35"/>
      <c r="L1320" s="35"/>
      <c r="M1320" s="35"/>
      <c r="N1320" s="25"/>
    </row>
    <row r="1321" spans="1:14" ht="20.100000000000001" customHeight="1" x14ac:dyDescent="0.25">
      <c r="A1321" s="25" t="s">
        <v>274</v>
      </c>
      <c r="B1321" s="25"/>
      <c r="C1321" s="25"/>
      <c r="D1321" s="35" t="s">
        <v>795</v>
      </c>
      <c r="E1321" s="25"/>
      <c r="F1321" s="25"/>
      <c r="G1321" s="25"/>
      <c r="H1321" s="35"/>
      <c r="I1321" s="35"/>
      <c r="J1321" s="35"/>
      <c r="K1321" s="35"/>
      <c r="L1321" s="35"/>
      <c r="M1321" s="35"/>
      <c r="N1321" s="25"/>
    </row>
    <row r="1322" spans="1:14" ht="20.100000000000001" customHeight="1" x14ac:dyDescent="0.25">
      <c r="A1322" s="273" t="s">
        <v>793</v>
      </c>
      <c r="B1322" s="25"/>
      <c r="C1322" s="342">
        <f>(D1310/2)/H1305</f>
        <v>4.0163934426229515</v>
      </c>
      <c r="D1322" s="417" t="str">
        <f>IF(C1322&lt;H1322,"&lt;","&gt;")</f>
        <v>&lt;</v>
      </c>
      <c r="E1322" s="273" t="s">
        <v>794</v>
      </c>
      <c r="F1322" s="25"/>
      <c r="G1322" s="25"/>
      <c r="H1322" s="415">
        <f>0.38*SQRT(H1309/H1308)</f>
        <v>11.085739353839987</v>
      </c>
      <c r="I1322" s="263" t="str">
        <f>IF(C1322&lt;H1322,"Ala compacta","Ver Norma")</f>
        <v>Ala compacta</v>
      </c>
      <c r="J1322" s="322"/>
      <c r="K1322" s="266"/>
      <c r="M1322" s="35"/>
      <c r="N1322" s="25"/>
    </row>
    <row r="1323" spans="1:14" ht="20.100000000000001" customHeight="1" x14ac:dyDescent="0.25">
      <c r="A1323" s="25"/>
      <c r="B1323" s="25"/>
      <c r="C1323" s="25"/>
      <c r="D1323" s="25"/>
      <c r="E1323" s="25"/>
      <c r="F1323" s="25"/>
      <c r="G1323" s="25"/>
      <c r="H1323" s="35"/>
      <c r="I1323" s="35"/>
      <c r="J1323" s="35"/>
      <c r="K1323" s="35"/>
      <c r="L1323" s="35"/>
      <c r="M1323" s="35"/>
      <c r="N1323" s="25"/>
    </row>
    <row r="1324" spans="1:14" ht="20.100000000000001" customHeight="1" x14ac:dyDescent="0.25">
      <c r="A1324" s="25" t="s">
        <v>278</v>
      </c>
      <c r="B1324" s="25"/>
      <c r="C1324" s="25"/>
      <c r="D1324" s="35" t="s">
        <v>796</v>
      </c>
      <c r="E1324" s="25"/>
      <c r="F1324" s="25"/>
      <c r="G1324" s="25"/>
      <c r="H1324" s="35" t="s">
        <v>801</v>
      </c>
      <c r="I1324" s="205">
        <v>0.85</v>
      </c>
      <c r="K1324" s="35"/>
      <c r="L1324" s="35"/>
      <c r="M1324" s="35"/>
      <c r="N1324" s="25"/>
    </row>
    <row r="1325" spans="1:14" ht="20.100000000000001" customHeight="1" x14ac:dyDescent="0.25">
      <c r="A1325" s="266" t="s">
        <v>259</v>
      </c>
      <c r="B1325" s="426">
        <f>B1290/100</f>
        <v>19.287052000000006</v>
      </c>
      <c r="C1325" s="266" t="s">
        <v>195</v>
      </c>
      <c r="D1325" s="35"/>
      <c r="E1325" s="25"/>
      <c r="I1325" s="35"/>
      <c r="J1325" s="35"/>
      <c r="K1325" s="35"/>
      <c r="L1325" s="35"/>
      <c r="M1325" s="35"/>
      <c r="N1325" s="25"/>
    </row>
    <row r="1326" spans="1:14" ht="20.100000000000001" customHeight="1" x14ac:dyDescent="0.25">
      <c r="A1326" s="25" t="s">
        <v>799</v>
      </c>
      <c r="B1326" s="25"/>
      <c r="C1326" s="25"/>
      <c r="D1326" s="415">
        <f>D1305*H1308/10</f>
        <v>928.25</v>
      </c>
      <c r="E1326" s="25" t="s">
        <v>195</v>
      </c>
      <c r="F1326" s="25"/>
      <c r="G1326" s="25" t="s">
        <v>800</v>
      </c>
      <c r="H1326" s="35"/>
      <c r="I1326" s="205">
        <f>B1325/(I1324*D1326)</f>
        <v>2.4444545555361935E-2</v>
      </c>
      <c r="L1326" s="35"/>
      <c r="M1326" s="35"/>
      <c r="N1326" s="25"/>
    </row>
    <row r="1327" spans="1:14" ht="20.100000000000001" customHeight="1" x14ac:dyDescent="0.25">
      <c r="A1327" s="25"/>
      <c r="B1327" s="25"/>
      <c r="C1327" s="25"/>
      <c r="D1327" s="415"/>
      <c r="E1327" s="25"/>
      <c r="F1327" s="25"/>
      <c r="G1327" s="25"/>
      <c r="H1327" s="35"/>
      <c r="I1327" s="205"/>
      <c r="L1327" s="35"/>
      <c r="M1327" s="35"/>
      <c r="N1327" s="25"/>
    </row>
    <row r="1328" spans="1:14" ht="20.100000000000001" customHeight="1" x14ac:dyDescent="0.25">
      <c r="A1328" s="499" t="str">
        <f>IF(I1326&lt;0.125,"Calculo:","VER NORMA")</f>
        <v>Calculo:</v>
      </c>
      <c r="B1328" s="499"/>
      <c r="D1328" s="25" t="s">
        <v>802</v>
      </c>
      <c r="E1328" s="25"/>
      <c r="F1328" s="25"/>
      <c r="G1328" s="25"/>
      <c r="H1328" s="35"/>
      <c r="I1328" s="35">
        <f>3.76*SQRT(H1309/H1308)*(1-(2.75*B1325/(I1324*D1326)))</f>
        <v>102.31680571399819</v>
      </c>
      <c r="J1328" s="35"/>
      <c r="K1328" s="35"/>
      <c r="L1328" s="35"/>
      <c r="M1328" s="35"/>
      <c r="N1328" s="25"/>
    </row>
    <row r="1329" spans="1:14" ht="20.100000000000001" customHeight="1" x14ac:dyDescent="0.25">
      <c r="A1329" s="414"/>
      <c r="B1329" s="414"/>
      <c r="C1329" s="25"/>
      <c r="D1329" s="35"/>
      <c r="E1329" s="25"/>
      <c r="F1329" s="25"/>
      <c r="G1329" s="25"/>
      <c r="H1329" s="35"/>
      <c r="I1329" s="35"/>
      <c r="J1329" s="35"/>
      <c r="K1329" s="35"/>
      <c r="L1329" s="35"/>
      <c r="M1329" s="35"/>
      <c r="N1329" s="25"/>
    </row>
    <row r="1330" spans="1:14" ht="20.100000000000001" customHeight="1" x14ac:dyDescent="0.25">
      <c r="A1330" s="25" t="s">
        <v>574</v>
      </c>
      <c r="B1330" s="25"/>
      <c r="C1330" s="25"/>
      <c r="D1330" s="25"/>
      <c r="E1330" s="342">
        <f>(D1309-4*H1305)/H1306</f>
        <v>21.135802469135804</v>
      </c>
      <c r="F1330" s="417" t="str">
        <f>IF(E1330&lt;I1328,"&lt;","&gt;")</f>
        <v>&lt;</v>
      </c>
      <c r="G1330" s="273" t="s">
        <v>803</v>
      </c>
      <c r="H1330" s="25">
        <f>I1328</f>
        <v>102.31680571399819</v>
      </c>
      <c r="I1330" s="25"/>
      <c r="J1330" s="263" t="str">
        <f>IF(E1330&lt;H1330,"Alma Compacta","VER NORMA")</f>
        <v>Alma Compacta</v>
      </c>
      <c r="K1330" s="266"/>
      <c r="L1330" s="322"/>
      <c r="M1330" s="35"/>
      <c r="N1330" s="25"/>
    </row>
    <row r="1331" spans="1:14" ht="20.100000000000001" customHeight="1" x14ac:dyDescent="0.25">
      <c r="A1331" s="25"/>
      <c r="B1331" s="25"/>
      <c r="C1331" s="25"/>
      <c r="D1331" s="25"/>
      <c r="E1331" s="25"/>
      <c r="F1331" s="25"/>
      <c r="G1331" s="25"/>
      <c r="H1331" s="35"/>
      <c r="I1331" s="35"/>
      <c r="J1331" s="35"/>
      <c r="K1331" s="35"/>
      <c r="L1331" s="35"/>
      <c r="M1331" s="35"/>
      <c r="N1331" s="25"/>
    </row>
    <row r="1332" spans="1:14" ht="20.100000000000001" customHeight="1" x14ac:dyDescent="0.25">
      <c r="A1332" s="26" t="s">
        <v>276</v>
      </c>
      <c r="B1332" s="200">
        <v>1</v>
      </c>
      <c r="C1332" s="25"/>
      <c r="D1332" s="25"/>
      <c r="E1332" s="25"/>
      <c r="F1332" s="25"/>
      <c r="G1332" s="25"/>
      <c r="H1332" s="35"/>
      <c r="I1332" s="35"/>
      <c r="J1332" s="35"/>
      <c r="K1332" s="35"/>
      <c r="L1332" s="35"/>
      <c r="M1332" s="35"/>
      <c r="N1332" s="25"/>
    </row>
    <row r="1333" spans="1:14" ht="20.100000000000001" customHeight="1" x14ac:dyDescent="0.25">
      <c r="A1333" s="25" t="s">
        <v>219</v>
      </c>
      <c r="B1333" s="25"/>
      <c r="C1333" s="25"/>
      <c r="D1333" s="25"/>
      <c r="E1333" s="25"/>
      <c r="F1333" s="25"/>
      <c r="G1333" s="25"/>
      <c r="H1333" s="35"/>
      <c r="I1333" s="35"/>
      <c r="J1333" s="35"/>
      <c r="K1333" s="35"/>
      <c r="L1333" s="35"/>
      <c r="M1333" s="35"/>
      <c r="N1333" s="25"/>
    </row>
    <row r="1334" spans="1:14" ht="20.100000000000001" customHeight="1" x14ac:dyDescent="0.25">
      <c r="A1334" s="25" t="s">
        <v>576</v>
      </c>
      <c r="B1334" s="25"/>
      <c r="C1334" s="25"/>
      <c r="D1334" s="25"/>
      <c r="E1334" s="203">
        <f>G1315*K1315*100*SQRT(H1308/H1309)/(3.14*D1308)</f>
        <v>1.0966268577653666</v>
      </c>
      <c r="F1334" s="67" t="str">
        <f>IF(E1334&lt;1.5,"&lt; 1,5","&gt; 1,5")</f>
        <v>&lt; 1,5</v>
      </c>
      <c r="G1334" s="25"/>
      <c r="H1334" s="35" t="s">
        <v>480</v>
      </c>
      <c r="I1334" s="35"/>
      <c r="J1334" s="35"/>
      <c r="K1334" s="35"/>
      <c r="L1334" s="341">
        <f>0.658^(E1334^2)*H1308</f>
        <v>142.0587716533804</v>
      </c>
      <c r="M1334" s="25" t="s">
        <v>275</v>
      </c>
    </row>
    <row r="1335" spans="1:14" ht="20.100000000000001" customHeight="1" x14ac:dyDescent="0.25">
      <c r="A1335" s="25" t="s">
        <v>804</v>
      </c>
      <c r="B1335" s="418">
        <f>L1334*D1305/10</f>
        <v>561.13214803085259</v>
      </c>
      <c r="C1335" s="25" t="s">
        <v>195</v>
      </c>
      <c r="D1335" s="25"/>
      <c r="E1335" s="25"/>
      <c r="F1335" s="25"/>
      <c r="G1335" s="25"/>
      <c r="H1335" s="35"/>
      <c r="I1335" s="35"/>
      <c r="J1335" s="35"/>
      <c r="K1335" s="35"/>
      <c r="L1335" s="35"/>
      <c r="M1335" s="35"/>
      <c r="N1335" s="25"/>
    </row>
    <row r="1336" spans="1:14" ht="20.100000000000001" customHeight="1" x14ac:dyDescent="0.25">
      <c r="A1336" s="25" t="s">
        <v>753</v>
      </c>
      <c r="B1336" s="25"/>
      <c r="C1336" s="25"/>
      <c r="D1336" s="25"/>
      <c r="E1336" s="392">
        <f>I1324*L1334*D1305/10</f>
        <v>476.96232582622468</v>
      </c>
      <c r="F1336" s="265" t="s">
        <v>195</v>
      </c>
      <c r="G1336" s="265" t="str">
        <f>IF(E1336&gt;B1325,"&lt; Pu    BC","MC")</f>
        <v>&lt; Pu    BC</v>
      </c>
      <c r="H1336" s="266"/>
      <c r="I1336" s="50"/>
      <c r="J1336" s="122"/>
      <c r="K1336" s="122"/>
      <c r="L1336" s="12"/>
      <c r="M1336" s="35"/>
      <c r="N1336" s="25"/>
    </row>
    <row r="1337" spans="1:14" ht="20.100000000000001" customHeight="1" x14ac:dyDescent="0.25">
      <c r="A1337" s="25"/>
      <c r="B1337" s="25"/>
      <c r="C1337" s="25"/>
      <c r="D1337" s="25"/>
      <c r="E1337" s="393"/>
      <c r="F1337" s="394"/>
      <c r="G1337" s="394"/>
      <c r="H1337" s="284"/>
      <c r="I1337" s="345"/>
      <c r="J1337" s="122"/>
      <c r="K1337" s="122"/>
      <c r="L1337" s="12"/>
      <c r="M1337" s="35"/>
      <c r="N1337" s="25"/>
    </row>
    <row r="1338" spans="1:14" ht="20.100000000000001" customHeight="1" x14ac:dyDescent="0.25">
      <c r="A1338" s="25"/>
      <c r="B1338" s="25" t="s">
        <v>757</v>
      </c>
      <c r="C1338" s="35"/>
      <c r="D1338" s="35"/>
      <c r="E1338" s="274">
        <f>I1338*H1307*H1308/1000</f>
        <v>68.525999999999996</v>
      </c>
      <c r="F1338" s="35" t="s">
        <v>179</v>
      </c>
      <c r="G1338" s="394"/>
      <c r="H1338" s="35" t="s">
        <v>756</v>
      </c>
      <c r="I1338" s="192">
        <v>0.9</v>
      </c>
      <c r="J1338" s="122"/>
      <c r="K1338" s="122"/>
      <c r="L1338" s="12"/>
      <c r="M1338" s="35"/>
      <c r="N1338" s="25"/>
    </row>
    <row r="1339" spans="1:14" ht="20.100000000000001" customHeight="1" x14ac:dyDescent="0.25">
      <c r="A1339" s="25" t="s">
        <v>870</v>
      </c>
      <c r="B1339" s="130">
        <f>K1281/100</f>
        <v>37.761809041065355</v>
      </c>
      <c r="C1339" s="25" t="s">
        <v>179</v>
      </c>
      <c r="D1339" s="265" t="str">
        <f>IF(B1339&lt;E1338," &lt; Md     BC","  &gt; Md      MC")</f>
        <v xml:space="preserve"> &lt; Md     BC</v>
      </c>
      <c r="E1339" s="392"/>
      <c r="F1339" s="394"/>
      <c r="G1339" s="394"/>
      <c r="H1339" s="284"/>
      <c r="I1339" s="345"/>
      <c r="J1339" s="122"/>
      <c r="K1339" s="122"/>
      <c r="L1339" s="12"/>
      <c r="M1339" s="35"/>
      <c r="N1339" s="25"/>
    </row>
    <row r="1340" spans="1:14" ht="20.100000000000001" customHeight="1" x14ac:dyDescent="0.25">
      <c r="A1340" s="25"/>
      <c r="B1340" s="25"/>
      <c r="C1340" s="25"/>
      <c r="D1340" s="25"/>
      <c r="E1340" s="393"/>
      <c r="F1340" s="427"/>
      <c r="G1340" s="25"/>
      <c r="H1340" s="35"/>
      <c r="I1340" s="50"/>
      <c r="J1340" s="404"/>
      <c r="K1340" s="404"/>
      <c r="L1340" s="12"/>
      <c r="M1340" s="35"/>
      <c r="N1340" s="25"/>
    </row>
    <row r="1341" spans="1:14" ht="20.100000000000001" customHeight="1" x14ac:dyDescent="0.25">
      <c r="A1341" s="25"/>
      <c r="B1341" s="25"/>
      <c r="C1341" s="25"/>
      <c r="D1341" s="25"/>
      <c r="E1341" s="393"/>
      <c r="F1341" s="427"/>
      <c r="G1341" s="25"/>
      <c r="H1341" s="35"/>
      <c r="I1341" s="50"/>
      <c r="J1341" s="404"/>
      <c r="K1341" s="404"/>
      <c r="L1341" s="12"/>
      <c r="M1341" s="35"/>
      <c r="N1341" s="25"/>
    </row>
    <row r="1342" spans="1:14" ht="20.100000000000001" customHeight="1" x14ac:dyDescent="0.25">
      <c r="A1342" s="25" t="s">
        <v>750</v>
      </c>
      <c r="B1342" s="25"/>
      <c r="C1342" s="25"/>
      <c r="D1342" s="25"/>
      <c r="E1342" s="393"/>
      <c r="F1342" s="394"/>
      <c r="G1342" s="35" t="s">
        <v>756</v>
      </c>
      <c r="H1342" s="35">
        <v>0.85</v>
      </c>
      <c r="K1342" s="35"/>
      <c r="L1342" s="35"/>
      <c r="M1342" s="35"/>
      <c r="N1342" s="25"/>
    </row>
    <row r="1343" spans="1:14" ht="20.100000000000001" customHeight="1" x14ac:dyDescent="0.25">
      <c r="A1343" s="25" t="s">
        <v>752</v>
      </c>
      <c r="B1343" s="25"/>
      <c r="C1343" s="71">
        <f>B1325/(H1342*B1335)</f>
        <v>4.0437265074531284E-2</v>
      </c>
      <c r="D1343" s="320" t="str">
        <f>IF(C1343&lt;0.2,"&lt; 0,2","&gt; 0,2")</f>
        <v>&lt; 0,2</v>
      </c>
      <c r="E1343" s="393"/>
      <c r="F1343" s="394" t="s">
        <v>875</v>
      </c>
      <c r="M1343" s="35"/>
      <c r="N1343" s="25"/>
    </row>
    <row r="1344" spans="1:14" ht="20.100000000000001" customHeight="1" x14ac:dyDescent="0.25">
      <c r="A1344" s="25"/>
      <c r="B1344" s="25"/>
      <c r="C1344" s="25"/>
      <c r="D1344" s="25"/>
      <c r="E1344" s="393"/>
      <c r="F1344" s="394"/>
      <c r="G1344" s="25"/>
      <c r="H1344" s="35"/>
      <c r="I1344" s="35"/>
      <c r="J1344" s="35"/>
      <c r="K1344" s="35"/>
      <c r="L1344" s="35"/>
      <c r="M1344" s="35"/>
      <c r="N1344" s="25"/>
    </row>
    <row r="1345" spans="1:14" ht="20.100000000000001" customHeight="1" x14ac:dyDescent="0.25">
      <c r="A1345" s="25" t="s">
        <v>876</v>
      </c>
      <c r="B1345" s="25"/>
      <c r="C1345" s="25"/>
      <c r="D1345" s="25"/>
      <c r="E1345" s="393"/>
      <c r="F1345" s="394"/>
      <c r="G1345" s="25"/>
      <c r="H1345" s="35"/>
      <c r="I1345" s="405">
        <f>C1343/2+(K1281/100)/E1338</f>
        <v>0.57127675706029857</v>
      </c>
      <c r="J1345" s="263" t="str">
        <f>IF(I1345&lt;1,"&lt; 1       BC","MC Ver Norma")</f>
        <v>&lt; 1       BC</v>
      </c>
      <c r="K1345" s="322"/>
      <c r="L1345" s="35"/>
      <c r="M1345" s="35"/>
      <c r="N1345" s="25"/>
    </row>
    <row r="1347" spans="1:14" ht="20.100000000000001" customHeight="1" x14ac:dyDescent="0.25">
      <c r="A1347" s="25" t="s">
        <v>871</v>
      </c>
      <c r="E1347" s="25" t="s">
        <v>877</v>
      </c>
      <c r="F1347" s="25"/>
      <c r="G1347" s="440">
        <f>E1300</f>
        <v>150</v>
      </c>
      <c r="H1347" s="35" t="s">
        <v>25</v>
      </c>
      <c r="I1347" s="55">
        <f>F1290*100/G1347</f>
        <v>5.8933333333333335</v>
      </c>
      <c r="J1347" s="35" t="s">
        <v>143</v>
      </c>
    </row>
    <row r="1348" spans="1:14" ht="20.100000000000001" customHeight="1" x14ac:dyDescent="0.25">
      <c r="A1348" s="433" t="s">
        <v>150</v>
      </c>
      <c r="B1348" s="431">
        <f>K1300</f>
        <v>364.88173761191132</v>
      </c>
      <c r="C1348" s="25" t="s">
        <v>123</v>
      </c>
      <c r="E1348" s="25"/>
      <c r="F1348" s="25"/>
      <c r="G1348" s="440"/>
      <c r="H1348" s="35"/>
      <c r="I1348" s="55"/>
      <c r="J1348" s="35"/>
    </row>
    <row r="1349" spans="1:14" ht="20.100000000000001" customHeight="1" x14ac:dyDescent="0.25">
      <c r="A1349" s="25"/>
      <c r="E1349" s="25"/>
      <c r="F1349" s="25"/>
      <c r="G1349" s="440"/>
      <c r="H1349" s="35"/>
      <c r="I1349" s="55"/>
      <c r="J1349" s="35"/>
    </row>
    <row r="1350" spans="1:14" ht="20.100000000000001" customHeight="1" x14ac:dyDescent="0.25">
      <c r="A1350" s="25" t="s">
        <v>878</v>
      </c>
      <c r="D1350" s="190">
        <f>5*(B1348/100)*(F1290*100)^4/(384*2100000*D1306)</f>
        <v>4.5150155065148816</v>
      </c>
      <c r="E1350" s="25" t="s">
        <v>143</v>
      </c>
      <c r="F1350" s="265" t="str">
        <f>IF(D1350&lt;I1347," &lt; fadm   BC","&gt; fadm     MC")</f>
        <v xml:space="preserve"> &lt; fadm   BC</v>
      </c>
      <c r="G1350" s="441"/>
    </row>
    <row r="1352" spans="1:14" ht="20.100000000000001" customHeight="1" x14ac:dyDescent="0.25">
      <c r="A1352" s="28" t="s">
        <v>904</v>
      </c>
      <c r="B1352" s="25"/>
    </row>
    <row r="1353" spans="1:14" ht="20.100000000000001" customHeight="1" x14ac:dyDescent="0.25">
      <c r="A1353" s="25" t="s">
        <v>905</v>
      </c>
      <c r="B1353" s="25"/>
    </row>
    <row r="1354" spans="1:14" ht="20.100000000000001" customHeight="1" x14ac:dyDescent="0.25">
      <c r="A1354" s="25" t="s">
        <v>906</v>
      </c>
      <c r="B1354" s="25"/>
    </row>
    <row r="1355" spans="1:14" ht="20.100000000000001" customHeight="1" x14ac:dyDescent="0.25">
      <c r="A1355" s="434" t="s">
        <v>907</v>
      </c>
      <c r="B1355" s="434" t="s">
        <v>94</v>
      </c>
      <c r="C1355" s="434" t="s">
        <v>95</v>
      </c>
      <c r="E1355" s="434" t="s">
        <v>908</v>
      </c>
      <c r="F1355" s="434" t="s">
        <v>909</v>
      </c>
      <c r="G1355" s="434" t="s">
        <v>910</v>
      </c>
      <c r="I1355" s="35" t="s">
        <v>911</v>
      </c>
      <c r="J1355" s="35"/>
      <c r="K1355" s="35"/>
    </row>
    <row r="1356" spans="1:14" ht="20.100000000000001" customHeight="1" x14ac:dyDescent="0.25">
      <c r="A1356" s="434">
        <v>1</v>
      </c>
      <c r="B1356" s="434">
        <v>0</v>
      </c>
      <c r="C1356" s="451">
        <v>0</v>
      </c>
      <c r="E1356" s="434">
        <v>1</v>
      </c>
      <c r="F1356" s="434">
        <v>1</v>
      </c>
      <c r="G1356" s="434">
        <v>2</v>
      </c>
      <c r="I1356" s="35" t="s">
        <v>817</v>
      </c>
      <c r="J1356" s="432">
        <f>F317</f>
        <v>346.42929931231322</v>
      </c>
      <c r="K1356" s="35" t="s">
        <v>120</v>
      </c>
    </row>
    <row r="1357" spans="1:14" ht="20.100000000000001" customHeight="1" x14ac:dyDescent="0.25">
      <c r="A1357" s="434">
        <v>2</v>
      </c>
      <c r="B1357" s="434">
        <v>2</v>
      </c>
      <c r="C1357" s="451">
        <v>0.76</v>
      </c>
      <c r="E1357" s="434">
        <v>2</v>
      </c>
      <c r="F1357" s="434">
        <v>2</v>
      </c>
      <c r="G1357" s="434">
        <v>3</v>
      </c>
      <c r="I1357" s="35" t="s">
        <v>912</v>
      </c>
      <c r="J1357" s="35"/>
      <c r="K1357" s="35"/>
    </row>
    <row r="1358" spans="1:14" ht="20.100000000000001" customHeight="1" x14ac:dyDescent="0.25">
      <c r="A1358" s="434">
        <v>3</v>
      </c>
      <c r="B1358" s="434">
        <v>4</v>
      </c>
      <c r="C1358" s="451">
        <v>1.52</v>
      </c>
      <c r="E1358" s="434">
        <v>3</v>
      </c>
      <c r="F1358" s="434">
        <v>3</v>
      </c>
      <c r="G1358" s="434">
        <v>4</v>
      </c>
      <c r="I1358" s="35" t="s">
        <v>254</v>
      </c>
      <c r="J1358" s="204">
        <f>F22</f>
        <v>2.1395326592506132</v>
      </c>
      <c r="K1358" s="35" t="s">
        <v>5</v>
      </c>
    </row>
    <row r="1359" spans="1:14" ht="20.100000000000001" customHeight="1" x14ac:dyDescent="0.25">
      <c r="A1359" s="434">
        <v>4</v>
      </c>
      <c r="B1359" s="434">
        <v>6</v>
      </c>
      <c r="C1359" s="451">
        <v>2.2799999999999998</v>
      </c>
      <c r="E1359" s="434">
        <v>4</v>
      </c>
      <c r="F1359" s="434">
        <v>4</v>
      </c>
      <c r="G1359" s="434">
        <v>5</v>
      </c>
      <c r="I1359" s="35"/>
      <c r="J1359" s="35"/>
      <c r="K1359" s="35"/>
    </row>
    <row r="1360" spans="1:14" ht="20.100000000000001" customHeight="1" x14ac:dyDescent="0.25">
      <c r="A1360" s="434">
        <v>5</v>
      </c>
      <c r="B1360" s="434">
        <v>8</v>
      </c>
      <c r="C1360" s="451">
        <v>3.04</v>
      </c>
      <c r="E1360" s="434">
        <v>5</v>
      </c>
      <c r="F1360" s="434">
        <v>5</v>
      </c>
      <c r="G1360" s="434">
        <v>6</v>
      </c>
      <c r="I1360" s="35" t="s">
        <v>914</v>
      </c>
      <c r="J1360" s="35">
        <v>213</v>
      </c>
      <c r="K1360" s="35" t="s">
        <v>122</v>
      </c>
    </row>
    <row r="1361" spans="1:14" ht="20.100000000000001" customHeight="1" x14ac:dyDescent="0.25">
      <c r="A1361" s="434">
        <v>6</v>
      </c>
      <c r="B1361" s="434">
        <v>10</v>
      </c>
      <c r="C1361" s="451">
        <v>3.8</v>
      </c>
      <c r="E1361" s="434">
        <v>6</v>
      </c>
      <c r="F1361" s="434">
        <v>6</v>
      </c>
      <c r="G1361" s="434">
        <v>7</v>
      </c>
      <c r="I1361" s="35" t="s">
        <v>913</v>
      </c>
      <c r="J1361" s="35">
        <v>118.2</v>
      </c>
      <c r="K1361" s="35" t="s">
        <v>139</v>
      </c>
    </row>
    <row r="1362" spans="1:14" ht="20.100000000000001" customHeight="1" x14ac:dyDescent="0.25">
      <c r="A1362" s="434">
        <v>7</v>
      </c>
      <c r="B1362" s="434">
        <v>12</v>
      </c>
      <c r="C1362" s="451">
        <v>3.04</v>
      </c>
      <c r="E1362" s="434">
        <v>7</v>
      </c>
      <c r="F1362" s="434">
        <v>7</v>
      </c>
      <c r="G1362" s="434">
        <v>8</v>
      </c>
      <c r="I1362" s="35" t="s">
        <v>942</v>
      </c>
      <c r="J1362" s="35">
        <v>61.5</v>
      </c>
      <c r="K1362" s="35" t="s">
        <v>122</v>
      </c>
    </row>
    <row r="1363" spans="1:14" ht="20.100000000000001" customHeight="1" x14ac:dyDescent="0.25">
      <c r="A1363" s="434">
        <v>8</v>
      </c>
      <c r="B1363" s="434">
        <v>14</v>
      </c>
      <c r="C1363" s="451">
        <v>2.2799999999999998</v>
      </c>
      <c r="E1363" s="434">
        <v>8</v>
      </c>
      <c r="F1363" s="434">
        <v>8</v>
      </c>
      <c r="G1363" s="434">
        <v>9</v>
      </c>
      <c r="I1363" s="35"/>
      <c r="J1363" s="35"/>
      <c r="K1363" s="35"/>
    </row>
    <row r="1364" spans="1:14" ht="20.100000000000001" customHeight="1" x14ac:dyDescent="0.25">
      <c r="A1364" s="434">
        <v>9</v>
      </c>
      <c r="B1364" s="434">
        <v>16</v>
      </c>
      <c r="C1364" s="451">
        <v>1.52</v>
      </c>
      <c r="E1364" s="434">
        <v>9</v>
      </c>
      <c r="F1364" s="434">
        <v>9</v>
      </c>
      <c r="G1364" s="434">
        <v>10</v>
      </c>
      <c r="I1364" s="25" t="s">
        <v>144</v>
      </c>
      <c r="J1364" s="501">
        <v>200000</v>
      </c>
      <c r="K1364" s="501"/>
      <c r="L1364" s="25" t="s">
        <v>168</v>
      </c>
    </row>
    <row r="1365" spans="1:14" ht="20.100000000000001" customHeight="1" x14ac:dyDescent="0.25">
      <c r="A1365" s="434">
        <v>10</v>
      </c>
      <c r="B1365" s="434">
        <v>18</v>
      </c>
      <c r="C1365" s="451">
        <v>0.76</v>
      </c>
      <c r="E1365" s="434">
        <v>10</v>
      </c>
      <c r="F1365" s="434">
        <v>10</v>
      </c>
      <c r="G1365" s="434">
        <v>11</v>
      </c>
      <c r="I1365" s="25" t="s">
        <v>169</v>
      </c>
      <c r="J1365" s="501">
        <v>235</v>
      </c>
      <c r="K1365" s="501"/>
      <c r="L1365" s="25" t="s">
        <v>168</v>
      </c>
    </row>
    <row r="1366" spans="1:14" ht="20.100000000000001" customHeight="1" x14ac:dyDescent="0.25">
      <c r="A1366" s="434">
        <v>11</v>
      </c>
      <c r="B1366" s="434">
        <v>20</v>
      </c>
      <c r="C1366" s="451">
        <v>0</v>
      </c>
    </row>
    <row r="1367" spans="1:14" s="18" customFormat="1" ht="20.100000000000001" customHeight="1" x14ac:dyDescent="0.25">
      <c r="A1367" s="369" t="s">
        <v>867</v>
      </c>
      <c r="B1367" s="424"/>
      <c r="C1367" s="287"/>
      <c r="D1367" s="287"/>
      <c r="E1367" s="442"/>
      <c r="F1367" s="397"/>
      <c r="G1367" s="287"/>
      <c r="H1367" s="254"/>
      <c r="I1367" s="254"/>
      <c r="J1367" s="423"/>
      <c r="K1367" s="287"/>
      <c r="L1367" s="254"/>
      <c r="M1367" s="19"/>
    </row>
    <row r="1368" spans="1:14" s="18" customFormat="1" ht="20.100000000000001" customHeight="1" x14ac:dyDescent="0.25">
      <c r="A1368" s="287" t="s">
        <v>879</v>
      </c>
      <c r="B1368" s="424"/>
      <c r="C1368" s="287"/>
      <c r="D1368" s="287" t="s">
        <v>880</v>
      </c>
      <c r="E1368" s="442"/>
      <c r="F1368" s="397"/>
      <c r="G1368" s="287" t="s">
        <v>873</v>
      </c>
      <c r="H1368" s="254"/>
      <c r="I1368" s="254"/>
      <c r="J1368" s="423"/>
      <c r="K1368" s="287"/>
      <c r="L1368" s="254"/>
      <c r="M1368" s="19"/>
    </row>
    <row r="1369" spans="1:14" s="18" customFormat="1" ht="20.100000000000001" customHeight="1" x14ac:dyDescent="0.25">
      <c r="A1369" s="442"/>
      <c r="B1369" s="397"/>
      <c r="C1369" s="287"/>
      <c r="D1369" s="370"/>
      <c r="E1369" s="370"/>
      <c r="F1369" s="397"/>
      <c r="G1369" s="287" t="s">
        <v>884</v>
      </c>
      <c r="H1369" s="287">
        <v>1700</v>
      </c>
      <c r="I1369" s="442" t="s">
        <v>885</v>
      </c>
      <c r="J1369" s="423"/>
      <c r="K1369" s="287"/>
      <c r="L1369" s="254"/>
      <c r="M1369" s="19"/>
    </row>
    <row r="1370" spans="1:14" s="18" customFormat="1" ht="20.100000000000001" customHeight="1" x14ac:dyDescent="0.25">
      <c r="A1370" s="287" t="s">
        <v>886</v>
      </c>
      <c r="B1370" s="370"/>
      <c r="C1370" s="370"/>
      <c r="D1370" s="424">
        <f>J1361*100/H1369</f>
        <v>6.9529411764705884</v>
      </c>
      <c r="E1370" s="443" t="s">
        <v>887</v>
      </c>
      <c r="F1370" s="397"/>
      <c r="G1370" s="287"/>
      <c r="H1370" s="254"/>
      <c r="I1370" s="254"/>
      <c r="J1370" s="423"/>
      <c r="K1370" s="287"/>
      <c r="L1370" s="254"/>
      <c r="M1370" s="19"/>
    </row>
    <row r="1371" spans="1:14" s="18" customFormat="1" ht="20.100000000000001" customHeight="1" x14ac:dyDescent="0.25">
      <c r="A1371" s="287"/>
      <c r="B1371" s="424"/>
      <c r="C1371" s="287"/>
      <c r="D1371" s="287"/>
      <c r="E1371" s="442"/>
      <c r="F1371" s="397"/>
      <c r="G1371" s="287"/>
      <c r="H1371" s="254"/>
      <c r="I1371" s="254"/>
      <c r="J1371" s="423"/>
      <c r="K1371" s="287"/>
      <c r="L1371" s="254"/>
      <c r="M1371" s="19"/>
    </row>
    <row r="1372" spans="1:14" s="18" customFormat="1" ht="20.100000000000001" customHeight="1" x14ac:dyDescent="0.25">
      <c r="A1372" s="287" t="s">
        <v>868</v>
      </c>
      <c r="B1372" s="424"/>
      <c r="C1372" s="287"/>
      <c r="D1372" s="287" t="s">
        <v>890</v>
      </c>
      <c r="E1372" s="446">
        <v>150</v>
      </c>
      <c r="F1372" s="397">
        <f>J1358*100/E1372</f>
        <v>1.4263551061670754</v>
      </c>
      <c r="G1372" s="287" t="s">
        <v>143</v>
      </c>
      <c r="H1372" s="254"/>
      <c r="J1372" s="423" t="s">
        <v>944</v>
      </c>
      <c r="K1372" s="287"/>
      <c r="L1372" s="30"/>
      <c r="M1372" s="477">
        <f>J1356*(J1358*100)^3/(48*2100000*F1372)</f>
        <v>23.598433936488771</v>
      </c>
      <c r="N1372" s="30" t="s">
        <v>838</v>
      </c>
    </row>
    <row r="1373" spans="1:14" s="18" customFormat="1" ht="20.100000000000001" customHeight="1" x14ac:dyDescent="0.25">
      <c r="A1373" s="287"/>
      <c r="B1373" s="424"/>
      <c r="C1373" s="287"/>
      <c r="D1373" s="287"/>
      <c r="E1373" s="370"/>
      <c r="F1373" s="397"/>
      <c r="G1373" s="287"/>
      <c r="H1373" s="254"/>
      <c r="I1373" s="254"/>
      <c r="J1373" s="423"/>
      <c r="K1373" s="287"/>
      <c r="L1373" s="254"/>
      <c r="M1373" s="19"/>
    </row>
    <row r="1374" spans="1:14" ht="20.100000000000001" customHeight="1" x14ac:dyDescent="0.25">
      <c r="E1374" s="25"/>
      <c r="F1374" s="28" t="s">
        <v>915</v>
      </c>
      <c r="G1374" s="25"/>
      <c r="H1374" s="448">
        <v>50</v>
      </c>
    </row>
    <row r="1375" spans="1:14" ht="20.100000000000001" customHeight="1" x14ac:dyDescent="0.25">
      <c r="E1375" s="25"/>
      <c r="F1375" s="25" t="s">
        <v>173</v>
      </c>
      <c r="G1375" s="25">
        <v>5</v>
      </c>
      <c r="H1375" s="35" t="s">
        <v>143</v>
      </c>
      <c r="J1375" s="35" t="s">
        <v>171</v>
      </c>
      <c r="K1375" s="35">
        <v>10.6</v>
      </c>
      <c r="L1375" s="35" t="s">
        <v>754</v>
      </c>
      <c r="M1375" s="35"/>
      <c r="N1375" s="25"/>
    </row>
    <row r="1376" spans="1:14" ht="20.100000000000001" customHeight="1" x14ac:dyDescent="0.25">
      <c r="A1376" s="25"/>
      <c r="B1376" s="258"/>
      <c r="C1376" s="258"/>
      <c r="D1376" s="30"/>
      <c r="E1376" s="25"/>
      <c r="F1376" s="25" t="s">
        <v>167</v>
      </c>
      <c r="G1376" s="25">
        <v>3.8</v>
      </c>
      <c r="H1376" s="35" t="s">
        <v>143</v>
      </c>
      <c r="J1376" s="35" t="s">
        <v>265</v>
      </c>
      <c r="K1376" s="35">
        <v>1.92</v>
      </c>
      <c r="L1376" s="35" t="s">
        <v>143</v>
      </c>
      <c r="M1376" s="35"/>
      <c r="N1376" s="25"/>
    </row>
    <row r="1377" spans="1:14" ht="20.100000000000001" customHeight="1" x14ac:dyDescent="0.25">
      <c r="A1377" s="25"/>
      <c r="B1377" s="258"/>
      <c r="C1377" s="258"/>
      <c r="D1377" s="30"/>
      <c r="E1377" s="25"/>
      <c r="F1377" s="25" t="s">
        <v>825</v>
      </c>
      <c r="G1377" s="25">
        <v>0.7</v>
      </c>
      <c r="H1377" s="35" t="s">
        <v>143</v>
      </c>
      <c r="J1377" s="35" t="s">
        <v>640</v>
      </c>
      <c r="K1377" s="478">
        <v>0</v>
      </c>
      <c r="L1377" s="35" t="s">
        <v>754</v>
      </c>
      <c r="M1377" s="35"/>
      <c r="N1377" s="25"/>
    </row>
    <row r="1378" spans="1:14" ht="20.100000000000001" customHeight="1" x14ac:dyDescent="0.25">
      <c r="A1378" s="25"/>
      <c r="B1378" s="258"/>
      <c r="C1378" s="258"/>
      <c r="D1378" s="30"/>
      <c r="E1378" s="25"/>
      <c r="F1378" s="25" t="s">
        <v>527</v>
      </c>
      <c r="G1378" s="25">
        <v>0.5</v>
      </c>
      <c r="H1378" s="35" t="s">
        <v>143</v>
      </c>
      <c r="J1378" s="35" t="s">
        <v>641</v>
      </c>
      <c r="K1378" s="35">
        <v>3.75</v>
      </c>
      <c r="L1378" s="35" t="s">
        <v>754</v>
      </c>
      <c r="M1378" s="35"/>
      <c r="N1378" s="25"/>
    </row>
    <row r="1379" spans="1:14" ht="20.100000000000001" customHeight="1" x14ac:dyDescent="0.25">
      <c r="A1379" s="25"/>
      <c r="B1379" s="258"/>
      <c r="C1379" s="258"/>
      <c r="D1379" s="30"/>
      <c r="E1379" s="25"/>
      <c r="F1379" s="25" t="s">
        <v>797</v>
      </c>
      <c r="G1379" s="25">
        <v>2</v>
      </c>
      <c r="H1379" s="35" t="s">
        <v>143</v>
      </c>
      <c r="J1379" s="35" t="s">
        <v>256</v>
      </c>
      <c r="K1379" s="478">
        <v>0</v>
      </c>
      <c r="L1379" s="35" t="s">
        <v>754</v>
      </c>
      <c r="M1379" s="35"/>
      <c r="N1379" s="25"/>
    </row>
    <row r="1380" spans="1:14" ht="20.100000000000001" customHeight="1" x14ac:dyDescent="0.25">
      <c r="A1380" s="25"/>
      <c r="B1380" s="258"/>
      <c r="C1380" s="258"/>
      <c r="D1380" s="30"/>
      <c r="E1380" s="25"/>
      <c r="F1380" s="25" t="s">
        <v>843</v>
      </c>
      <c r="G1380" s="25">
        <v>7.12</v>
      </c>
      <c r="H1380" s="35" t="s">
        <v>767</v>
      </c>
      <c r="J1380" s="35" t="s">
        <v>837</v>
      </c>
      <c r="K1380" s="35">
        <v>26.4</v>
      </c>
      <c r="L1380" s="35" t="s">
        <v>838</v>
      </c>
      <c r="M1380" s="35"/>
      <c r="N1380" s="25"/>
    </row>
    <row r="1381" spans="1:14" ht="20.100000000000001" customHeight="1" x14ac:dyDescent="0.25">
      <c r="A1381" s="25"/>
      <c r="B1381" s="258"/>
      <c r="C1381" s="258"/>
      <c r="D1381" s="30"/>
      <c r="E1381" s="25"/>
      <c r="F1381" s="25"/>
      <c r="G1381" s="25"/>
      <c r="H1381" s="35"/>
      <c r="J1381" s="35" t="s">
        <v>844</v>
      </c>
      <c r="K1381" s="35">
        <v>3.12</v>
      </c>
      <c r="L1381" s="35" t="s">
        <v>838</v>
      </c>
      <c r="M1381" s="35"/>
      <c r="N1381" s="25"/>
    </row>
    <row r="1382" spans="1:14" ht="20.100000000000001" customHeight="1" x14ac:dyDescent="0.25">
      <c r="A1382" s="28" t="s">
        <v>165</v>
      </c>
      <c r="B1382" s="25"/>
      <c r="C1382" s="25"/>
      <c r="D1382" s="25"/>
      <c r="E1382" s="25"/>
      <c r="F1382" s="25"/>
      <c r="G1382" s="25"/>
      <c r="H1382" s="35"/>
      <c r="I1382" s="35"/>
      <c r="J1382" s="35"/>
      <c r="K1382" s="35"/>
      <c r="L1382" s="35"/>
      <c r="M1382" s="35"/>
      <c r="N1382" s="25"/>
    </row>
    <row r="1383" spans="1:14" ht="20.100000000000001" customHeight="1" x14ac:dyDescent="0.25">
      <c r="A1383" s="25" t="s">
        <v>166</v>
      </c>
      <c r="B1383" s="25"/>
      <c r="C1383" s="25"/>
      <c r="D1383" s="25" t="s">
        <v>446</v>
      </c>
      <c r="E1383" s="191">
        <f>(G1376/2)/G1377</f>
        <v>2.7142857142857144</v>
      </c>
      <c r="F1383" s="25"/>
      <c r="G1383" s="25"/>
      <c r="H1383" s="35"/>
      <c r="I1383" s="35"/>
      <c r="J1383" s="35"/>
      <c r="K1383" s="35"/>
      <c r="L1383" s="35"/>
      <c r="M1383" s="35"/>
      <c r="N1383" s="25"/>
    </row>
    <row r="1384" spans="1:14" ht="20.100000000000001" customHeight="1" x14ac:dyDescent="0.25">
      <c r="A1384" s="25"/>
      <c r="B1384" s="502" t="s">
        <v>447</v>
      </c>
      <c r="C1384" s="502"/>
      <c r="D1384" s="502"/>
      <c r="E1384" s="502"/>
      <c r="F1384" s="191">
        <f>0.38*SQRT(J1364/J1365)</f>
        <v>11.085739353839987</v>
      </c>
      <c r="G1384" s="25"/>
      <c r="H1384" s="265" t="str">
        <f>IF(E1383&lt;F1384,"&gt; b/2t   Sección Compacta","&lt; b/2t  Sección No compacta")</f>
        <v>&gt; b/2t   Sección Compacta</v>
      </c>
      <c r="I1384" s="266"/>
      <c r="J1384" s="266"/>
      <c r="K1384" s="266"/>
      <c r="L1384" s="266"/>
      <c r="M1384" s="35"/>
      <c r="N1384" s="25"/>
    </row>
    <row r="1385" spans="1:14" ht="20.100000000000001" customHeight="1" x14ac:dyDescent="0.25">
      <c r="A1385" s="25"/>
      <c r="B1385" s="25"/>
      <c r="C1385" s="25"/>
      <c r="D1385" s="25"/>
      <c r="E1385" s="25"/>
      <c r="F1385" s="25"/>
      <c r="G1385" s="25"/>
      <c r="H1385" s="35"/>
      <c r="I1385" s="35"/>
      <c r="J1385" s="35"/>
      <c r="K1385" s="35"/>
      <c r="L1385" s="35"/>
      <c r="M1385" s="35"/>
      <c r="N1385" s="25"/>
    </row>
    <row r="1386" spans="1:14" ht="20.100000000000001" customHeight="1" x14ac:dyDescent="0.25">
      <c r="A1386" s="28" t="s">
        <v>916</v>
      </c>
      <c r="B1386" s="25"/>
      <c r="C1386" s="25"/>
      <c r="D1386" s="25"/>
      <c r="E1386" s="25"/>
      <c r="F1386" s="25"/>
      <c r="G1386" s="25"/>
      <c r="H1386" s="35"/>
      <c r="I1386" s="35"/>
      <c r="J1386" s="35"/>
      <c r="K1386" s="35"/>
      <c r="L1386" s="35"/>
      <c r="M1386" s="35"/>
      <c r="N1386" s="25"/>
    </row>
    <row r="1387" spans="1:14" ht="20.100000000000001" customHeight="1" x14ac:dyDescent="0.25">
      <c r="A1387" s="25" t="s">
        <v>448</v>
      </c>
      <c r="B1387" s="25"/>
      <c r="C1387" s="25"/>
      <c r="D1387" s="25"/>
      <c r="E1387" s="25"/>
      <c r="F1387" s="25"/>
      <c r="G1387" s="25"/>
      <c r="H1387" s="35"/>
      <c r="I1387" s="35"/>
      <c r="J1387" s="35"/>
      <c r="K1387" s="35"/>
      <c r="L1387" s="35"/>
      <c r="M1387" s="35"/>
      <c r="N1387" s="25"/>
    </row>
    <row r="1388" spans="1:14" ht="20.100000000000001" customHeight="1" x14ac:dyDescent="0.25">
      <c r="A1388" s="25"/>
      <c r="B1388" s="25"/>
      <c r="C1388" s="25"/>
      <c r="D1388" s="25"/>
      <c r="E1388" s="25"/>
      <c r="F1388" s="25"/>
      <c r="G1388" s="25"/>
      <c r="H1388" s="35"/>
      <c r="I1388" s="35"/>
      <c r="J1388" s="35"/>
      <c r="K1388" s="35"/>
      <c r="L1388" s="35"/>
      <c r="M1388" s="35"/>
      <c r="N1388" s="25"/>
    </row>
    <row r="1389" spans="1:14" ht="20.100000000000001" customHeight="1" x14ac:dyDescent="0.25">
      <c r="A1389" s="25" t="s">
        <v>449</v>
      </c>
      <c r="B1389" s="25"/>
      <c r="C1389" s="25"/>
      <c r="D1389" s="25"/>
      <c r="E1389" s="25"/>
      <c r="F1389" s="25"/>
      <c r="G1389" s="25"/>
      <c r="H1389" s="35"/>
      <c r="I1389" s="35"/>
      <c r="J1389" s="35"/>
      <c r="K1389" s="35"/>
      <c r="L1389" s="35"/>
      <c r="M1389" s="35"/>
      <c r="N1389" s="25"/>
    </row>
    <row r="1390" spans="1:14" ht="20.100000000000001" customHeight="1" x14ac:dyDescent="0.25">
      <c r="A1390" s="25" t="s">
        <v>176</v>
      </c>
      <c r="B1390" s="25"/>
      <c r="C1390" s="25"/>
      <c r="D1390" s="25"/>
      <c r="E1390" s="25"/>
      <c r="F1390" s="25"/>
      <c r="G1390" s="25"/>
      <c r="H1390" s="35"/>
      <c r="I1390" s="35"/>
      <c r="J1390" s="35"/>
      <c r="K1390" s="35"/>
      <c r="L1390" s="35"/>
      <c r="M1390" s="35"/>
      <c r="N1390" s="25"/>
    </row>
    <row r="1391" spans="1:14" ht="20.100000000000001" customHeight="1" x14ac:dyDescent="0.25">
      <c r="B1391" s="25"/>
      <c r="C1391" s="25" t="s">
        <v>917</v>
      </c>
      <c r="D1391" s="25"/>
      <c r="E1391" s="25"/>
      <c r="F1391" s="191">
        <f>J1365*K1377/1000</f>
        <v>0</v>
      </c>
      <c r="G1391" s="25" t="s">
        <v>179</v>
      </c>
      <c r="H1391" s="35"/>
      <c r="I1391" s="35"/>
      <c r="J1391" s="35"/>
      <c r="K1391" s="35"/>
      <c r="L1391" s="35"/>
      <c r="M1391" s="35"/>
      <c r="N1391" s="25"/>
    </row>
    <row r="1392" spans="1:14" ht="20.100000000000001" customHeight="1" x14ac:dyDescent="0.25">
      <c r="B1392" s="25"/>
      <c r="C1392" s="214" t="s">
        <v>826</v>
      </c>
      <c r="D1392" s="214"/>
      <c r="E1392" s="214"/>
      <c r="F1392" s="261">
        <f>J1365*K1375/1000</f>
        <v>2.4910000000000001</v>
      </c>
      <c r="G1392" s="261" t="s">
        <v>179</v>
      </c>
      <c r="H1392" s="35"/>
      <c r="I1392" s="35" t="s">
        <v>945</v>
      </c>
      <c r="J1392" s="35"/>
      <c r="K1392" s="192">
        <f>1.5*F1392</f>
        <v>3.7365000000000004</v>
      </c>
      <c r="L1392" s="35" t="s">
        <v>179</v>
      </c>
      <c r="M1392" s="35"/>
      <c r="N1392" s="25"/>
    </row>
    <row r="1393" spans="1:14" ht="20.100000000000001" customHeight="1" x14ac:dyDescent="0.25">
      <c r="B1393" s="25"/>
      <c r="C1393" s="25"/>
      <c r="D1393" s="25" t="s">
        <v>635</v>
      </c>
      <c r="E1393" s="25"/>
      <c r="F1393" s="191">
        <f>F1391/F1392</f>
        <v>0</v>
      </c>
      <c r="G1393" s="25"/>
      <c r="H1393" s="35"/>
      <c r="I1393" s="35"/>
      <c r="J1393" s="35" t="s">
        <v>918</v>
      </c>
      <c r="K1393" s="35"/>
      <c r="L1393" s="35"/>
      <c r="M1393" s="450"/>
      <c r="N1393" s="25"/>
    </row>
    <row r="1394" spans="1:14" ht="20.100000000000001" customHeight="1" x14ac:dyDescent="0.25">
      <c r="A1394" s="25"/>
      <c r="B1394" s="25"/>
      <c r="C1394" s="25"/>
      <c r="D1394" s="25"/>
      <c r="E1394" s="25"/>
      <c r="F1394" s="25"/>
      <c r="G1394" s="25"/>
      <c r="H1394" s="35"/>
      <c r="I1394" s="35"/>
      <c r="J1394" s="35"/>
      <c r="K1394" s="35"/>
      <c r="L1394" s="35"/>
      <c r="M1394" s="35"/>
      <c r="N1394" s="25"/>
    </row>
    <row r="1395" spans="1:14" ht="20.100000000000001" customHeight="1" x14ac:dyDescent="0.25">
      <c r="A1395" s="25" t="s">
        <v>284</v>
      </c>
      <c r="B1395" s="190">
        <f>J1361/100</f>
        <v>1.1819999999999999</v>
      </c>
      <c r="C1395" s="25" t="s">
        <v>179</v>
      </c>
      <c r="D1395" s="25"/>
      <c r="E1395" s="206" t="s">
        <v>919</v>
      </c>
      <c r="F1395" s="203">
        <v>0.9</v>
      </c>
      <c r="G1395" s="25" t="s">
        <v>920</v>
      </c>
      <c r="H1395" s="35"/>
      <c r="I1395" s="217">
        <f>F1395*K1392</f>
        <v>3.3628500000000003</v>
      </c>
      <c r="J1395" s="433" t="s">
        <v>179</v>
      </c>
      <c r="K1395" s="281" t="str">
        <f>IF(B1395&lt;I1395,"BC","MC")</f>
        <v>BC</v>
      </c>
      <c r="L1395" s="35"/>
      <c r="M1395" s="35"/>
      <c r="N1395" s="25"/>
    </row>
    <row r="1396" spans="1:14" ht="20.100000000000001" customHeight="1" x14ac:dyDescent="0.25">
      <c r="B1396" s="25"/>
      <c r="C1396" s="430"/>
      <c r="D1396" s="25"/>
      <c r="E1396" s="25"/>
      <c r="G1396" s="429"/>
      <c r="H1396" s="35"/>
      <c r="J1396" s="35"/>
      <c r="K1396" s="35"/>
      <c r="L1396" s="259"/>
      <c r="N1396" s="25"/>
    </row>
    <row r="1397" spans="1:14" ht="20.100000000000001" customHeight="1" x14ac:dyDescent="0.25">
      <c r="A1397" s="28" t="s">
        <v>190</v>
      </c>
      <c r="B1397" s="25"/>
      <c r="C1397" s="25"/>
      <c r="D1397" s="25"/>
      <c r="E1397" s="25"/>
      <c r="F1397" s="25"/>
      <c r="G1397" s="25"/>
      <c r="H1397" s="35"/>
      <c r="I1397" s="35"/>
      <c r="J1397" s="35"/>
      <c r="K1397" s="35"/>
      <c r="L1397" s="35"/>
      <c r="M1397" s="35"/>
      <c r="N1397" s="25"/>
    </row>
    <row r="1398" spans="1:14" ht="20.100000000000001" customHeight="1" x14ac:dyDescent="0.25">
      <c r="A1398" s="25" t="s">
        <v>835</v>
      </c>
      <c r="B1398" s="25"/>
      <c r="C1398" s="25"/>
      <c r="D1398" s="25"/>
      <c r="E1398" s="71">
        <f>G1378*G1379</f>
        <v>1</v>
      </c>
      <c r="F1398" s="25" t="s">
        <v>433</v>
      </c>
      <c r="G1398" s="25"/>
      <c r="H1398" s="35"/>
      <c r="I1398" s="35"/>
      <c r="J1398" s="35"/>
      <c r="K1398" s="35"/>
      <c r="L1398" s="35"/>
      <c r="M1398" s="35"/>
      <c r="N1398" s="25"/>
    </row>
    <row r="1399" spans="1:14" ht="20.100000000000001" customHeight="1" x14ac:dyDescent="0.25">
      <c r="A1399" s="25"/>
      <c r="B1399" s="25" t="s">
        <v>192</v>
      </c>
      <c r="C1399" s="25"/>
      <c r="D1399" s="25"/>
      <c r="E1399" s="431">
        <f>G1379/G1378</f>
        <v>4</v>
      </c>
      <c r="F1399" s="265" t="str">
        <f>IF(E1399&lt;260,"&lt; 260 BC","&gt; 260 MC")</f>
        <v>&lt; 260 BC</v>
      </c>
      <c r="G1399" s="264"/>
      <c r="H1399" s="35"/>
      <c r="I1399" s="35"/>
      <c r="J1399" s="35"/>
      <c r="K1399" s="35"/>
      <c r="L1399" s="35"/>
      <c r="M1399" s="35"/>
      <c r="N1399" s="25"/>
    </row>
    <row r="1400" spans="1:14" ht="20.100000000000001" customHeight="1" x14ac:dyDescent="0.25">
      <c r="A1400" s="25"/>
      <c r="B1400" s="25"/>
      <c r="C1400" s="25"/>
      <c r="D1400" s="25"/>
      <c r="E1400" s="25"/>
      <c r="F1400" s="25"/>
      <c r="G1400" s="25"/>
      <c r="H1400" s="35"/>
      <c r="I1400" s="35"/>
      <c r="J1400" s="35"/>
      <c r="K1400" s="35"/>
      <c r="L1400" s="35"/>
      <c r="M1400" s="35"/>
      <c r="N1400" s="25"/>
    </row>
    <row r="1401" spans="1:14" ht="20.100000000000001" customHeight="1" x14ac:dyDescent="0.25">
      <c r="A1401" s="25"/>
      <c r="B1401" s="25"/>
      <c r="C1401" s="25"/>
      <c r="D1401" s="25"/>
      <c r="E1401" s="25"/>
      <c r="F1401" s="25"/>
      <c r="G1401" s="25"/>
      <c r="H1401" s="35"/>
      <c r="I1401" s="35"/>
      <c r="J1401" s="35"/>
      <c r="K1401" s="35"/>
      <c r="L1401" s="35"/>
      <c r="M1401" s="35"/>
      <c r="N1401" s="25"/>
    </row>
    <row r="1402" spans="1:14" ht="20.100000000000001" customHeight="1" x14ac:dyDescent="0.25">
      <c r="A1402" s="25"/>
      <c r="B1402" s="25"/>
      <c r="C1402" s="25"/>
      <c r="D1402" s="25"/>
      <c r="E1402" s="25"/>
      <c r="F1402" s="25"/>
      <c r="G1402" s="25"/>
      <c r="H1402" s="35"/>
      <c r="I1402" s="35"/>
      <c r="J1402" s="35"/>
      <c r="K1402" s="35"/>
      <c r="L1402" s="35"/>
      <c r="M1402" s="35"/>
      <c r="N1402" s="25"/>
    </row>
    <row r="1403" spans="1:14" ht="20.100000000000001" customHeight="1" x14ac:dyDescent="0.25">
      <c r="A1403" s="28" t="s">
        <v>193</v>
      </c>
      <c r="B1403" s="25"/>
      <c r="C1403" s="25"/>
      <c r="D1403" s="25"/>
      <c r="E1403" s="25"/>
      <c r="F1403" s="25"/>
      <c r="G1403" s="25"/>
      <c r="H1403" s="35"/>
      <c r="I1403" s="35"/>
      <c r="J1403" s="35"/>
      <c r="K1403" s="35"/>
      <c r="L1403" s="35"/>
      <c r="M1403" s="35"/>
      <c r="N1403" s="25"/>
    </row>
    <row r="1404" spans="1:14" ht="20.100000000000001" customHeight="1" x14ac:dyDescent="0.25">
      <c r="A1404" s="25" t="s">
        <v>456</v>
      </c>
      <c r="B1404" s="25"/>
      <c r="C1404" s="25"/>
      <c r="D1404" s="431">
        <f>2.45*SQRT(J1364/J1365)</f>
        <v>71.47384583396834</v>
      </c>
      <c r="E1404" s="25" t="str">
        <f>IF(D1404&gt;E1399,"&gt; h/s se aplica","&lt; h/s ver norma")</f>
        <v>&gt; h/s se aplica</v>
      </c>
      <c r="F1404" s="25"/>
      <c r="G1404" s="25"/>
      <c r="H1404" s="35" t="s">
        <v>457</v>
      </c>
      <c r="I1404" s="35"/>
      <c r="J1404" s="35"/>
      <c r="K1404" s="35"/>
      <c r="L1404" s="35"/>
      <c r="M1404" s="35"/>
      <c r="N1404" s="25"/>
    </row>
    <row r="1405" spans="1:14" ht="20.100000000000001" customHeight="1" x14ac:dyDescent="0.25">
      <c r="A1405" s="25"/>
      <c r="B1405" s="25"/>
      <c r="C1405" s="25"/>
      <c r="D1405" s="25"/>
      <c r="E1405" s="25"/>
      <c r="F1405" s="25"/>
      <c r="G1405" s="25"/>
      <c r="H1405" s="428" t="s">
        <v>194</v>
      </c>
      <c r="I1405" s="218">
        <f>0.6*J1365*E1398/10</f>
        <v>14.1</v>
      </c>
      <c r="J1405" s="35" t="s">
        <v>195</v>
      </c>
      <c r="K1405" s="35"/>
      <c r="L1405" s="35"/>
      <c r="M1405" s="35"/>
      <c r="N1405" s="25"/>
    </row>
    <row r="1406" spans="1:14" ht="20.100000000000001" customHeight="1" x14ac:dyDescent="0.25">
      <c r="A1406" s="25"/>
      <c r="B1406" s="25"/>
      <c r="C1406" s="25"/>
      <c r="D1406" s="25"/>
      <c r="E1406" s="25"/>
      <c r="F1406" s="25"/>
      <c r="G1406" s="25"/>
      <c r="H1406" s="428" t="s">
        <v>458</v>
      </c>
      <c r="I1406" s="44">
        <v>0.9</v>
      </c>
      <c r="J1406" s="35"/>
      <c r="K1406" s="35"/>
      <c r="L1406" s="35"/>
      <c r="M1406" s="35"/>
      <c r="N1406" s="25"/>
    </row>
    <row r="1407" spans="1:14" ht="20.100000000000001" customHeight="1" x14ac:dyDescent="0.25">
      <c r="A1407" s="25"/>
      <c r="B1407" s="25"/>
      <c r="C1407" s="25"/>
      <c r="D1407" s="25" t="s">
        <v>473</v>
      </c>
      <c r="E1407" s="25"/>
      <c r="F1407" s="71">
        <f>I1406*I1405</f>
        <v>12.69</v>
      </c>
      <c r="G1407" s="25" t="s">
        <v>195</v>
      </c>
      <c r="H1407" s="429" t="str">
        <f>IF(F1407&gt;I1407,"&gt;","&lt;")</f>
        <v>&gt;</v>
      </c>
      <c r="I1407" s="204">
        <f>J1360/100</f>
        <v>2.13</v>
      </c>
      <c r="J1407" s="35" t="s">
        <v>836</v>
      </c>
      <c r="K1407" s="55"/>
      <c r="L1407" s="35"/>
      <c r="M1407" s="263" t="str">
        <f>IF(F1407&gt;I1407,"BC !!!","MC")</f>
        <v>BC !!!</v>
      </c>
      <c r="N1407" s="264"/>
    </row>
    <row r="1408" spans="1:14" ht="20.100000000000001" customHeight="1" x14ac:dyDescent="0.25">
      <c r="A1408" s="25"/>
      <c r="B1408" s="25"/>
      <c r="C1408" s="25"/>
      <c r="D1408" s="25"/>
      <c r="E1408" s="25"/>
      <c r="F1408" s="25"/>
      <c r="G1408" s="25"/>
      <c r="H1408" s="35"/>
      <c r="I1408" s="35"/>
      <c r="J1408" s="35"/>
      <c r="K1408" s="35"/>
      <c r="L1408" s="35"/>
      <c r="M1408" s="35"/>
      <c r="N1408" s="25"/>
    </row>
    <row r="1409" spans="1:35" ht="20.100000000000001" customHeight="1" x14ac:dyDescent="0.25">
      <c r="A1409" s="25" t="s">
        <v>197</v>
      </c>
      <c r="B1409" s="25"/>
      <c r="C1409" s="25"/>
      <c r="D1409" s="25"/>
      <c r="E1409" s="25"/>
      <c r="F1409" s="25"/>
      <c r="G1409" s="25"/>
      <c r="H1409" s="35"/>
      <c r="I1409" s="35"/>
      <c r="J1409" s="35"/>
      <c r="K1409" s="35"/>
      <c r="L1409" s="35"/>
      <c r="M1409" s="35"/>
      <c r="N1409" s="25"/>
    </row>
    <row r="1410" spans="1:35" ht="20.100000000000001" customHeight="1" x14ac:dyDescent="0.25">
      <c r="A1410" s="25" t="s">
        <v>459</v>
      </c>
      <c r="B1410" s="25"/>
      <c r="C1410" s="430">
        <v>150</v>
      </c>
      <c r="D1410" s="25" t="s">
        <v>189</v>
      </c>
      <c r="E1410" s="191">
        <f>J1358*100/C1410</f>
        <v>1.4263551061670754</v>
      </c>
      <c r="F1410" s="25" t="s">
        <v>143</v>
      </c>
      <c r="G1410" s="25"/>
      <c r="H1410" s="428" t="s">
        <v>144</v>
      </c>
      <c r="I1410" s="503">
        <f>J1364*10/0.981</f>
        <v>2038735.9836901121</v>
      </c>
      <c r="J1410" s="503"/>
      <c r="K1410" s="35" t="s">
        <v>420</v>
      </c>
      <c r="L1410" s="35"/>
      <c r="M1410" s="35"/>
      <c r="N1410" s="25"/>
    </row>
    <row r="1411" spans="1:35" ht="20.100000000000001" customHeight="1" x14ac:dyDescent="0.25">
      <c r="A1411" s="25"/>
      <c r="B1411" s="25"/>
      <c r="C1411" s="25"/>
      <c r="D1411" s="25"/>
      <c r="E1411" s="25"/>
      <c r="F1411" s="25"/>
      <c r="G1411" s="25"/>
      <c r="H1411" s="35"/>
      <c r="I1411" s="35"/>
      <c r="J1411" s="35"/>
      <c r="K1411" s="35"/>
      <c r="L1411" s="35"/>
      <c r="M1411" s="35"/>
      <c r="N1411" s="25"/>
    </row>
    <row r="1412" spans="1:35" ht="20.100000000000001" customHeight="1" x14ac:dyDescent="0.25">
      <c r="A1412" s="25" t="s">
        <v>460</v>
      </c>
      <c r="B1412" s="25"/>
      <c r="C1412" s="25"/>
      <c r="D1412" s="25"/>
      <c r="E1412" s="190">
        <f>5*J1361*100*(J1358*100)^2/(48*2100000*K1380)</f>
        <v>1.0166251803751805</v>
      </c>
      <c r="F1412" s="25" t="s">
        <v>143</v>
      </c>
      <c r="G1412" s="265" t="str">
        <f>IF(E1412&lt;E1410,"BC","MC")</f>
        <v>BC</v>
      </c>
      <c r="H1412" s="35"/>
      <c r="I1412" s="35"/>
      <c r="J1412" s="35"/>
      <c r="K1412" s="35"/>
      <c r="L1412" s="35"/>
      <c r="M1412" s="35"/>
      <c r="N1412" s="25"/>
    </row>
    <row r="1414" spans="1:35" ht="20.100000000000001" customHeight="1" x14ac:dyDescent="0.25">
      <c r="A1414" s="28" t="s">
        <v>921</v>
      </c>
      <c r="B1414" s="25"/>
      <c r="C1414" s="25"/>
      <c r="D1414" s="25"/>
      <c r="E1414" s="25"/>
      <c r="F1414" s="25"/>
      <c r="G1414" s="25"/>
      <c r="H1414" s="35"/>
      <c r="I1414" s="35"/>
      <c r="J1414" s="35"/>
      <c r="K1414" s="35"/>
      <c r="L1414" s="35"/>
      <c r="M1414" s="35"/>
      <c r="N1414" s="25"/>
      <c r="O1414" s="25"/>
    </row>
    <row r="1415" spans="1:35" ht="20.100000000000001" customHeight="1" x14ac:dyDescent="0.25">
      <c r="A1415" s="25" t="s">
        <v>943</v>
      </c>
      <c r="B1415" s="25"/>
      <c r="C1415" s="25"/>
      <c r="D1415" s="25"/>
      <c r="E1415" s="25"/>
      <c r="F1415" s="25"/>
      <c r="G1415" s="25"/>
      <c r="H1415" s="35"/>
      <c r="I1415" s="35"/>
      <c r="J1415" s="35"/>
      <c r="K1415" s="35"/>
      <c r="L1415" s="35"/>
      <c r="M1415" s="35"/>
      <c r="N1415" s="25"/>
      <c r="O1415" s="25"/>
    </row>
    <row r="1416" spans="1:35" ht="20.100000000000001" customHeight="1" x14ac:dyDescent="0.25">
      <c r="A1416" s="453" t="s">
        <v>922</v>
      </c>
      <c r="B1416" s="452">
        <v>1</v>
      </c>
      <c r="C1416" s="452">
        <v>2</v>
      </c>
      <c r="D1416" s="452">
        <v>3</v>
      </c>
      <c r="E1416" s="452">
        <v>4</v>
      </c>
      <c r="F1416" s="452">
        <v>5</v>
      </c>
      <c r="G1416" s="452">
        <v>6</v>
      </c>
      <c r="H1416" s="452">
        <v>7</v>
      </c>
      <c r="I1416" s="452">
        <v>8</v>
      </c>
      <c r="J1416" s="189"/>
      <c r="K1416" s="35" t="s">
        <v>935</v>
      </c>
      <c r="L1416" s="218">
        <f>-B949</f>
        <v>136.03857134857938</v>
      </c>
      <c r="M1416" s="35" t="s">
        <v>660</v>
      </c>
      <c r="N1416" s="189"/>
      <c r="O1416" s="25"/>
    </row>
    <row r="1417" spans="1:35" ht="20.100000000000001" customHeight="1" x14ac:dyDescent="0.25">
      <c r="A1417" s="452" t="s">
        <v>94</v>
      </c>
      <c r="B1417" s="434">
        <v>0</v>
      </c>
      <c r="C1417" s="434">
        <v>3.4</v>
      </c>
      <c r="D1417" s="133">
        <v>5.8</v>
      </c>
      <c r="E1417" s="133">
        <v>7.94</v>
      </c>
      <c r="F1417" s="133">
        <v>10.08</v>
      </c>
      <c r="G1417" s="133">
        <v>12.22</v>
      </c>
      <c r="H1417" s="133">
        <v>14.36</v>
      </c>
      <c r="I1417" s="434">
        <v>16.5</v>
      </c>
      <c r="K1417" s="35" t="s">
        <v>936</v>
      </c>
      <c r="O1417" s="25"/>
    </row>
    <row r="1418" spans="1:35" s="17" customFormat="1" ht="20.100000000000001" customHeight="1" x14ac:dyDescent="0.25">
      <c r="A1418" s="452" t="s">
        <v>95</v>
      </c>
      <c r="B1418" s="434">
        <v>0</v>
      </c>
      <c r="C1418" s="434">
        <v>0</v>
      </c>
      <c r="D1418" s="434">
        <v>0</v>
      </c>
      <c r="E1418" s="434">
        <v>0</v>
      </c>
      <c r="F1418" s="434">
        <v>0</v>
      </c>
      <c r="G1418" s="434">
        <v>0</v>
      </c>
      <c r="H1418" s="434">
        <v>0</v>
      </c>
      <c r="I1418" s="434">
        <v>0</v>
      </c>
      <c r="K1418" s="454" t="s">
        <v>937</v>
      </c>
      <c r="L1418" s="71">
        <f>5.8/2</f>
        <v>2.9</v>
      </c>
      <c r="M1418" s="454" t="s">
        <v>5</v>
      </c>
      <c r="O1418" s="430"/>
      <c r="S1418" s="459" t="s">
        <v>717</v>
      </c>
      <c r="T1418" s="460">
        <f>K1276</f>
        <v>322.55545604892961</v>
      </c>
      <c r="U1418" s="459" t="s">
        <v>120</v>
      </c>
    </row>
    <row r="1419" spans="1:35" ht="20.100000000000001" customHeight="1" x14ac:dyDescent="0.25">
      <c r="A1419" s="28"/>
      <c r="B1419" s="25"/>
      <c r="C1419" s="25"/>
      <c r="D1419" s="25"/>
      <c r="E1419" s="25"/>
      <c r="F1419" s="25"/>
      <c r="G1419" s="25"/>
      <c r="H1419" s="25"/>
      <c r="I1419" s="25"/>
      <c r="J1419" s="25"/>
      <c r="K1419" s="35" t="s">
        <v>946</v>
      </c>
      <c r="L1419" s="192">
        <v>1</v>
      </c>
      <c r="M1419" s="35" t="s">
        <v>5</v>
      </c>
      <c r="N1419" s="25"/>
      <c r="O1419" s="25"/>
    </row>
    <row r="1420" spans="1:35" ht="20.100000000000001" customHeight="1" x14ac:dyDescent="0.25">
      <c r="A1420" s="453" t="s">
        <v>922</v>
      </c>
      <c r="B1420" s="452">
        <v>9</v>
      </c>
      <c r="C1420" s="452">
        <v>10</v>
      </c>
      <c r="D1420" s="452">
        <v>11</v>
      </c>
      <c r="E1420" s="452">
        <v>12</v>
      </c>
      <c r="F1420" s="452">
        <v>13</v>
      </c>
      <c r="G1420" s="452">
        <v>14</v>
      </c>
      <c r="H1420" s="452">
        <v>15</v>
      </c>
      <c r="I1420" s="452">
        <v>16</v>
      </c>
      <c r="J1420" s="189"/>
      <c r="N1420" s="189"/>
      <c r="O1420" s="25"/>
      <c r="S1420" s="455" t="s">
        <v>781</v>
      </c>
      <c r="T1420" s="25">
        <v>0.76</v>
      </c>
      <c r="U1420" s="25" t="s">
        <v>5</v>
      </c>
      <c r="Z1420" s="458" t="s">
        <v>781</v>
      </c>
      <c r="AA1420" s="25">
        <v>0.76</v>
      </c>
      <c r="AB1420" s="25" t="s">
        <v>5</v>
      </c>
      <c r="AH1420" s="25"/>
      <c r="AI1420" s="25"/>
    </row>
    <row r="1421" spans="1:35" ht="20.100000000000001" customHeight="1" x14ac:dyDescent="0.25">
      <c r="A1421" s="452" t="s">
        <v>94</v>
      </c>
      <c r="B1421" s="434">
        <f>B1417</f>
        <v>0</v>
      </c>
      <c r="C1421" s="439">
        <f t="shared" ref="C1421:I1421" si="23">C1417</f>
        <v>3.4</v>
      </c>
      <c r="D1421" s="439">
        <f t="shared" si="23"/>
        <v>5.8</v>
      </c>
      <c r="E1421" s="439">
        <f t="shared" si="23"/>
        <v>7.94</v>
      </c>
      <c r="F1421" s="439">
        <f t="shared" si="23"/>
        <v>10.08</v>
      </c>
      <c r="G1421" s="439">
        <f t="shared" si="23"/>
        <v>12.22</v>
      </c>
      <c r="H1421" s="439">
        <f t="shared" si="23"/>
        <v>14.36</v>
      </c>
      <c r="I1421" s="439">
        <f t="shared" si="23"/>
        <v>16.5</v>
      </c>
      <c r="J1421" s="129"/>
      <c r="N1421" s="129"/>
      <c r="O1421" s="25"/>
      <c r="S1421" s="455" t="s">
        <v>783</v>
      </c>
      <c r="T1421" s="190">
        <v>0.76</v>
      </c>
      <c r="U1421" s="25" t="s">
        <v>5</v>
      </c>
      <c r="Z1421" s="458" t="s">
        <v>783</v>
      </c>
      <c r="AA1421" s="190">
        <v>0.76</v>
      </c>
      <c r="AB1421" s="25" t="s">
        <v>5</v>
      </c>
      <c r="AH1421" s="190"/>
      <c r="AI1421" s="25"/>
    </row>
    <row r="1422" spans="1:35" ht="20.100000000000001" customHeight="1" x14ac:dyDescent="0.25">
      <c r="A1422" s="452" t="s">
        <v>95</v>
      </c>
      <c r="B1422" s="434">
        <v>4</v>
      </c>
      <c r="C1422" s="434">
        <v>4</v>
      </c>
      <c r="D1422" s="439">
        <v>4</v>
      </c>
      <c r="E1422" s="439">
        <v>4</v>
      </c>
      <c r="F1422" s="439">
        <v>4</v>
      </c>
      <c r="G1422" s="439">
        <v>4</v>
      </c>
      <c r="H1422" s="439">
        <v>4</v>
      </c>
      <c r="I1422" s="439">
        <v>4</v>
      </c>
      <c r="J1422" s="129"/>
      <c r="N1422" s="129"/>
      <c r="O1422" s="25"/>
      <c r="S1422" s="456" t="s">
        <v>788</v>
      </c>
      <c r="T1422" s="34">
        <v>0.8</v>
      </c>
      <c r="U1422" s="28" t="s">
        <v>5</v>
      </c>
      <c r="Z1422" s="457" t="s">
        <v>788</v>
      </c>
      <c r="AA1422" s="28">
        <v>0.76</v>
      </c>
      <c r="AB1422" s="28" t="s">
        <v>5</v>
      </c>
      <c r="AG1422" s="458" t="s">
        <v>781</v>
      </c>
      <c r="AH1422" s="28">
        <v>0.76</v>
      </c>
      <c r="AI1422" s="28" t="s">
        <v>5</v>
      </c>
    </row>
    <row r="1423" spans="1:35" ht="20.100000000000001" customHeight="1" x14ac:dyDescent="0.25">
      <c r="A1423" s="430"/>
      <c r="C1423" s="430"/>
      <c r="D1423" s="25"/>
      <c r="E1423" s="430"/>
      <c r="F1423" s="430"/>
      <c r="G1423" s="430"/>
      <c r="H1423" s="35"/>
      <c r="I1423" s="429"/>
      <c r="J1423" s="429"/>
      <c r="N1423" s="430"/>
      <c r="O1423" s="25"/>
      <c r="S1423" s="455" t="s">
        <v>784</v>
      </c>
      <c r="T1423" s="190">
        <v>0.6</v>
      </c>
      <c r="U1423" s="25" t="s">
        <v>5</v>
      </c>
      <c r="Z1423" s="458" t="s">
        <v>784</v>
      </c>
      <c r="AA1423" s="190">
        <v>0.8</v>
      </c>
      <c r="AB1423" s="25" t="s">
        <v>5</v>
      </c>
      <c r="AG1423" s="458" t="s">
        <v>783</v>
      </c>
      <c r="AH1423" s="190">
        <v>0.8</v>
      </c>
      <c r="AI1423" s="25" t="s">
        <v>5</v>
      </c>
    </row>
    <row r="1424" spans="1:35" ht="20.100000000000001" customHeight="1" x14ac:dyDescent="0.25">
      <c r="A1424" s="39" t="s">
        <v>927</v>
      </c>
      <c r="B1424" s="189"/>
      <c r="C1424" s="189"/>
      <c r="D1424" s="25"/>
      <c r="E1424" s="25"/>
      <c r="F1424" s="190"/>
      <c r="G1424" s="25"/>
      <c r="I1424" s="437"/>
      <c r="J1424" s="437"/>
      <c r="K1424" s="437"/>
      <c r="L1424" s="437"/>
      <c r="M1424" s="437"/>
      <c r="N1424" s="438"/>
      <c r="O1424" s="25"/>
      <c r="S1424" s="455" t="s">
        <v>785</v>
      </c>
      <c r="T1424" s="190">
        <v>1</v>
      </c>
      <c r="U1424" s="25" t="s">
        <v>5</v>
      </c>
      <c r="Z1424" s="458" t="s">
        <v>785</v>
      </c>
      <c r="AA1424" s="190">
        <v>0.6</v>
      </c>
      <c r="AB1424" s="25" t="s">
        <v>5</v>
      </c>
      <c r="AG1424" s="457" t="s">
        <v>788</v>
      </c>
      <c r="AH1424" s="190">
        <v>0.6</v>
      </c>
      <c r="AI1424" s="25" t="s">
        <v>5</v>
      </c>
    </row>
    <row r="1425" spans="1:35" ht="20.100000000000001" customHeight="1" x14ac:dyDescent="0.25">
      <c r="A1425" s="39" t="s">
        <v>928</v>
      </c>
      <c r="B1425" s="218">
        <f>L1416*L1418*L1419</f>
        <v>394.51185691088017</v>
      </c>
      <c r="C1425" s="35" t="s">
        <v>122</v>
      </c>
      <c r="D1425" s="25"/>
      <c r="E1425" s="25"/>
      <c r="F1425" s="130"/>
      <c r="G1425" s="25"/>
      <c r="I1425" s="437"/>
      <c r="J1425" s="437"/>
      <c r="K1425" s="437"/>
      <c r="L1425" s="437"/>
      <c r="M1425" s="437"/>
      <c r="N1425" s="438"/>
      <c r="O1425" s="25"/>
      <c r="S1425" s="455" t="s">
        <v>786</v>
      </c>
      <c r="T1425" s="190">
        <v>1</v>
      </c>
      <c r="U1425" s="25" t="s">
        <v>5</v>
      </c>
      <c r="Z1425" s="458" t="s">
        <v>786</v>
      </c>
      <c r="AA1425" s="190">
        <v>1</v>
      </c>
      <c r="AB1425" s="25" t="s">
        <v>5</v>
      </c>
      <c r="AG1425" s="458" t="s">
        <v>784</v>
      </c>
      <c r="AH1425" s="190">
        <v>1</v>
      </c>
      <c r="AI1425" s="25" t="s">
        <v>5</v>
      </c>
    </row>
    <row r="1426" spans="1:35" ht="20.100000000000001" customHeight="1" x14ac:dyDescent="0.25">
      <c r="A1426" s="39" t="s">
        <v>929</v>
      </c>
      <c r="B1426" s="461">
        <f>(2.4+0.76)*L1419*L1416/2</f>
        <v>214.94094273075544</v>
      </c>
      <c r="C1426" s="35" t="s">
        <v>122</v>
      </c>
      <c r="D1426" s="25"/>
      <c r="E1426" s="25"/>
      <c r="F1426" s="130"/>
      <c r="G1426" s="25"/>
      <c r="I1426" s="437"/>
      <c r="J1426" s="437"/>
      <c r="K1426" s="437"/>
      <c r="L1426" s="437"/>
      <c r="M1426" s="437"/>
      <c r="N1426" s="438"/>
      <c r="O1426" s="25"/>
      <c r="S1426" s="455" t="s">
        <v>787</v>
      </c>
      <c r="T1426" s="190">
        <v>1</v>
      </c>
      <c r="U1426" s="25" t="s">
        <v>5</v>
      </c>
      <c r="Z1426" s="458" t="s">
        <v>787</v>
      </c>
      <c r="AA1426" s="190">
        <v>1</v>
      </c>
      <c r="AB1426" s="25" t="s">
        <v>5</v>
      </c>
      <c r="AG1426" s="458" t="s">
        <v>785</v>
      </c>
      <c r="AH1426" s="190">
        <v>1</v>
      </c>
      <c r="AI1426" s="25" t="s">
        <v>5</v>
      </c>
    </row>
    <row r="1427" spans="1:35" ht="20.100000000000001" customHeight="1" x14ac:dyDescent="0.25">
      <c r="A1427" s="39" t="s">
        <v>930</v>
      </c>
      <c r="B1427" s="130">
        <f>AF1431</f>
        <v>1121.0768899261577</v>
      </c>
      <c r="C1427" s="35" t="s">
        <v>122</v>
      </c>
      <c r="D1427" s="25"/>
      <c r="E1427" s="438"/>
      <c r="F1427" s="438"/>
      <c r="G1427" s="438"/>
      <c r="H1427" s="35"/>
      <c r="I1427" s="437"/>
      <c r="J1427" s="437"/>
      <c r="K1427" s="437"/>
      <c r="L1427" s="437"/>
      <c r="M1427" s="437"/>
      <c r="N1427" s="438"/>
      <c r="O1427" s="25"/>
      <c r="S1427" s="458" t="s">
        <v>849</v>
      </c>
      <c r="T1427" s="190">
        <v>1</v>
      </c>
      <c r="U1427" s="25" t="s">
        <v>5</v>
      </c>
      <c r="Z1427" s="458" t="s">
        <v>849</v>
      </c>
      <c r="AA1427" s="190">
        <v>1</v>
      </c>
      <c r="AB1427" s="25" t="s">
        <v>5</v>
      </c>
      <c r="AG1427" s="458" t="s">
        <v>786</v>
      </c>
      <c r="AH1427" s="190">
        <v>1</v>
      </c>
      <c r="AI1427" s="25" t="s">
        <v>5</v>
      </c>
    </row>
    <row r="1428" spans="1:35" ht="20.100000000000001" customHeight="1" thickBot="1" x14ac:dyDescent="0.3">
      <c r="A1428" s="39" t="s">
        <v>931</v>
      </c>
      <c r="B1428" s="130">
        <f>R1430</f>
        <v>1293.7470204366905</v>
      </c>
      <c r="C1428" s="35" t="s">
        <v>122</v>
      </c>
      <c r="D1428" s="25"/>
      <c r="E1428" s="438"/>
      <c r="F1428" s="438"/>
      <c r="G1428" s="438"/>
      <c r="H1428" s="35"/>
      <c r="I1428" s="437"/>
      <c r="J1428" s="437"/>
      <c r="K1428" s="437"/>
      <c r="L1428" s="437"/>
      <c r="M1428" s="437"/>
      <c r="N1428" s="438"/>
      <c r="O1428" s="25"/>
      <c r="S1428" s="458" t="s">
        <v>850</v>
      </c>
      <c r="T1428" s="190">
        <v>0.4</v>
      </c>
      <c r="U1428" s="25" t="s">
        <v>5</v>
      </c>
      <c r="Z1428" s="458" t="s">
        <v>850</v>
      </c>
      <c r="AA1428" s="190">
        <v>1</v>
      </c>
      <c r="AB1428" s="25" t="s">
        <v>5</v>
      </c>
      <c r="AG1428" s="458" t="s">
        <v>787</v>
      </c>
      <c r="AH1428" s="190">
        <v>1</v>
      </c>
      <c r="AI1428" s="25" t="s">
        <v>5</v>
      </c>
    </row>
    <row r="1429" spans="1:35" ht="20.100000000000001" customHeight="1" thickBot="1" x14ac:dyDescent="0.3">
      <c r="A1429" s="39" t="s">
        <v>932</v>
      </c>
      <c r="B1429" s="130">
        <f>Y1431</f>
        <v>1464.2740257270714</v>
      </c>
      <c r="C1429" s="35" t="s">
        <v>122</v>
      </c>
      <c r="D1429" s="25"/>
      <c r="E1429" s="438"/>
      <c r="F1429" s="438"/>
      <c r="G1429" s="438"/>
      <c r="H1429" s="35"/>
      <c r="I1429" s="437"/>
      <c r="J1429" s="437"/>
      <c r="K1429" s="437"/>
      <c r="L1429" s="437"/>
      <c r="M1429" s="437"/>
      <c r="N1429" s="438"/>
      <c r="O1429" s="25"/>
      <c r="S1429" s="473" t="s">
        <v>938</v>
      </c>
      <c r="T1429" s="471">
        <f>SUM(T1420:T1428)</f>
        <v>7.32</v>
      </c>
      <c r="U1429" s="472" t="s">
        <v>5</v>
      </c>
      <c r="Z1429" s="458" t="s">
        <v>851</v>
      </c>
      <c r="AA1429" s="190">
        <v>0.4</v>
      </c>
      <c r="AB1429" s="25" t="s">
        <v>5</v>
      </c>
      <c r="AG1429" s="458" t="s">
        <v>849</v>
      </c>
      <c r="AH1429" s="190">
        <v>0.4</v>
      </c>
      <c r="AI1429" s="25" t="s">
        <v>5</v>
      </c>
    </row>
    <row r="1430" spans="1:35" ht="20.100000000000001" customHeight="1" thickBot="1" x14ac:dyDescent="0.3">
      <c r="A1430" s="39" t="s">
        <v>933</v>
      </c>
      <c r="B1430" s="130">
        <f>K1279</f>
        <v>1635.2112612099556</v>
      </c>
      <c r="C1430" s="35" t="s">
        <v>122</v>
      </c>
      <c r="D1430" s="25"/>
      <c r="E1430" s="438"/>
      <c r="F1430" s="438"/>
      <c r="G1430" s="438"/>
      <c r="H1430" s="35"/>
      <c r="I1430" s="437"/>
      <c r="J1430" s="437"/>
      <c r="K1430" s="437"/>
      <c r="L1430" s="437"/>
      <c r="M1430" s="437"/>
      <c r="N1430" s="438"/>
      <c r="O1430" s="25"/>
      <c r="Q1430" s="474" t="s">
        <v>940</v>
      </c>
      <c r="R1430" s="475">
        <f>T1418*(8*T1428+7*T1427+6*T1426+5*T1425+4*T1424+3*T1423+2*T1422+T1421)/T1429</f>
        <v>1293.7470204366905</v>
      </c>
      <c r="S1430" s="476" t="s">
        <v>120</v>
      </c>
      <c r="Z1430" s="473" t="s">
        <v>939</v>
      </c>
      <c r="AA1430" s="471">
        <f>SUM(AA1420:AA1429)</f>
        <v>8.08</v>
      </c>
      <c r="AB1430" s="472" t="s">
        <v>5</v>
      </c>
      <c r="AG1430" s="473" t="s">
        <v>941</v>
      </c>
      <c r="AH1430" s="471">
        <f>SUM(AH1422:AH1429)</f>
        <v>6.5600000000000005</v>
      </c>
      <c r="AI1430" s="472" t="s">
        <v>5</v>
      </c>
    </row>
    <row r="1431" spans="1:35" ht="20.100000000000001" customHeight="1" thickBot="1" x14ac:dyDescent="0.3">
      <c r="A1431" s="39" t="s">
        <v>934</v>
      </c>
      <c r="B1431" s="130">
        <f>K1097</f>
        <v>775.53054963205511</v>
      </c>
      <c r="C1431" s="35" t="s">
        <v>122</v>
      </c>
      <c r="D1431" s="25"/>
      <c r="E1431" s="25"/>
      <c r="F1431" s="190"/>
      <c r="G1431" s="25"/>
      <c r="H1431" s="35"/>
      <c r="I1431" s="35"/>
      <c r="J1431" s="35"/>
      <c r="K1431" s="35"/>
      <c r="L1431" s="35"/>
      <c r="M1431" s="35"/>
      <c r="N1431" s="25"/>
      <c r="O1431" s="25"/>
      <c r="X1431" s="474" t="s">
        <v>940</v>
      </c>
      <c r="Y1431" s="475">
        <f>T1418*(9*AA1429+8*AA1428+7*AA1427+6*AA1426+5*AA1425+4*AA1424+3*AA1423+2*AA1422+AA1421)/AA1430</f>
        <v>1464.2740257270714</v>
      </c>
      <c r="Z1431" s="476" t="s">
        <v>120</v>
      </c>
      <c r="AE1431" s="474" t="s">
        <v>940</v>
      </c>
      <c r="AF1431" s="475">
        <f>T1418*(7*AH1429+6*AH1428+5*AH1427+4*AH1426+3*AH1425+2*AH1424+AH1423)/AH1430</f>
        <v>1121.0768899261577</v>
      </c>
      <c r="AG1431" s="476" t="s">
        <v>120</v>
      </c>
    </row>
    <row r="1432" spans="1:35" ht="20.100000000000001" customHeight="1" x14ac:dyDescent="0.25">
      <c r="A1432" s="39"/>
      <c r="B1432" s="130"/>
      <c r="C1432" s="35"/>
      <c r="D1432" s="25"/>
      <c r="E1432" s="25"/>
      <c r="F1432" s="190"/>
      <c r="G1432" s="25"/>
      <c r="H1432" s="35"/>
      <c r="I1432" s="35"/>
      <c r="J1432" s="35"/>
      <c r="K1432" s="35"/>
      <c r="L1432" s="35"/>
      <c r="M1432" s="35"/>
      <c r="N1432" s="25"/>
      <c r="O1432" s="25"/>
      <c r="X1432" s="12"/>
      <c r="Y1432" s="12"/>
      <c r="Z1432" s="12"/>
      <c r="AE1432" s="12"/>
      <c r="AF1432" s="12"/>
      <c r="AG1432" s="12"/>
    </row>
    <row r="1433" spans="1:35" ht="20.100000000000001" customHeight="1" x14ac:dyDescent="0.25">
      <c r="A1433" s="39"/>
      <c r="B1433" s="130"/>
      <c r="C1433" s="35"/>
      <c r="D1433" s="25"/>
      <c r="E1433" s="25"/>
      <c r="F1433" s="190"/>
      <c r="G1433" s="25"/>
      <c r="H1433" s="35"/>
      <c r="I1433" s="35"/>
      <c r="J1433" s="35"/>
      <c r="K1433" s="35"/>
      <c r="L1433" s="35"/>
      <c r="M1433" s="35"/>
      <c r="N1433" s="25"/>
      <c r="O1433" s="25"/>
      <c r="X1433" s="12"/>
      <c r="Y1433" s="12"/>
      <c r="Z1433" s="12"/>
      <c r="AE1433" s="12"/>
      <c r="AF1433" s="12"/>
      <c r="AG1433" s="12"/>
    </row>
    <row r="1434" spans="1:35" ht="20.100000000000001" customHeight="1" x14ac:dyDescent="0.25">
      <c r="A1434" s="39"/>
      <c r="B1434" s="130"/>
      <c r="C1434" s="35"/>
      <c r="D1434" s="25"/>
      <c r="E1434" s="25"/>
      <c r="F1434" s="190"/>
      <c r="G1434" s="25"/>
      <c r="H1434" s="35"/>
      <c r="I1434" s="35"/>
      <c r="J1434" s="35"/>
      <c r="K1434" s="35"/>
      <c r="L1434" s="35"/>
      <c r="M1434" s="35"/>
      <c r="N1434" s="25"/>
      <c r="O1434" s="25"/>
      <c r="X1434" s="12"/>
      <c r="Y1434" s="12"/>
      <c r="Z1434" s="12"/>
      <c r="AE1434" s="12"/>
      <c r="AF1434" s="12"/>
      <c r="AG1434" s="12"/>
    </row>
    <row r="1435" spans="1:35" ht="20.100000000000001" customHeight="1" x14ac:dyDescent="0.25">
      <c r="A1435" s="39"/>
      <c r="B1435" s="130"/>
      <c r="C1435" s="35"/>
      <c r="D1435" s="25"/>
      <c r="E1435" s="25"/>
      <c r="F1435" s="190"/>
      <c r="G1435" s="25"/>
      <c r="H1435" s="35"/>
      <c r="I1435" s="35"/>
      <c r="J1435" s="35"/>
      <c r="K1435" s="35"/>
      <c r="L1435" s="35"/>
      <c r="M1435" s="35"/>
      <c r="N1435" s="25"/>
      <c r="O1435" s="25"/>
      <c r="X1435" s="12"/>
      <c r="Y1435" s="12"/>
      <c r="Z1435" s="12"/>
      <c r="AE1435" s="12"/>
      <c r="AF1435" s="12"/>
      <c r="AG1435" s="12"/>
    </row>
    <row r="1436" spans="1:35" ht="20.100000000000001" customHeight="1" x14ac:dyDescent="0.25">
      <c r="A1436" s="39"/>
      <c r="B1436" s="130"/>
      <c r="C1436" s="35"/>
      <c r="D1436" s="25"/>
      <c r="E1436" s="25"/>
      <c r="F1436" s="190"/>
      <c r="G1436" s="25"/>
      <c r="H1436" s="35"/>
      <c r="I1436" s="35"/>
      <c r="J1436" s="35"/>
      <c r="K1436" s="35"/>
      <c r="L1436" s="35"/>
      <c r="M1436" s="35"/>
      <c r="N1436" s="25"/>
      <c r="O1436" s="25"/>
      <c r="X1436" s="12"/>
      <c r="Y1436" s="12"/>
      <c r="Z1436" s="12"/>
      <c r="AE1436" s="12"/>
      <c r="AF1436" s="12"/>
      <c r="AG1436" s="12"/>
    </row>
    <row r="1437" spans="1:35" ht="20.100000000000001" customHeight="1" x14ac:dyDescent="0.25">
      <c r="A1437" s="39"/>
      <c r="B1437" s="130"/>
      <c r="C1437" s="35"/>
      <c r="D1437" s="25"/>
      <c r="E1437" s="25"/>
      <c r="F1437" s="190"/>
      <c r="G1437" s="25"/>
      <c r="H1437" s="35"/>
      <c r="I1437" s="35"/>
      <c r="J1437" s="35"/>
      <c r="K1437" s="35"/>
      <c r="L1437" s="35"/>
      <c r="M1437" s="35"/>
      <c r="N1437" s="25"/>
      <c r="O1437" s="25"/>
      <c r="X1437" s="12"/>
      <c r="Y1437" s="12"/>
      <c r="Z1437" s="12"/>
      <c r="AE1437" s="12"/>
      <c r="AF1437" s="12"/>
      <c r="AG1437" s="12"/>
    </row>
    <row r="1438" spans="1:35" ht="20.100000000000001" customHeight="1" x14ac:dyDescent="0.25">
      <c r="A1438" s="39"/>
      <c r="B1438" s="130"/>
      <c r="C1438" s="35"/>
      <c r="D1438" s="25"/>
      <c r="E1438" s="25"/>
      <c r="F1438" s="190"/>
      <c r="G1438" s="25"/>
      <c r="H1438" s="35"/>
      <c r="I1438" s="35"/>
      <c r="J1438" s="35"/>
      <c r="K1438" s="35"/>
      <c r="L1438" s="35"/>
      <c r="M1438" s="35"/>
      <c r="N1438" s="25"/>
      <c r="O1438" s="25"/>
      <c r="X1438" s="12"/>
      <c r="Y1438" s="12"/>
      <c r="Z1438" s="12"/>
      <c r="AE1438" s="12"/>
      <c r="AF1438" s="12"/>
      <c r="AG1438" s="12"/>
    </row>
    <row r="1439" spans="1:35" ht="20.100000000000001" customHeight="1" x14ac:dyDescent="0.25">
      <c r="A1439" s="39" t="s">
        <v>923</v>
      </c>
      <c r="B1439" s="25"/>
      <c r="C1439" s="25"/>
      <c r="E1439" s="25"/>
      <c r="F1439" s="190"/>
      <c r="G1439" s="25"/>
      <c r="I1439" s="35"/>
      <c r="J1439" s="35"/>
      <c r="K1439" s="35"/>
      <c r="L1439" s="35"/>
      <c r="M1439" s="35"/>
      <c r="N1439" s="25"/>
    </row>
    <row r="1440" spans="1:35" ht="20.100000000000001" customHeight="1" x14ac:dyDescent="0.25">
      <c r="A1440" s="39"/>
      <c r="B1440" s="25"/>
      <c r="C1440" s="25"/>
      <c r="D1440" s="465" t="s">
        <v>203</v>
      </c>
      <c r="E1440" s="465" t="s">
        <v>204</v>
      </c>
      <c r="F1440" s="190"/>
      <c r="G1440" s="25"/>
      <c r="H1440" s="35" t="s">
        <v>947</v>
      </c>
      <c r="I1440" s="35"/>
      <c r="J1440" s="35"/>
      <c r="K1440" s="35"/>
      <c r="L1440" s="35"/>
      <c r="M1440" s="35"/>
      <c r="N1440" s="25"/>
      <c r="O1440" s="25"/>
    </row>
    <row r="1441" spans="1:15" ht="20.100000000000001" customHeight="1" x14ac:dyDescent="0.25">
      <c r="A1441" s="39" t="s">
        <v>924</v>
      </c>
      <c r="B1441" s="25"/>
      <c r="C1441" s="25"/>
      <c r="D1441" s="470">
        <v>2470</v>
      </c>
      <c r="E1441" s="470">
        <v>1395</v>
      </c>
      <c r="F1441" s="25" t="s">
        <v>120</v>
      </c>
      <c r="G1441" s="25">
        <v>436</v>
      </c>
      <c r="H1441" s="35" t="s">
        <v>948</v>
      </c>
      <c r="I1441" s="35"/>
      <c r="J1441" s="35"/>
      <c r="K1441" s="35"/>
      <c r="L1441" s="35"/>
      <c r="M1441" s="35"/>
      <c r="N1441" s="25"/>
      <c r="O1441" s="25"/>
    </row>
    <row r="1442" spans="1:15" ht="20.100000000000001" customHeight="1" x14ac:dyDescent="0.25">
      <c r="A1442" s="39" t="s">
        <v>926</v>
      </c>
      <c r="B1442" s="25"/>
      <c r="C1442" s="25"/>
      <c r="D1442" s="470">
        <v>1555</v>
      </c>
      <c r="E1442" s="470">
        <v>2344</v>
      </c>
      <c r="F1442" s="25" t="s">
        <v>120</v>
      </c>
      <c r="G1442" s="25"/>
      <c r="H1442" s="14"/>
      <c r="I1442" s="14" t="s">
        <v>203</v>
      </c>
      <c r="J1442" s="14" t="s">
        <v>204</v>
      </c>
      <c r="K1442" s="35"/>
      <c r="L1442" s="35"/>
      <c r="M1442" s="35"/>
      <c r="N1442" s="25"/>
      <c r="O1442" s="25"/>
    </row>
    <row r="1443" spans="1:15" ht="20.100000000000001" customHeight="1" x14ac:dyDescent="0.25">
      <c r="A1443" s="39" t="s">
        <v>925</v>
      </c>
      <c r="B1443" s="25"/>
      <c r="C1443" s="25"/>
      <c r="D1443" s="470">
        <v>2806</v>
      </c>
      <c r="E1443" s="470">
        <v>4521</v>
      </c>
      <c r="F1443" s="25" t="s">
        <v>120</v>
      </c>
      <c r="G1443" s="25"/>
      <c r="H1443" s="470" t="s">
        <v>200</v>
      </c>
      <c r="I1443" s="227">
        <f>D436</f>
        <v>23569.109999999993</v>
      </c>
      <c r="J1443" s="227">
        <f>E436</f>
        <v>47557.8</v>
      </c>
      <c r="K1443" s="35" t="s">
        <v>120</v>
      </c>
      <c r="L1443" s="35"/>
      <c r="M1443" s="35"/>
      <c r="N1443" s="25"/>
      <c r="O1443" s="25"/>
    </row>
    <row r="1444" spans="1:15" ht="20.100000000000001" customHeight="1" x14ac:dyDescent="0.25">
      <c r="A1444" s="430"/>
      <c r="B1444" s="25"/>
      <c r="C1444" s="25"/>
      <c r="D1444" s="25" t="s">
        <v>950</v>
      </c>
      <c r="E1444" s="25" t="s">
        <v>951</v>
      </c>
      <c r="F1444" s="190"/>
      <c r="G1444" s="25"/>
      <c r="H1444" s="35"/>
      <c r="I1444" s="25" t="s">
        <v>950</v>
      </c>
      <c r="J1444" s="25" t="s">
        <v>951</v>
      </c>
      <c r="K1444" s="35"/>
      <c r="L1444" s="35"/>
      <c r="M1444" s="35"/>
      <c r="N1444" s="25"/>
      <c r="O1444" s="25"/>
    </row>
    <row r="1445" spans="1:15" s="25" customFormat="1" ht="20.100000000000001" customHeight="1" x14ac:dyDescent="0.25">
      <c r="A1445" s="25" t="s">
        <v>949</v>
      </c>
      <c r="H1445" s="35"/>
      <c r="I1445" s="35"/>
      <c r="J1445" s="35"/>
      <c r="K1445" s="35"/>
      <c r="L1445" s="35"/>
      <c r="M1445" s="35"/>
    </row>
    <row r="1446" spans="1:15" ht="20.100000000000001" customHeight="1" x14ac:dyDescent="0.25">
      <c r="A1446" s="14"/>
      <c r="B1446" s="14" t="s">
        <v>203</v>
      </c>
      <c r="C1446" s="14" t="s">
        <v>204</v>
      </c>
      <c r="F1446" s="25"/>
      <c r="G1446" s="25"/>
      <c r="H1446" s="35"/>
      <c r="I1446" s="35"/>
      <c r="J1446" s="35"/>
      <c r="K1446" s="35"/>
      <c r="L1446" s="35"/>
      <c r="M1446" s="35"/>
      <c r="N1446" s="25"/>
      <c r="O1446" s="25"/>
    </row>
    <row r="1447" spans="1:15" ht="20.100000000000001" customHeight="1" x14ac:dyDescent="0.25">
      <c r="A1447" s="470" t="s">
        <v>200</v>
      </c>
      <c r="B1447" s="227">
        <f>D1441+I1443</f>
        <v>26039.109999999993</v>
      </c>
      <c r="C1447" s="227">
        <f>E1442+J1443</f>
        <v>49901.8</v>
      </c>
      <c r="I1447" s="35"/>
      <c r="J1447" s="35"/>
      <c r="K1447" s="35"/>
    </row>
    <row r="1448" spans="1:15" ht="20.100000000000001" customHeight="1" x14ac:dyDescent="0.25">
      <c r="B1448" s="25" t="s">
        <v>950</v>
      </c>
      <c r="C1448" s="25" t="s">
        <v>951</v>
      </c>
      <c r="I1448" s="35"/>
      <c r="J1448" s="35"/>
    </row>
    <row r="1450" spans="1:15" ht="20.100000000000001" customHeight="1" x14ac:dyDescent="0.25">
      <c r="A1450" s="28" t="s">
        <v>206</v>
      </c>
      <c r="B1450" s="25"/>
      <c r="C1450" s="25"/>
      <c r="D1450" s="25"/>
      <c r="E1450" s="25"/>
      <c r="F1450" s="25" t="s">
        <v>144</v>
      </c>
      <c r="G1450" s="515">
        <v>200000</v>
      </c>
      <c r="H1450" s="515"/>
      <c r="I1450" s="35" t="s">
        <v>168</v>
      </c>
      <c r="J1450" s="35"/>
      <c r="K1450" s="35"/>
      <c r="L1450" s="35"/>
      <c r="M1450" s="35"/>
      <c r="N1450" s="25"/>
    </row>
    <row r="1451" spans="1:15" ht="20.100000000000001" customHeight="1" x14ac:dyDescent="0.25">
      <c r="A1451" s="25"/>
      <c r="B1451" s="25" t="s">
        <v>207</v>
      </c>
      <c r="C1451" s="25"/>
      <c r="D1451" s="25"/>
      <c r="E1451" s="25"/>
      <c r="F1451" s="25" t="s">
        <v>169</v>
      </c>
      <c r="G1451" s="515">
        <v>235</v>
      </c>
      <c r="H1451" s="515"/>
      <c r="I1451" s="35" t="s">
        <v>168</v>
      </c>
      <c r="J1451" s="35"/>
      <c r="K1451" s="35"/>
      <c r="L1451" s="35"/>
      <c r="M1451" s="35"/>
      <c r="N1451" s="25"/>
    </row>
    <row r="1452" spans="1:15" ht="20.100000000000001" customHeight="1" x14ac:dyDescent="0.25">
      <c r="A1452" s="25"/>
      <c r="B1452" s="25"/>
      <c r="C1452" s="25" t="s">
        <v>209</v>
      </c>
      <c r="D1452" s="25"/>
      <c r="E1452" s="25"/>
      <c r="F1452" s="25" t="s">
        <v>118</v>
      </c>
      <c r="G1452" s="525">
        <f>B1447</f>
        <v>26039.109999999993</v>
      </c>
      <c r="H1452" s="525"/>
      <c r="I1452" s="35" t="s">
        <v>545</v>
      </c>
      <c r="J1452" s="462">
        <f>G1452/100</f>
        <v>260.39109999999994</v>
      </c>
      <c r="K1452" s="35" t="s">
        <v>195</v>
      </c>
      <c r="M1452" s="35"/>
      <c r="N1452" s="25"/>
    </row>
    <row r="1453" spans="1:15" ht="20.100000000000001" customHeight="1" x14ac:dyDescent="0.25">
      <c r="A1453" s="25"/>
      <c r="B1453" s="25"/>
      <c r="C1453" s="25" t="s">
        <v>208</v>
      </c>
      <c r="D1453" s="25"/>
      <c r="E1453" s="25"/>
      <c r="F1453" s="25" t="s">
        <v>118</v>
      </c>
      <c r="G1453" s="525">
        <f>C1447</f>
        <v>49901.8</v>
      </c>
      <c r="H1453" s="525"/>
      <c r="I1453" s="35" t="s">
        <v>545</v>
      </c>
      <c r="J1453" s="462">
        <f>G1453/100</f>
        <v>499.01800000000003</v>
      </c>
      <c r="K1453" s="35" t="s">
        <v>195</v>
      </c>
      <c r="M1453" s="35"/>
      <c r="N1453" s="25"/>
    </row>
    <row r="1454" spans="1:15" ht="20.100000000000001" customHeight="1" x14ac:dyDescent="0.25">
      <c r="A1454" s="25" t="s">
        <v>210</v>
      </c>
      <c r="B1454" s="25"/>
      <c r="C1454" s="25" t="s">
        <v>475</v>
      </c>
      <c r="D1454" s="267">
        <v>2.14</v>
      </c>
      <c r="E1454" s="25" t="s">
        <v>5</v>
      </c>
      <c r="F1454" s="25"/>
      <c r="G1454" s="25"/>
      <c r="H1454" s="35"/>
      <c r="I1454" s="35"/>
      <c r="J1454" s="35"/>
      <c r="K1454" s="35"/>
      <c r="L1454" s="35"/>
      <c r="M1454" s="35"/>
      <c r="N1454" s="25"/>
    </row>
    <row r="1455" spans="1:15" ht="20.100000000000001" customHeight="1" x14ac:dyDescent="0.25">
      <c r="A1455" s="25"/>
      <c r="B1455" s="25"/>
      <c r="C1455" s="25"/>
      <c r="D1455" s="25"/>
      <c r="E1455" s="25"/>
      <c r="F1455" s="25"/>
      <c r="G1455" s="25"/>
      <c r="H1455" s="35"/>
      <c r="I1455" s="35"/>
      <c r="J1455" s="35"/>
      <c r="K1455" s="35"/>
      <c r="L1455" s="35"/>
      <c r="M1455" s="35"/>
      <c r="N1455" s="25"/>
    </row>
    <row r="1456" spans="1:15" ht="20.100000000000001" customHeight="1" x14ac:dyDescent="0.25">
      <c r="A1456" s="25" t="s">
        <v>213</v>
      </c>
      <c r="B1456" s="25"/>
      <c r="C1456" s="25"/>
      <c r="D1456" s="25"/>
      <c r="E1456" s="25"/>
      <c r="F1456" s="25"/>
      <c r="G1456" s="25"/>
      <c r="H1456" s="35"/>
      <c r="I1456" s="35"/>
      <c r="J1456" s="35"/>
      <c r="K1456" s="35"/>
      <c r="L1456" s="35"/>
      <c r="M1456" s="35"/>
      <c r="N1456" s="25"/>
    </row>
    <row r="1457" spans="1:14" ht="20.100000000000001" customHeight="1" x14ac:dyDescent="0.25">
      <c r="A1457" s="25" t="s">
        <v>211</v>
      </c>
      <c r="B1457" s="26">
        <v>1</v>
      </c>
      <c r="C1457" s="25"/>
      <c r="D1457" s="25"/>
      <c r="E1457" s="25" t="s">
        <v>214</v>
      </c>
      <c r="F1457" s="130">
        <f>B1457*D1454*100</f>
        <v>214</v>
      </c>
      <c r="G1457" s="25" t="s">
        <v>143</v>
      </c>
      <c r="H1457" s="35"/>
      <c r="I1457" s="35"/>
      <c r="J1457" s="35"/>
      <c r="K1457" s="35"/>
      <c r="L1457" s="35"/>
      <c r="M1457" s="35"/>
      <c r="N1457" s="25"/>
    </row>
    <row r="1458" spans="1:14" ht="20.100000000000001" customHeight="1" x14ac:dyDescent="0.25">
      <c r="A1458" s="25" t="s">
        <v>212</v>
      </c>
      <c r="B1458" s="26">
        <v>0.5</v>
      </c>
      <c r="C1458" s="25"/>
      <c r="D1458" s="25"/>
      <c r="E1458" s="25" t="s">
        <v>215</v>
      </c>
      <c r="F1458" s="130">
        <f>D1454*B1458*100</f>
        <v>107</v>
      </c>
      <c r="G1458" s="25" t="s">
        <v>143</v>
      </c>
      <c r="H1458" s="35"/>
      <c r="I1458" s="35"/>
      <c r="J1458" s="35"/>
      <c r="K1458" s="35"/>
      <c r="L1458" s="35"/>
      <c r="M1458" s="35"/>
      <c r="N1458" s="25"/>
    </row>
    <row r="1459" spans="1:14" ht="20.100000000000001" customHeight="1" x14ac:dyDescent="0.25">
      <c r="A1459" s="25"/>
      <c r="B1459" s="25"/>
      <c r="C1459" s="25"/>
      <c r="D1459" s="25"/>
      <c r="E1459" s="25"/>
      <c r="F1459" s="25"/>
      <c r="G1459" s="25"/>
      <c r="H1459" s="35"/>
      <c r="I1459" s="35"/>
      <c r="J1459" s="35"/>
      <c r="K1459" s="35"/>
      <c r="L1459" s="35"/>
      <c r="M1459" s="35"/>
      <c r="N1459" s="25"/>
    </row>
    <row r="1460" spans="1:14" ht="20.100000000000001" customHeight="1" x14ac:dyDescent="0.25">
      <c r="A1460" s="25" t="s">
        <v>476</v>
      </c>
      <c r="B1460" s="25"/>
      <c r="C1460" s="25"/>
      <c r="D1460" s="25"/>
      <c r="E1460" s="25"/>
      <c r="F1460" s="25"/>
      <c r="G1460" s="25"/>
      <c r="H1460" s="44">
        <v>100</v>
      </c>
      <c r="J1460" s="35" t="s">
        <v>217</v>
      </c>
      <c r="K1460" s="35"/>
      <c r="L1460" s="35"/>
      <c r="M1460" s="35"/>
      <c r="N1460" s="25"/>
    </row>
    <row r="1461" spans="1:14" ht="20.100000000000001" customHeight="1" x14ac:dyDescent="0.25">
      <c r="A1461" s="25"/>
      <c r="B1461" s="25"/>
      <c r="C1461" s="25"/>
      <c r="D1461" s="25"/>
      <c r="E1461" s="25"/>
      <c r="F1461" s="25"/>
      <c r="G1461" s="25"/>
      <c r="H1461" s="35"/>
      <c r="I1461" s="35"/>
      <c r="J1461" s="35" t="s">
        <v>216</v>
      </c>
      <c r="K1461" s="35"/>
      <c r="L1461" s="35"/>
      <c r="M1461" s="35"/>
      <c r="N1461" s="25"/>
    </row>
    <row r="1462" spans="1:14" ht="20.100000000000001" customHeight="1" x14ac:dyDescent="0.25">
      <c r="A1462" s="25" t="s">
        <v>218</v>
      </c>
      <c r="B1462" s="25"/>
      <c r="C1462" s="25"/>
      <c r="D1462" s="25"/>
      <c r="E1462" s="25"/>
      <c r="F1462" s="25"/>
      <c r="G1462" s="25"/>
      <c r="H1462" s="35"/>
      <c r="I1462" s="35"/>
      <c r="J1462" s="35"/>
      <c r="K1462" s="35"/>
      <c r="L1462" s="35"/>
      <c r="M1462" s="35"/>
      <c r="N1462" s="25"/>
    </row>
    <row r="1463" spans="1:14" ht="20.100000000000001" customHeight="1" x14ac:dyDescent="0.25">
      <c r="A1463" s="25"/>
      <c r="B1463" s="25"/>
      <c r="C1463" s="25"/>
      <c r="D1463" s="25" t="s">
        <v>477</v>
      </c>
      <c r="E1463" s="25"/>
      <c r="F1463" s="191">
        <f>F1457/H1460</f>
        <v>2.14</v>
      </c>
      <c r="G1463" s="25" t="s">
        <v>143</v>
      </c>
      <c r="H1463" s="35"/>
      <c r="I1463" s="35"/>
      <c r="J1463" s="35"/>
      <c r="K1463" s="35"/>
      <c r="L1463" s="35"/>
      <c r="M1463" s="35"/>
      <c r="N1463" s="25"/>
    </row>
    <row r="1464" spans="1:14" ht="20.100000000000001" customHeight="1" x14ac:dyDescent="0.25">
      <c r="A1464" s="25" t="s">
        <v>219</v>
      </c>
      <c r="B1464" s="25"/>
      <c r="C1464" s="25"/>
      <c r="D1464" s="25"/>
      <c r="E1464" s="25"/>
      <c r="F1464" s="25"/>
      <c r="G1464" s="25"/>
      <c r="H1464" s="35"/>
      <c r="I1464" s="35"/>
      <c r="J1464" s="35"/>
      <c r="K1464" s="35"/>
      <c r="L1464" s="35"/>
      <c r="M1464" s="35"/>
      <c r="N1464" s="25"/>
    </row>
    <row r="1465" spans="1:14" ht="20.100000000000001" customHeight="1" x14ac:dyDescent="0.25">
      <c r="A1465" s="25" t="s">
        <v>478</v>
      </c>
      <c r="B1465" s="25"/>
      <c r="C1465" s="25"/>
      <c r="D1465" s="25"/>
      <c r="E1465" s="202">
        <f>F1457*SQRT(G1451/G1450)/(3.14*F1463)</f>
        <v>1.0916647452867903</v>
      </c>
      <c r="G1465" s="25"/>
      <c r="H1465" s="35" t="s">
        <v>479</v>
      </c>
      <c r="I1465" s="35"/>
      <c r="J1465" s="35"/>
      <c r="K1465" s="35"/>
      <c r="L1465" s="35"/>
      <c r="M1465" s="35"/>
      <c r="N1465" s="25"/>
    </row>
    <row r="1466" spans="1:14" ht="20.100000000000001" customHeight="1" x14ac:dyDescent="0.25">
      <c r="A1466" s="25"/>
      <c r="B1466" s="25"/>
      <c r="C1466" s="25"/>
      <c r="D1466" s="25"/>
      <c r="E1466" s="25"/>
      <c r="F1466" s="25"/>
      <c r="G1466" s="25"/>
      <c r="H1466" s="25" t="s">
        <v>480</v>
      </c>
      <c r="I1466" s="25"/>
      <c r="J1466" s="25"/>
      <c r="K1466" s="218">
        <f>(0.658^(E1465^2))*G1451</f>
        <v>142.70587677287429</v>
      </c>
      <c r="L1466" s="35" t="s">
        <v>168</v>
      </c>
      <c r="M1466" s="35"/>
      <c r="N1466" s="25"/>
    </row>
    <row r="1467" spans="1:14" ht="20.100000000000001" customHeight="1" x14ac:dyDescent="0.25">
      <c r="A1467" s="25" t="s">
        <v>482</v>
      </c>
      <c r="B1467" s="25"/>
      <c r="C1467" s="25"/>
      <c r="D1467" s="25" t="s">
        <v>483</v>
      </c>
      <c r="E1467" s="25"/>
      <c r="F1467" s="25"/>
      <c r="G1467" s="25" t="s">
        <v>484</v>
      </c>
      <c r="H1467" s="35"/>
      <c r="I1467" s="35"/>
      <c r="J1467" s="35"/>
      <c r="K1467" s="463" t="s">
        <v>481</v>
      </c>
      <c r="L1467" s="467">
        <v>0.85</v>
      </c>
      <c r="M1467" s="35"/>
      <c r="N1467" s="25"/>
    </row>
    <row r="1468" spans="1:14" ht="20.100000000000001" customHeight="1" x14ac:dyDescent="0.25">
      <c r="A1468" s="25"/>
      <c r="B1468" s="25"/>
      <c r="C1468" s="25"/>
      <c r="D1468" s="25"/>
      <c r="E1468" s="25"/>
      <c r="F1468" s="25"/>
      <c r="G1468" s="25"/>
      <c r="H1468" s="35"/>
      <c r="I1468" s="35"/>
      <c r="J1468" s="35"/>
      <c r="K1468" s="35"/>
      <c r="L1468" s="35"/>
      <c r="M1468" s="35"/>
      <c r="N1468" s="25"/>
    </row>
    <row r="1469" spans="1:14" ht="20.100000000000001" customHeight="1" x14ac:dyDescent="0.25">
      <c r="A1469" s="25" t="s">
        <v>221</v>
      </c>
      <c r="B1469" s="514">
        <f>G1453</f>
        <v>49901.8</v>
      </c>
      <c r="C1469" s="507"/>
      <c r="D1469" s="25" t="s">
        <v>490</v>
      </c>
      <c r="E1469" s="130">
        <f>B1469/100</f>
        <v>499.01800000000003</v>
      </c>
      <c r="F1469" s="25" t="s">
        <v>195</v>
      </c>
      <c r="G1469" s="25"/>
      <c r="H1469" s="35" t="s">
        <v>532</v>
      </c>
      <c r="I1469" s="35"/>
      <c r="J1469" s="35"/>
      <c r="K1469" s="40">
        <f>10*E1469/(L1467*K1466)</f>
        <v>41.139160718263632</v>
      </c>
      <c r="L1469" s="35" t="s">
        <v>433</v>
      </c>
      <c r="M1469" s="35"/>
      <c r="N1469" s="25"/>
    </row>
    <row r="1470" spans="1:14" ht="20.100000000000001" customHeight="1" x14ac:dyDescent="0.25">
      <c r="F1470" s="28" t="s">
        <v>222</v>
      </c>
      <c r="G1470" s="25"/>
      <c r="H1470" s="35"/>
      <c r="I1470" s="35"/>
      <c r="J1470" s="35"/>
      <c r="K1470" s="35"/>
      <c r="L1470" s="497" t="s">
        <v>952</v>
      </c>
      <c r="M1470" s="497"/>
      <c r="N1470" s="25"/>
    </row>
    <row r="1471" spans="1:14" ht="20.100000000000001" customHeight="1" x14ac:dyDescent="0.25">
      <c r="A1471" s="35" t="s">
        <v>623</v>
      </c>
      <c r="B1471" s="35"/>
      <c r="C1471" s="35"/>
      <c r="D1471" s="55"/>
      <c r="E1471" s="35"/>
      <c r="F1471" s="25"/>
      <c r="G1471" s="25" t="s">
        <v>486</v>
      </c>
      <c r="H1471" s="268">
        <v>18.63</v>
      </c>
      <c r="I1471" s="35" t="s">
        <v>433</v>
      </c>
      <c r="J1471" s="21" t="str">
        <f>IF(H1471*2&gt;K1469,"BC","MC")</f>
        <v>MC</v>
      </c>
      <c r="K1471" s="35"/>
      <c r="L1471" s="35" t="s">
        <v>167</v>
      </c>
      <c r="M1471" s="44">
        <v>10.16</v>
      </c>
      <c r="N1471" s="35" t="s">
        <v>143</v>
      </c>
    </row>
    <row r="1472" spans="1:14" ht="20.100000000000001" customHeight="1" x14ac:dyDescent="0.25">
      <c r="A1472" s="25" t="s">
        <v>624</v>
      </c>
      <c r="B1472" s="25"/>
      <c r="C1472" s="25"/>
      <c r="D1472" s="25"/>
      <c r="E1472" s="25"/>
      <c r="F1472" s="25"/>
      <c r="G1472" s="25" t="s">
        <v>487</v>
      </c>
      <c r="H1472" s="269">
        <v>179.81</v>
      </c>
      <c r="I1472" s="35" t="s">
        <v>426</v>
      </c>
      <c r="J1472" s="35"/>
      <c r="K1472" s="35"/>
      <c r="L1472" s="35" t="s">
        <v>224</v>
      </c>
      <c r="M1472" s="44">
        <v>0.95</v>
      </c>
      <c r="N1472" s="35" t="s">
        <v>143</v>
      </c>
    </row>
    <row r="1473" spans="1:14" ht="20.100000000000001" customHeight="1" x14ac:dyDescent="0.25">
      <c r="A1473" s="25" t="s">
        <v>625</v>
      </c>
      <c r="B1473" s="25"/>
      <c r="C1473" s="25"/>
      <c r="D1473" s="25"/>
      <c r="E1473" s="25"/>
      <c r="F1473" s="25"/>
      <c r="G1473" s="25" t="s">
        <v>488</v>
      </c>
      <c r="H1473" s="267">
        <v>3.11</v>
      </c>
      <c r="I1473" s="35" t="s">
        <v>143</v>
      </c>
      <c r="J1473" s="21" t="str">
        <f>IF(H1473&gt;F1463,"BC","MC")</f>
        <v>BC</v>
      </c>
      <c r="K1473" s="35" t="s">
        <v>225</v>
      </c>
      <c r="L1473" s="35"/>
      <c r="M1473" s="463" t="s">
        <v>223</v>
      </c>
      <c r="N1473" s="270">
        <v>1</v>
      </c>
    </row>
    <row r="1474" spans="1:14" ht="20.100000000000001" customHeight="1" x14ac:dyDescent="0.25">
      <c r="A1474" s="25"/>
      <c r="B1474" s="25"/>
      <c r="C1474" s="25"/>
      <c r="D1474" s="25"/>
      <c r="E1474" s="25"/>
      <c r="F1474" s="25"/>
      <c r="G1474" s="25" t="s">
        <v>489</v>
      </c>
      <c r="H1474" s="267">
        <v>2.85</v>
      </c>
      <c r="I1474" s="35" t="s">
        <v>143</v>
      </c>
      <c r="J1474" s="35"/>
      <c r="K1474" s="35"/>
      <c r="L1474" s="35"/>
      <c r="M1474" s="35"/>
      <c r="N1474" s="25"/>
    </row>
    <row r="1475" spans="1:14" ht="20.100000000000001" customHeight="1" x14ac:dyDescent="0.25">
      <c r="A1475" s="25" t="s">
        <v>521</v>
      </c>
      <c r="B1475" s="25"/>
      <c r="C1475" s="25"/>
      <c r="D1475" s="25"/>
      <c r="E1475" s="466">
        <f>M1471/M1472</f>
        <v>10.694736842105264</v>
      </c>
      <c r="F1475" s="25"/>
      <c r="G1475" s="25"/>
      <c r="H1475" s="25" t="s">
        <v>491</v>
      </c>
      <c r="I1475" s="35"/>
      <c r="J1475" s="35"/>
      <c r="K1475" s="192">
        <f>200/SQRT(G1451)</f>
        <v>13.046561461068844</v>
      </c>
      <c r="L1475" s="35"/>
      <c r="M1475" s="35"/>
      <c r="N1475" s="25"/>
    </row>
    <row r="1476" spans="1:14" ht="20.100000000000001" customHeight="1" x14ac:dyDescent="0.25">
      <c r="A1476" s="25"/>
      <c r="C1476" s="273" t="s">
        <v>522</v>
      </c>
      <c r="D1476" s="35"/>
      <c r="E1476" s="466">
        <f>F1457/H1473</f>
        <v>68.81028938906752</v>
      </c>
      <c r="F1476" s="25"/>
      <c r="G1476" s="25"/>
      <c r="H1476" s="25" t="s">
        <v>492</v>
      </c>
      <c r="I1476" s="35"/>
      <c r="J1476" s="35"/>
      <c r="K1476" s="35"/>
      <c r="L1476" s="35"/>
      <c r="M1476" s="35"/>
      <c r="N1476" s="25"/>
    </row>
    <row r="1477" spans="1:14" ht="20.100000000000001" customHeight="1" x14ac:dyDescent="0.25">
      <c r="A1477" s="25"/>
      <c r="B1477" s="25"/>
      <c r="C1477" s="25"/>
      <c r="D1477" s="25"/>
      <c r="E1477" s="25"/>
      <c r="F1477" s="25"/>
      <c r="G1477" s="25"/>
      <c r="H1477" s="35"/>
      <c r="I1477" s="35"/>
      <c r="J1477" s="35"/>
      <c r="K1477" s="35"/>
      <c r="L1477" s="35"/>
      <c r="M1477" s="35"/>
      <c r="N1477" s="25"/>
    </row>
    <row r="1478" spans="1:14" ht="20.100000000000001" customHeight="1" x14ac:dyDescent="0.25">
      <c r="A1478" s="25" t="s">
        <v>226</v>
      </c>
      <c r="B1478" s="25"/>
      <c r="C1478" s="25"/>
      <c r="D1478" s="25"/>
      <c r="E1478" s="25"/>
      <c r="F1478" s="25"/>
      <c r="G1478" s="25"/>
      <c r="H1478" s="35"/>
      <c r="I1478" s="35"/>
      <c r="J1478" s="35" t="s">
        <v>494</v>
      </c>
      <c r="K1478" s="35"/>
      <c r="L1478" s="271">
        <v>1</v>
      </c>
      <c r="M1478" s="35" t="s">
        <v>143</v>
      </c>
      <c r="N1478" s="25"/>
    </row>
    <row r="1479" spans="1:14" ht="20.100000000000001" customHeight="1" x14ac:dyDescent="0.25">
      <c r="A1479" s="25"/>
      <c r="B1479" s="25"/>
      <c r="C1479" s="25"/>
      <c r="D1479" s="25"/>
      <c r="E1479" s="25"/>
      <c r="F1479" s="25"/>
      <c r="G1479" s="25"/>
      <c r="H1479" s="35"/>
      <c r="I1479" s="35"/>
      <c r="J1479" s="35"/>
      <c r="K1479" s="35"/>
      <c r="L1479" s="277"/>
      <c r="M1479" s="35"/>
      <c r="N1479" s="25"/>
    </row>
    <row r="1480" spans="1:14" ht="20.100000000000001" customHeight="1" x14ac:dyDescent="0.25">
      <c r="A1480" s="25"/>
      <c r="B1480" s="25"/>
      <c r="C1480" s="25"/>
      <c r="D1480" s="25"/>
      <c r="E1480" s="25"/>
      <c r="F1480" s="25" t="s">
        <v>495</v>
      </c>
      <c r="G1480" s="25"/>
      <c r="H1480" s="35"/>
      <c r="I1480" s="35"/>
      <c r="J1480" s="462">
        <f>2*(H1472+H1471*(H1474+(L1478/2))^2)</f>
        <v>777.77035000000001</v>
      </c>
      <c r="K1480" s="35" t="s">
        <v>426</v>
      </c>
      <c r="M1480" s="35"/>
      <c r="N1480" s="25"/>
    </row>
    <row r="1481" spans="1:14" ht="20.100000000000001" customHeight="1" x14ac:dyDescent="0.25">
      <c r="A1481" s="25"/>
      <c r="B1481" s="25"/>
      <c r="C1481" s="25"/>
      <c r="D1481" s="25"/>
      <c r="E1481" s="25"/>
      <c r="F1481" s="25"/>
      <c r="G1481" s="25"/>
      <c r="H1481" s="35"/>
      <c r="I1481" s="35"/>
      <c r="J1481" s="35"/>
      <c r="K1481" s="35"/>
      <c r="L1481" s="35"/>
      <c r="M1481" s="35"/>
      <c r="N1481" s="25"/>
    </row>
    <row r="1482" spans="1:14" ht="20.100000000000001" customHeight="1" x14ac:dyDescent="0.25">
      <c r="A1482" s="25"/>
      <c r="B1482" s="25"/>
      <c r="C1482" s="25"/>
      <c r="D1482" s="25"/>
      <c r="E1482" s="25"/>
      <c r="F1482" s="25" t="s">
        <v>496</v>
      </c>
      <c r="G1482" s="25"/>
      <c r="H1482" s="35"/>
      <c r="I1482" s="217">
        <f>SQRT(J1480/(H1471*2))</f>
        <v>4.5688222929318192</v>
      </c>
      <c r="J1482" s="35" t="s">
        <v>143</v>
      </c>
      <c r="K1482" s="35"/>
      <c r="L1482" s="35"/>
      <c r="M1482" s="35"/>
      <c r="N1482" s="25"/>
    </row>
    <row r="1483" spans="1:14" ht="20.100000000000001" customHeight="1" x14ac:dyDescent="0.25">
      <c r="A1483" s="25"/>
      <c r="B1483" s="25"/>
      <c r="C1483" s="25"/>
      <c r="D1483" s="25"/>
      <c r="E1483" s="25"/>
      <c r="F1483" s="25"/>
      <c r="G1483" s="25"/>
      <c r="H1483" s="35"/>
      <c r="I1483" s="35"/>
      <c r="J1483" s="35"/>
      <c r="K1483" s="35"/>
      <c r="L1483" s="35"/>
      <c r="M1483" s="35"/>
      <c r="N1483" s="25"/>
    </row>
    <row r="1484" spans="1:14" ht="20.100000000000001" customHeight="1" x14ac:dyDescent="0.25">
      <c r="A1484" s="25"/>
      <c r="B1484" s="25"/>
      <c r="C1484" s="25"/>
      <c r="D1484" s="25"/>
      <c r="E1484" s="25"/>
      <c r="F1484" s="25" t="s">
        <v>497</v>
      </c>
      <c r="G1484" s="25"/>
      <c r="H1484" s="35"/>
      <c r="I1484" s="35">
        <f>2*H1474+L1478</f>
        <v>6.7</v>
      </c>
      <c r="J1484" s="35" t="s">
        <v>143</v>
      </c>
      <c r="K1484" s="35"/>
      <c r="L1484" s="35" t="s">
        <v>498</v>
      </c>
      <c r="M1484" s="35"/>
      <c r="N1484" s="25"/>
    </row>
    <row r="1485" spans="1:14" ht="20.100000000000001" customHeight="1" x14ac:dyDescent="0.25">
      <c r="A1485" s="25" t="s">
        <v>523</v>
      </c>
      <c r="B1485" s="25"/>
      <c r="C1485" s="190">
        <f>(M1471-H1474)/H1474</f>
        <v>2.5649122807017544</v>
      </c>
      <c r="D1485" s="25"/>
      <c r="E1485" s="25"/>
      <c r="F1485" s="25" t="s">
        <v>499</v>
      </c>
      <c r="G1485" s="25"/>
      <c r="H1485" s="35"/>
      <c r="I1485" s="35"/>
      <c r="J1485" s="35"/>
      <c r="K1485" s="35"/>
      <c r="L1485" s="274">
        <f>I1484/(2*H1473)</f>
        <v>1.077170418006431</v>
      </c>
      <c r="M1485" s="35"/>
      <c r="N1485" s="25"/>
    </row>
    <row r="1486" spans="1:14" ht="20.100000000000001" customHeight="1" x14ac:dyDescent="0.25">
      <c r="E1486" s="25"/>
      <c r="F1486" s="25"/>
      <c r="G1486" s="25"/>
      <c r="H1486" s="35"/>
      <c r="I1486" s="35"/>
      <c r="J1486" s="35"/>
      <c r="K1486" s="35"/>
      <c r="L1486" s="35"/>
      <c r="M1486" s="35"/>
      <c r="N1486" s="25"/>
    </row>
    <row r="1487" spans="1:14" ht="20.100000000000001" customHeight="1" x14ac:dyDescent="0.25">
      <c r="A1487" s="25" t="s">
        <v>501</v>
      </c>
      <c r="B1487" s="25"/>
      <c r="C1487" s="466">
        <f>(F1458/I1482)</f>
        <v>23.419602063650842</v>
      </c>
      <c r="E1487" s="25"/>
      <c r="F1487" s="25" t="s">
        <v>227</v>
      </c>
      <c r="G1487" s="25"/>
      <c r="H1487" s="35"/>
      <c r="I1487" s="35"/>
      <c r="J1487" s="35"/>
      <c r="K1487" s="35"/>
      <c r="L1487" s="462">
        <f>D1454*100/L1488</f>
        <v>71.333333333333329</v>
      </c>
      <c r="M1487" s="35" t="s">
        <v>143</v>
      </c>
      <c r="N1487" s="25"/>
    </row>
    <row r="1488" spans="1:14" ht="20.100000000000001" customHeight="1" x14ac:dyDescent="0.25">
      <c r="A1488" s="25"/>
      <c r="B1488" s="25"/>
      <c r="C1488" s="25"/>
      <c r="D1488" s="25"/>
      <c r="E1488" s="25"/>
      <c r="F1488" s="25"/>
      <c r="G1488" s="25"/>
      <c r="H1488" s="25" t="s">
        <v>228</v>
      </c>
      <c r="I1488" s="35"/>
      <c r="J1488" s="35"/>
      <c r="K1488" s="35"/>
      <c r="L1488" s="467">
        <v>3</v>
      </c>
      <c r="M1488" s="35" t="s">
        <v>502</v>
      </c>
      <c r="N1488" s="25"/>
    </row>
    <row r="1489" spans="1:14" ht="20.100000000000001" customHeight="1" x14ac:dyDescent="0.25">
      <c r="A1489" s="25" t="s">
        <v>503</v>
      </c>
      <c r="B1489" s="25"/>
      <c r="C1489" s="25"/>
      <c r="D1489" s="25"/>
      <c r="E1489" s="25"/>
      <c r="F1489" s="25"/>
      <c r="G1489" s="25"/>
      <c r="H1489" s="35"/>
      <c r="I1489" s="35"/>
      <c r="J1489" s="462">
        <f>SQRT(C1487^2+(0.82*(L1485^2/(1+L1485^2))*(L1487/H1473)^2))</f>
        <v>27.931735207439047</v>
      </c>
      <c r="K1489" s="35"/>
      <c r="M1489" s="35"/>
      <c r="N1489" s="25"/>
    </row>
    <row r="1490" spans="1:14" ht="20.100000000000001" customHeight="1" x14ac:dyDescent="0.25">
      <c r="A1490" s="25"/>
      <c r="B1490" s="25"/>
      <c r="C1490" s="25"/>
      <c r="D1490" s="25"/>
      <c r="E1490" s="25"/>
      <c r="F1490" s="25"/>
      <c r="G1490" s="25"/>
      <c r="H1490" s="35"/>
      <c r="I1490" s="35"/>
      <c r="J1490" s="35"/>
      <c r="K1490" s="35"/>
      <c r="L1490" s="35"/>
      <c r="M1490" s="35"/>
      <c r="N1490" s="25"/>
    </row>
    <row r="1491" spans="1:14" ht="20.100000000000001" customHeight="1" x14ac:dyDescent="0.25">
      <c r="A1491" s="25" t="s">
        <v>504</v>
      </c>
      <c r="B1491" s="25">
        <f>J1489</f>
        <v>27.931735207439047</v>
      </c>
      <c r="C1491" s="25"/>
      <c r="D1491" s="25" t="s">
        <v>505</v>
      </c>
      <c r="E1491" s="25"/>
      <c r="F1491" s="25"/>
      <c r="G1491" s="204">
        <f>(B1492/3.14)*SQRT(G1451/G1450)</f>
        <v>0.75117767039026728</v>
      </c>
      <c r="H1491" s="263" t="str">
        <f>IF(G1491&lt;1.5,"&lt; 1,5 Calculamos Fcr","Ver en norma Fcr")</f>
        <v>&lt; 1,5 Calculamos Fcr</v>
      </c>
      <c r="I1491" s="322"/>
      <c r="J1491" s="266"/>
      <c r="K1491" s="266"/>
      <c r="L1491" s="35"/>
      <c r="M1491" s="35"/>
      <c r="N1491" s="25"/>
    </row>
    <row r="1492" spans="1:14" ht="20.100000000000001" customHeight="1" x14ac:dyDescent="0.25">
      <c r="A1492" s="25" t="s">
        <v>506</v>
      </c>
      <c r="B1492" s="25">
        <f>E1476</f>
        <v>68.81028938906752</v>
      </c>
      <c r="C1492" s="25"/>
      <c r="D1492" s="25"/>
      <c r="E1492" s="25"/>
      <c r="F1492" s="25"/>
      <c r="G1492" s="25"/>
      <c r="H1492" s="35"/>
      <c r="I1492" s="35"/>
      <c r="J1492" s="35"/>
      <c r="K1492" s="35"/>
      <c r="L1492" s="35"/>
      <c r="M1492" s="35"/>
      <c r="N1492" s="25"/>
    </row>
    <row r="1493" spans="1:14" ht="20.100000000000001" customHeight="1" x14ac:dyDescent="0.25">
      <c r="A1493" s="25"/>
      <c r="B1493" s="25"/>
      <c r="C1493" s="25"/>
      <c r="D1493" s="25" t="s">
        <v>524</v>
      </c>
      <c r="E1493" s="25"/>
      <c r="F1493" s="25"/>
      <c r="G1493" s="35">
        <f>(0.658^(G1491^2))*G1451</f>
        <v>185.56607007975552</v>
      </c>
      <c r="H1493" s="35" t="s">
        <v>168</v>
      </c>
      <c r="I1493" s="35"/>
      <c r="J1493" s="25" t="s">
        <v>509</v>
      </c>
      <c r="K1493" s="275">
        <v>0.85</v>
      </c>
      <c r="L1493" s="35"/>
      <c r="M1493" s="35"/>
      <c r="N1493" s="25"/>
    </row>
    <row r="1494" spans="1:14" ht="20.100000000000001" customHeight="1" x14ac:dyDescent="0.25">
      <c r="A1494" s="25"/>
      <c r="B1494" s="25"/>
      <c r="C1494" s="25"/>
      <c r="D1494" s="25"/>
      <c r="E1494" s="25"/>
      <c r="F1494" s="25"/>
      <c r="G1494" s="25"/>
      <c r="H1494" s="35"/>
      <c r="I1494" s="35"/>
      <c r="J1494" s="35"/>
      <c r="K1494" s="35"/>
      <c r="L1494" s="35"/>
      <c r="M1494" s="35"/>
      <c r="N1494" s="25"/>
    </row>
    <row r="1495" spans="1:14" ht="20.100000000000001" customHeight="1" x14ac:dyDescent="0.25">
      <c r="A1495" s="25" t="s">
        <v>525</v>
      </c>
      <c r="B1495" s="25"/>
      <c r="C1495" s="25"/>
      <c r="D1495" s="25"/>
      <c r="E1495" s="25"/>
      <c r="F1495" s="25"/>
      <c r="G1495" s="321">
        <f>K1493*G1493*H1471*2/10</f>
        <v>587.70630054959361</v>
      </c>
      <c r="H1495" s="266" t="s">
        <v>195</v>
      </c>
      <c r="I1495" s="263" t="str">
        <f>IF(G1495&gt;J1453,"BC!!","MC!!")</f>
        <v>BC!!</v>
      </c>
      <c r="L1495" s="35"/>
      <c r="M1495" s="35"/>
      <c r="N1495" s="25"/>
    </row>
    <row r="1496" spans="1:14" ht="20.100000000000001" customHeight="1" x14ac:dyDescent="0.25">
      <c r="C1496" s="25"/>
      <c r="D1496" s="25"/>
      <c r="E1496" s="25"/>
      <c r="F1496" s="25"/>
      <c r="G1496" s="25"/>
      <c r="H1496" s="35"/>
      <c r="I1496" s="35"/>
      <c r="J1496" s="35"/>
      <c r="K1496" s="35"/>
      <c r="L1496" s="35"/>
      <c r="M1496" s="35"/>
      <c r="N1496" s="25"/>
    </row>
    <row r="1497" spans="1:14" ht="20.100000000000001" customHeight="1" x14ac:dyDescent="0.25">
      <c r="A1497" s="28" t="s">
        <v>229</v>
      </c>
      <c r="B1497" s="25"/>
      <c r="C1497" s="25"/>
      <c r="D1497" s="25"/>
      <c r="E1497" s="25"/>
      <c r="F1497" s="25" t="s">
        <v>510</v>
      </c>
      <c r="G1497" s="130">
        <f>J1452</f>
        <v>260.39109999999994</v>
      </c>
      <c r="H1497" s="25" t="s">
        <v>195</v>
      </c>
      <c r="I1497" s="25"/>
      <c r="J1497" s="25" t="s">
        <v>511</v>
      </c>
      <c r="K1497" s="469">
        <v>0.9</v>
      </c>
      <c r="L1497" s="35"/>
      <c r="M1497" s="35"/>
      <c r="N1497" s="25"/>
    </row>
    <row r="1498" spans="1:14" ht="20.100000000000001" customHeight="1" x14ac:dyDescent="0.25">
      <c r="G1498" s="25"/>
      <c r="H1498" s="35"/>
      <c r="I1498" s="35"/>
      <c r="J1498" s="35"/>
      <c r="K1498" s="35"/>
      <c r="L1498" s="35"/>
      <c r="M1498" s="35"/>
      <c r="N1498" s="25"/>
    </row>
    <row r="1499" spans="1:14" ht="20.100000000000001" customHeight="1" x14ac:dyDescent="0.25">
      <c r="A1499" s="25" t="s">
        <v>512</v>
      </c>
      <c r="B1499" s="25"/>
      <c r="C1499" s="25"/>
      <c r="D1499" s="25"/>
      <c r="E1499" s="342">
        <f>10*G1497/(K1497*G1451)</f>
        <v>12.311635933806143</v>
      </c>
      <c r="F1499" s="25" t="s">
        <v>433</v>
      </c>
      <c r="G1499" s="265" t="str">
        <f>IF(E1499&lt;H1471*2,"&lt; a la sección adoptada   BC!!","&gt; a la sección adoptada    MC!!")</f>
        <v>&lt; a la sección adoptada   BC!!</v>
      </c>
      <c r="H1499" s="266"/>
      <c r="I1499" s="266"/>
      <c r="J1499" s="266"/>
      <c r="K1499" s="264"/>
      <c r="L1499" s="35"/>
      <c r="M1499" s="35"/>
      <c r="N1499" s="25"/>
    </row>
    <row r="1500" spans="1:14" ht="20.100000000000001" customHeight="1" x14ac:dyDescent="0.25">
      <c r="A1500" s="25"/>
      <c r="B1500" s="25"/>
      <c r="C1500" s="25"/>
      <c r="D1500" s="25"/>
      <c r="E1500" s="342"/>
      <c r="F1500" s="25"/>
      <c r="G1500" s="28"/>
      <c r="H1500" s="35"/>
      <c r="I1500" s="35"/>
      <c r="J1500" s="35"/>
      <c r="K1500" s="25"/>
      <c r="L1500" s="35"/>
      <c r="M1500" s="35"/>
      <c r="N1500" s="25"/>
    </row>
    <row r="1501" spans="1:14" ht="20.100000000000001" customHeight="1" x14ac:dyDescent="0.25">
      <c r="A1501" s="28" t="s">
        <v>237</v>
      </c>
      <c r="B1501" s="25"/>
      <c r="C1501" s="25"/>
      <c r="D1501" s="25"/>
      <c r="E1501" s="25"/>
      <c r="F1501" s="25"/>
      <c r="G1501" s="25"/>
      <c r="H1501" s="35"/>
      <c r="I1501" s="35"/>
      <c r="J1501" s="35"/>
      <c r="K1501" s="35"/>
      <c r="L1501" s="35"/>
      <c r="M1501" s="35"/>
      <c r="N1501" s="25"/>
    </row>
    <row r="1502" spans="1:14" ht="20.100000000000001" customHeight="1" x14ac:dyDescent="0.25">
      <c r="A1502" s="25" t="s">
        <v>526</v>
      </c>
      <c r="B1502" s="25"/>
      <c r="C1502" s="25"/>
      <c r="D1502" s="25"/>
      <c r="E1502" s="468" t="s">
        <v>527</v>
      </c>
      <c r="F1502" s="465">
        <f>M1472/2</f>
        <v>0.47499999999999998</v>
      </c>
      <c r="G1502" s="25" t="s">
        <v>143</v>
      </c>
      <c r="H1502" s="35"/>
      <c r="I1502" s="35" t="s">
        <v>513</v>
      </c>
      <c r="J1502" s="35"/>
      <c r="K1502" s="35"/>
      <c r="L1502" s="217">
        <f>0.02*MAX(G1495,G1497)</f>
        <v>11.754126010991872</v>
      </c>
      <c r="M1502" s="35" t="s">
        <v>195</v>
      </c>
      <c r="N1502" s="25"/>
    </row>
    <row r="1503" spans="1:14" ht="20.100000000000001" customHeight="1" x14ac:dyDescent="0.25">
      <c r="A1503" s="25" t="s">
        <v>528</v>
      </c>
      <c r="B1503" s="25"/>
      <c r="C1503" s="25"/>
      <c r="D1503" s="25"/>
      <c r="E1503" s="25"/>
      <c r="F1503" s="342">
        <f>(10*L1502*H1471*H1474*L1487)/(0.75*N1503*J1480*F1502*J1503)</f>
        <v>7.5609329256685829</v>
      </c>
      <c r="G1503" s="25" t="s">
        <v>143</v>
      </c>
      <c r="H1503" s="35"/>
      <c r="I1503" s="35" t="s">
        <v>236</v>
      </c>
      <c r="J1503" s="44">
        <v>425</v>
      </c>
      <c r="K1503" s="35" t="s">
        <v>168</v>
      </c>
      <c r="L1503" s="35"/>
      <c r="M1503" s="35" t="s">
        <v>515</v>
      </c>
      <c r="N1503" s="200">
        <v>0.5</v>
      </c>
    </row>
    <row r="1504" spans="1:14" ht="20.100000000000001" customHeight="1" x14ac:dyDescent="0.25">
      <c r="A1504" s="25" t="s">
        <v>529</v>
      </c>
      <c r="B1504" s="25"/>
      <c r="C1504" s="25"/>
      <c r="D1504" s="25"/>
      <c r="E1504" s="25"/>
      <c r="F1504" s="25"/>
      <c r="G1504" s="468" t="s">
        <v>517</v>
      </c>
      <c r="H1504" s="55">
        <f>((M1471-H1474)/M1471)*F1503</f>
        <v>5.4400019376611564</v>
      </c>
      <c r="I1504" s="35" t="s">
        <v>143</v>
      </c>
      <c r="J1504" s="35"/>
      <c r="K1504" s="35" t="s">
        <v>518</v>
      </c>
      <c r="L1504" s="55">
        <f>(H1474/M1471)*F1503</f>
        <v>2.1209309880074274</v>
      </c>
      <c r="M1504" s="35" t="s">
        <v>143</v>
      </c>
      <c r="N1504" s="25"/>
    </row>
    <row r="1505" spans="1:14" ht="20.100000000000001" customHeight="1" x14ac:dyDescent="0.25">
      <c r="A1505" s="25"/>
      <c r="B1505" s="25"/>
      <c r="C1505" s="25"/>
      <c r="D1505" s="25"/>
      <c r="E1505" s="25"/>
      <c r="F1505" s="25"/>
      <c r="G1505" s="468"/>
      <c r="H1505" s="55"/>
      <c r="I1505" s="35"/>
      <c r="J1505" s="35"/>
      <c r="K1505" s="35"/>
      <c r="L1505" s="55"/>
      <c r="M1505" s="35"/>
      <c r="N1505" s="25"/>
    </row>
    <row r="1506" spans="1:14" ht="20.100000000000001" customHeight="1" x14ac:dyDescent="0.25">
      <c r="A1506" s="25" t="s">
        <v>530</v>
      </c>
      <c r="B1506" s="25"/>
      <c r="C1506" s="25"/>
      <c r="D1506" s="25"/>
      <c r="E1506" s="25"/>
      <c r="F1506" s="25"/>
      <c r="G1506" s="468" t="s">
        <v>531</v>
      </c>
      <c r="H1506" s="462">
        <f>MAX(G1495,G1497)</f>
        <v>587.70630054959361</v>
      </c>
      <c r="I1506" s="35" t="s">
        <v>195</v>
      </c>
      <c r="J1506" s="35"/>
      <c r="K1506" s="35"/>
      <c r="L1506" s="35"/>
      <c r="N1506" s="25"/>
    </row>
    <row r="1507" spans="1:14" ht="20.100000000000001" customHeight="1" x14ac:dyDescent="0.25">
      <c r="A1507" s="25" t="s">
        <v>520</v>
      </c>
      <c r="B1507" s="25"/>
      <c r="C1507" s="25"/>
      <c r="D1507" s="25"/>
      <c r="E1507" s="342">
        <f>5*MAX(H1506,J1506)/(0.75*N1503*F1502*J1503)</f>
        <v>38.816515206577918</v>
      </c>
      <c r="F1507" s="25" t="s">
        <v>143</v>
      </c>
      <c r="G1507" s="468" t="s">
        <v>517</v>
      </c>
      <c r="H1507" s="55">
        <f>((M1471-H1474)/M1471)*E1507</f>
        <v>27.928024228354783</v>
      </c>
      <c r="I1507" s="35" t="s">
        <v>143</v>
      </c>
      <c r="J1507" s="35"/>
      <c r="K1507" s="35" t="s">
        <v>518</v>
      </c>
      <c r="L1507" s="55">
        <f>(H1474/M1471)*E1507</f>
        <v>10.888490978223137</v>
      </c>
      <c r="M1507" s="35" t="s">
        <v>143</v>
      </c>
      <c r="N1507" s="25"/>
    </row>
    <row r="1508" spans="1:14" ht="20.100000000000001" customHeight="1" x14ac:dyDescent="0.25">
      <c r="A1508" s="25"/>
      <c r="B1508" s="25"/>
      <c r="C1508" s="25"/>
      <c r="D1508" s="25"/>
      <c r="E1508" s="25"/>
      <c r="F1508" s="25"/>
      <c r="G1508" s="468"/>
      <c r="H1508" s="464"/>
      <c r="I1508" s="35"/>
      <c r="J1508" s="35"/>
      <c r="K1508" s="35"/>
      <c r="L1508" s="464"/>
      <c r="M1508" s="35"/>
      <c r="N1508" s="25"/>
    </row>
    <row r="1509" spans="1:14" ht="20.100000000000001" customHeight="1" x14ac:dyDescent="0.25">
      <c r="A1509" s="25"/>
      <c r="B1509" s="25"/>
      <c r="C1509" s="25"/>
      <c r="D1509" s="25"/>
      <c r="E1509" s="25"/>
      <c r="F1509" s="25"/>
      <c r="G1509" s="468"/>
      <c r="H1509" s="464"/>
      <c r="I1509" s="35"/>
      <c r="J1509" s="35"/>
      <c r="K1509" s="35"/>
      <c r="L1509" s="464"/>
      <c r="M1509" s="35"/>
      <c r="N1509" s="25"/>
    </row>
    <row r="1510" spans="1:14" ht="20.100000000000001" customHeight="1" x14ac:dyDescent="0.25">
      <c r="A1510" s="25"/>
      <c r="B1510" s="25"/>
      <c r="C1510" s="25"/>
      <c r="D1510" s="25"/>
      <c r="E1510" s="25"/>
      <c r="F1510" s="25"/>
      <c r="G1510" s="468"/>
      <c r="H1510" s="464"/>
      <c r="I1510" s="35"/>
      <c r="J1510" s="35"/>
      <c r="K1510" s="35"/>
      <c r="L1510" s="464"/>
      <c r="M1510" s="35"/>
      <c r="N1510" s="25"/>
    </row>
  </sheetData>
  <mergeCells count="192">
    <mergeCell ref="G1450:H1450"/>
    <mergeCell ref="G1451:H1451"/>
    <mergeCell ref="G1452:H1452"/>
    <mergeCell ref="G1453:H1453"/>
    <mergeCell ref="B1469:C1469"/>
    <mergeCell ref="L1470:M1470"/>
    <mergeCell ref="J1364:K1364"/>
    <mergeCell ref="J1365:K1365"/>
    <mergeCell ref="B1384:E1384"/>
    <mergeCell ref="I1410:J1410"/>
    <mergeCell ref="A1085:B1085"/>
    <mergeCell ref="I1091:J1091"/>
    <mergeCell ref="I1094:J1094"/>
    <mergeCell ref="H984:I984"/>
    <mergeCell ref="H985:I985"/>
    <mergeCell ref="J983:K983"/>
    <mergeCell ref="J984:K984"/>
    <mergeCell ref="J985:K985"/>
    <mergeCell ref="H986:I986"/>
    <mergeCell ref="J986:K986"/>
    <mergeCell ref="J1026:K1026"/>
    <mergeCell ref="J1024:K1024"/>
    <mergeCell ref="I993:L993"/>
    <mergeCell ref="A1057:B1057"/>
    <mergeCell ref="B1066:C1066"/>
    <mergeCell ref="K1000:L1000"/>
    <mergeCell ref="L1021:M1021"/>
    <mergeCell ref="E1038:F1038"/>
    <mergeCell ref="J1023:K1023"/>
    <mergeCell ref="A1003:B1003"/>
    <mergeCell ref="A1004:B1004"/>
    <mergeCell ref="E1036:F1036"/>
    <mergeCell ref="G920:H920"/>
    <mergeCell ref="G921:H921"/>
    <mergeCell ref="X984:Y984"/>
    <mergeCell ref="X987:Y987"/>
    <mergeCell ref="G965:H965"/>
    <mergeCell ref="G966:H966"/>
    <mergeCell ref="I878:J878"/>
    <mergeCell ref="H983:I983"/>
    <mergeCell ref="T984:U984"/>
    <mergeCell ref="T985:U985"/>
    <mergeCell ref="T986:U986"/>
    <mergeCell ref="R984:S984"/>
    <mergeCell ref="Q958:R958"/>
    <mergeCell ref="Q963:R963"/>
    <mergeCell ref="G929:H929"/>
    <mergeCell ref="G930:H930"/>
    <mergeCell ref="G931:H931"/>
    <mergeCell ref="G964:H964"/>
    <mergeCell ref="V986:W986"/>
    <mergeCell ref="X986:Y986"/>
    <mergeCell ref="X979:Y979"/>
    <mergeCell ref="X981:Y981"/>
    <mergeCell ref="Q969:R969"/>
    <mergeCell ref="Q970:R970"/>
    <mergeCell ref="E927:F927"/>
    <mergeCell ref="G927:H927"/>
    <mergeCell ref="G928:H928"/>
    <mergeCell ref="A928:B928"/>
    <mergeCell ref="B965:C965"/>
    <mergeCell ref="G963:H963"/>
    <mergeCell ref="B964:C964"/>
    <mergeCell ref="B923:C923"/>
    <mergeCell ref="B924:C924"/>
    <mergeCell ref="B925:C925"/>
    <mergeCell ref="X980:Y980"/>
    <mergeCell ref="X982:Y982"/>
    <mergeCell ref="L972:M972"/>
    <mergeCell ref="Q968:R968"/>
    <mergeCell ref="Q964:R964"/>
    <mergeCell ref="Q965:R965"/>
    <mergeCell ref="Q959:R959"/>
    <mergeCell ref="Q960:R960"/>
    <mergeCell ref="K887:L887"/>
    <mergeCell ref="K888:L888"/>
    <mergeCell ref="I23:J23"/>
    <mergeCell ref="C115:D115"/>
    <mergeCell ref="C116:D116"/>
    <mergeCell ref="F195:G195"/>
    <mergeCell ref="C205:D205"/>
    <mergeCell ref="B525:C525"/>
    <mergeCell ref="E599:F599"/>
    <mergeCell ref="G649:H649"/>
    <mergeCell ref="G650:H650"/>
    <mergeCell ref="G580:H580"/>
    <mergeCell ref="I425:J425"/>
    <mergeCell ref="G579:H579"/>
    <mergeCell ref="G507:H507"/>
    <mergeCell ref="G508:H508"/>
    <mergeCell ref="F258:G258"/>
    <mergeCell ref="F259:G259"/>
    <mergeCell ref="F260:G260"/>
    <mergeCell ref="G298:H298"/>
    <mergeCell ref="B308:C308"/>
    <mergeCell ref="B309:C309"/>
    <mergeCell ref="B387:E387"/>
    <mergeCell ref="G443:H443"/>
    <mergeCell ref="G444:H444"/>
    <mergeCell ref="G441:H441"/>
    <mergeCell ref="G918:H918"/>
    <mergeCell ref="G922:H922"/>
    <mergeCell ref="E918:F918"/>
    <mergeCell ref="L667:M667"/>
    <mergeCell ref="A675:C675"/>
    <mergeCell ref="A676:C676"/>
    <mergeCell ref="M527:N527"/>
    <mergeCell ref="I742:J742"/>
    <mergeCell ref="I754:J754"/>
    <mergeCell ref="G919:H919"/>
    <mergeCell ref="E885:F885"/>
    <mergeCell ref="B915:C915"/>
    <mergeCell ref="B918:C918"/>
    <mergeCell ref="B919:C919"/>
    <mergeCell ref="B920:C920"/>
    <mergeCell ref="E531:F531"/>
    <mergeCell ref="G577:H577"/>
    <mergeCell ref="G578:H578"/>
    <mergeCell ref="G651:H651"/>
    <mergeCell ref="E671:F671"/>
    <mergeCell ref="G652:H652"/>
    <mergeCell ref="B776:C776"/>
    <mergeCell ref="B777:C777"/>
    <mergeCell ref="K756:L756"/>
    <mergeCell ref="K27:L27"/>
    <mergeCell ref="K28:L28"/>
    <mergeCell ref="K29:L29"/>
    <mergeCell ref="K30:L30"/>
    <mergeCell ref="A908:B908"/>
    <mergeCell ref="A909:B909"/>
    <mergeCell ref="A910:B910"/>
    <mergeCell ref="K349:L349"/>
    <mergeCell ref="B183:C183"/>
    <mergeCell ref="A168:B168"/>
    <mergeCell ref="B181:C181"/>
    <mergeCell ref="C160:D160"/>
    <mergeCell ref="G442:H442"/>
    <mergeCell ref="B462:C462"/>
    <mergeCell ref="G787:H787"/>
    <mergeCell ref="A911:B911"/>
    <mergeCell ref="B914:C914"/>
    <mergeCell ref="A906:B906"/>
    <mergeCell ref="B913:C913"/>
    <mergeCell ref="B382:C382"/>
    <mergeCell ref="B383:C383"/>
    <mergeCell ref="L464:M464"/>
    <mergeCell ref="L595:M595"/>
    <mergeCell ref="A603:C603"/>
    <mergeCell ref="A602:C602"/>
    <mergeCell ref="G505:H505"/>
    <mergeCell ref="G506:H506"/>
    <mergeCell ref="A709:B709"/>
    <mergeCell ref="B593:C593"/>
    <mergeCell ref="B968:C968"/>
    <mergeCell ref="A951:B951"/>
    <mergeCell ref="A953:B953"/>
    <mergeCell ref="A954:B954"/>
    <mergeCell ref="G976:H976"/>
    <mergeCell ref="A952:B952"/>
    <mergeCell ref="A974:B974"/>
    <mergeCell ref="G967:H967"/>
    <mergeCell ref="B969:C969"/>
    <mergeCell ref="B970:C970"/>
    <mergeCell ref="E972:F972"/>
    <mergeCell ref="G972:H972"/>
    <mergeCell ref="A973:B973"/>
    <mergeCell ref="G973:H973"/>
    <mergeCell ref="G974:H974"/>
    <mergeCell ref="G975:H975"/>
    <mergeCell ref="A955:B955"/>
    <mergeCell ref="A956:B956"/>
    <mergeCell ref="B958:C958"/>
    <mergeCell ref="B959:C959"/>
    <mergeCell ref="B960:C960"/>
    <mergeCell ref="B963:C963"/>
    <mergeCell ref="E963:F963"/>
    <mergeCell ref="J1153:K1153"/>
    <mergeCell ref="H1123:I1123"/>
    <mergeCell ref="A1118:C1118"/>
    <mergeCell ref="A1142:B1142"/>
    <mergeCell ref="I1195:J1195"/>
    <mergeCell ref="B1203:C1203"/>
    <mergeCell ref="A1328:B1328"/>
    <mergeCell ref="B1204:C1204"/>
    <mergeCell ref="B1213:E1213"/>
    <mergeCell ref="I1252:J1252"/>
    <mergeCell ref="A1233:B1233"/>
    <mergeCell ref="A1264:B1264"/>
    <mergeCell ref="I1270:J1270"/>
    <mergeCell ref="I1276:J1276"/>
    <mergeCell ref="A1304:C1304"/>
    <mergeCell ref="H1309:I1309"/>
  </mergeCells>
  <pageMargins left="0.70866141732283472" right="0.70866141732283472" top="1.1417322834645669" bottom="0.74803149606299213" header="0.31496062992125984" footer="0.31496062992125984"/>
  <pageSetup paperSize="9" orientation="portrait" r:id="rId1"/>
  <headerFooter>
    <oddHeader>&amp;L&amp;GUNNE - Facultad de Ingeniería&amp;RCONSTRUCCIONES METÁLICAS
IBARRA SENA LORENZO</oddHeader>
    <oddFooter>&amp;C&amp;P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AutoCAD.Drawing.17" shapeId="1031" r:id="rId5">
          <objectPr defaultSize="0" autoPict="0" r:id="rId6">
            <anchor moveWithCells="1">
              <from>
                <xdr:col>7</xdr:col>
                <xdr:colOff>219075</xdr:colOff>
                <xdr:row>3</xdr:row>
                <xdr:rowOff>142875</xdr:rowOff>
              </from>
              <to>
                <xdr:col>13</xdr:col>
                <xdr:colOff>38100</xdr:colOff>
                <xdr:row>8</xdr:row>
                <xdr:rowOff>180975</xdr:rowOff>
              </to>
            </anchor>
          </objectPr>
        </oleObject>
      </mc:Choice>
      <mc:Fallback>
        <oleObject progId="AutoCAD.Drawing.17" shapeId="1031" r:id="rId5"/>
      </mc:Fallback>
    </mc:AlternateContent>
    <mc:AlternateContent xmlns:mc="http://schemas.openxmlformats.org/markup-compatibility/2006">
      <mc:Choice Requires="x14">
        <oleObject progId="AutoCAD.Drawing.17" shapeId="1033" r:id="rId7">
          <objectPr defaultSize="0" autoPict="0" r:id="rId8">
            <anchor moveWithCells="1">
              <from>
                <xdr:col>8</xdr:col>
                <xdr:colOff>57150</xdr:colOff>
                <xdr:row>9</xdr:row>
                <xdr:rowOff>28575</xdr:rowOff>
              </from>
              <to>
                <xdr:col>13</xdr:col>
                <xdr:colOff>180975</xdr:colOff>
                <xdr:row>13</xdr:row>
                <xdr:rowOff>219075</xdr:rowOff>
              </to>
            </anchor>
          </objectPr>
        </oleObject>
      </mc:Choice>
      <mc:Fallback>
        <oleObject progId="AutoCAD.Drawing.17" shapeId="1033" r:id="rId7"/>
      </mc:Fallback>
    </mc:AlternateContent>
    <mc:AlternateContent xmlns:mc="http://schemas.openxmlformats.org/markup-compatibility/2006">
      <mc:Choice Requires="x14">
        <oleObject progId="AutoCAD.Drawing.17" shapeId="1036" r:id="rId9">
          <objectPr defaultSize="0" autoPict="0" r:id="rId10">
            <anchor moveWithCells="1">
              <from>
                <xdr:col>7</xdr:col>
                <xdr:colOff>285750</xdr:colOff>
                <xdr:row>41</xdr:row>
                <xdr:rowOff>47625</xdr:rowOff>
              </from>
              <to>
                <xdr:col>13</xdr:col>
                <xdr:colOff>323850</xdr:colOff>
                <xdr:row>50</xdr:row>
                <xdr:rowOff>219075</xdr:rowOff>
              </to>
            </anchor>
          </objectPr>
        </oleObject>
      </mc:Choice>
      <mc:Fallback>
        <oleObject progId="AutoCAD.Drawing.17" shapeId="1036" r:id="rId9"/>
      </mc:Fallback>
    </mc:AlternateContent>
    <mc:AlternateContent xmlns:mc="http://schemas.openxmlformats.org/markup-compatibility/2006">
      <mc:Choice Requires="x14">
        <oleObject progId="AutoCAD.Drawing.17" shapeId="1037" r:id="rId11">
          <objectPr defaultSize="0" autoPict="0" r:id="rId12">
            <anchor moveWithCells="1">
              <from>
                <xdr:col>0</xdr:col>
                <xdr:colOff>314325</xdr:colOff>
                <xdr:row>41</xdr:row>
                <xdr:rowOff>76200</xdr:rowOff>
              </from>
              <to>
                <xdr:col>6</xdr:col>
                <xdr:colOff>200025</xdr:colOff>
                <xdr:row>50</xdr:row>
                <xdr:rowOff>152400</xdr:rowOff>
              </to>
            </anchor>
          </objectPr>
        </oleObject>
      </mc:Choice>
      <mc:Fallback>
        <oleObject progId="AutoCAD.Drawing.17" shapeId="1037" r:id="rId11"/>
      </mc:Fallback>
    </mc:AlternateContent>
    <mc:AlternateContent xmlns:mc="http://schemas.openxmlformats.org/markup-compatibility/2006">
      <mc:Choice Requires="x14">
        <oleObject progId="AutoCAD.Drawing.17" shapeId="1041" r:id="rId13">
          <objectPr defaultSize="0" autoPict="0" r:id="rId14">
            <anchor moveWithCells="1">
              <from>
                <xdr:col>1</xdr:col>
                <xdr:colOff>295275</xdr:colOff>
                <xdr:row>95</xdr:row>
                <xdr:rowOff>104775</xdr:rowOff>
              </from>
              <to>
                <xdr:col>11</xdr:col>
                <xdr:colOff>104775</xdr:colOff>
                <xdr:row>104</xdr:row>
                <xdr:rowOff>114300</xdr:rowOff>
              </to>
            </anchor>
          </objectPr>
        </oleObject>
      </mc:Choice>
      <mc:Fallback>
        <oleObject progId="AutoCAD.Drawing.17" shapeId="1041" r:id="rId13"/>
      </mc:Fallback>
    </mc:AlternateContent>
    <mc:AlternateContent xmlns:mc="http://schemas.openxmlformats.org/markup-compatibility/2006">
      <mc:Choice Requires="x14">
        <oleObject progId="AutoCAD.Drawing.17" shapeId="1042" r:id="rId15">
          <objectPr defaultSize="0" autoPict="0" r:id="rId16">
            <anchor moveWithCells="1">
              <from>
                <xdr:col>8</xdr:col>
                <xdr:colOff>285750</xdr:colOff>
                <xdr:row>116</xdr:row>
                <xdr:rowOff>76200</xdr:rowOff>
              </from>
              <to>
                <xdr:col>12</xdr:col>
                <xdr:colOff>447675</xdr:colOff>
                <xdr:row>120</xdr:row>
                <xdr:rowOff>95250</xdr:rowOff>
              </to>
            </anchor>
          </objectPr>
        </oleObject>
      </mc:Choice>
      <mc:Fallback>
        <oleObject progId="AutoCAD.Drawing.17" shapeId="1042" r:id="rId15"/>
      </mc:Fallback>
    </mc:AlternateContent>
    <mc:AlternateContent xmlns:mc="http://schemas.openxmlformats.org/markup-compatibility/2006">
      <mc:Choice Requires="x14">
        <oleObject progId="AutoCAD.Drawing.17" shapeId="1043" r:id="rId17">
          <objectPr defaultSize="0" autoPict="0" r:id="rId18">
            <anchor moveWithCells="1">
              <from>
                <xdr:col>0</xdr:col>
                <xdr:colOff>114300</xdr:colOff>
                <xdr:row>123</xdr:row>
                <xdr:rowOff>161925</xdr:rowOff>
              </from>
              <to>
                <xdr:col>12</xdr:col>
                <xdr:colOff>219075</xdr:colOff>
                <xdr:row>132</xdr:row>
                <xdr:rowOff>57150</xdr:rowOff>
              </to>
            </anchor>
          </objectPr>
        </oleObject>
      </mc:Choice>
      <mc:Fallback>
        <oleObject progId="AutoCAD.Drawing.17" shapeId="1043" r:id="rId17"/>
      </mc:Fallback>
    </mc:AlternateContent>
    <mc:AlternateContent xmlns:mc="http://schemas.openxmlformats.org/markup-compatibility/2006">
      <mc:Choice Requires="x14">
        <oleObject progId="AutoCAD.Drawing.17" shapeId="1046" r:id="rId19">
          <objectPr defaultSize="0" autoPict="0" r:id="rId20">
            <anchor moveWithCells="1">
              <from>
                <xdr:col>8</xdr:col>
                <xdr:colOff>114300</xdr:colOff>
                <xdr:row>167</xdr:row>
                <xdr:rowOff>161925</xdr:rowOff>
              </from>
              <to>
                <xdr:col>13</xdr:col>
                <xdr:colOff>200025</xdr:colOff>
                <xdr:row>174</xdr:row>
                <xdr:rowOff>180975</xdr:rowOff>
              </to>
            </anchor>
          </objectPr>
        </oleObject>
      </mc:Choice>
      <mc:Fallback>
        <oleObject progId="AutoCAD.Drawing.17" shapeId="1046" r:id="rId19"/>
      </mc:Fallback>
    </mc:AlternateContent>
    <mc:AlternateContent xmlns:mc="http://schemas.openxmlformats.org/markup-compatibility/2006">
      <mc:Choice Requires="x14">
        <oleObject progId="AutoCAD.Drawing.17" shapeId="1047" r:id="rId21">
          <objectPr defaultSize="0" autoPict="0" r:id="rId22">
            <anchor moveWithCells="1">
              <from>
                <xdr:col>0</xdr:col>
                <xdr:colOff>114300</xdr:colOff>
                <xdr:row>238</xdr:row>
                <xdr:rowOff>95250</xdr:rowOff>
              </from>
              <to>
                <xdr:col>12</xdr:col>
                <xdr:colOff>390525</xdr:colOff>
                <xdr:row>249</xdr:row>
                <xdr:rowOff>228600</xdr:rowOff>
              </to>
            </anchor>
          </objectPr>
        </oleObject>
      </mc:Choice>
      <mc:Fallback>
        <oleObject progId="AutoCAD.Drawing.17" shapeId="1047" r:id="rId21"/>
      </mc:Fallback>
    </mc:AlternateContent>
    <mc:AlternateContent xmlns:mc="http://schemas.openxmlformats.org/markup-compatibility/2006">
      <mc:Choice Requires="x14">
        <oleObject progId="AutoCAD.Drawing.17" shapeId="1048" r:id="rId23">
          <objectPr defaultSize="0" autoPict="0" r:id="rId24">
            <anchor moveWithCells="1">
              <from>
                <xdr:col>9</xdr:col>
                <xdr:colOff>57150</xdr:colOff>
                <xdr:row>182</xdr:row>
                <xdr:rowOff>171450</xdr:rowOff>
              </from>
              <to>
                <xdr:col>13</xdr:col>
                <xdr:colOff>285750</xdr:colOff>
                <xdr:row>190</xdr:row>
                <xdr:rowOff>57150</xdr:rowOff>
              </to>
            </anchor>
          </objectPr>
        </oleObject>
      </mc:Choice>
      <mc:Fallback>
        <oleObject progId="AutoCAD.Drawing.17" shapeId="1048" r:id="rId23"/>
      </mc:Fallback>
    </mc:AlternateContent>
    <mc:AlternateContent xmlns:mc="http://schemas.openxmlformats.org/markup-compatibility/2006">
      <mc:Choice Requires="x14">
        <oleObject progId="AutoCAD.Drawing.17" shapeId="1049" r:id="rId25">
          <objectPr defaultSize="0" autoPict="0" r:id="rId26">
            <anchor moveWithCells="1">
              <from>
                <xdr:col>10</xdr:col>
                <xdr:colOff>314325</xdr:colOff>
                <xdr:row>252</xdr:row>
                <xdr:rowOff>161925</xdr:rowOff>
              </from>
              <to>
                <xdr:col>13</xdr:col>
                <xdr:colOff>228600</xdr:colOff>
                <xdr:row>257</xdr:row>
                <xdr:rowOff>76200</xdr:rowOff>
              </to>
            </anchor>
          </objectPr>
        </oleObject>
      </mc:Choice>
      <mc:Fallback>
        <oleObject progId="AutoCAD.Drawing.17" shapeId="1049" r:id="rId25"/>
      </mc:Fallback>
    </mc:AlternateContent>
    <mc:AlternateContent xmlns:mc="http://schemas.openxmlformats.org/markup-compatibility/2006">
      <mc:Choice Requires="x14">
        <oleObject progId="AutoCAD.Drawing.17" shapeId="1050" r:id="rId27">
          <objectPr defaultSize="0" autoPict="0" r:id="rId28">
            <anchor moveWithCells="1">
              <from>
                <xdr:col>0</xdr:col>
                <xdr:colOff>266700</xdr:colOff>
                <xdr:row>253</xdr:row>
                <xdr:rowOff>142875</xdr:rowOff>
              </from>
              <to>
                <xdr:col>4</xdr:col>
                <xdr:colOff>47625</xdr:colOff>
                <xdr:row>258</xdr:row>
                <xdr:rowOff>190500</xdr:rowOff>
              </to>
            </anchor>
          </objectPr>
        </oleObject>
      </mc:Choice>
      <mc:Fallback>
        <oleObject progId="AutoCAD.Drawing.17" shapeId="1050" r:id="rId27"/>
      </mc:Fallback>
    </mc:AlternateContent>
    <mc:AlternateContent xmlns:mc="http://schemas.openxmlformats.org/markup-compatibility/2006">
      <mc:Choice Requires="x14">
        <oleObject progId="AutoCAD.Drawing.17" shapeId="1053" r:id="rId29">
          <objectPr defaultSize="0" autoPict="0" r:id="rId30">
            <anchor moveWithCells="1">
              <from>
                <xdr:col>8</xdr:col>
                <xdr:colOff>133350</xdr:colOff>
                <xdr:row>314</xdr:row>
                <xdr:rowOff>47625</xdr:rowOff>
              </from>
              <to>
                <xdr:col>12</xdr:col>
                <xdr:colOff>295275</xdr:colOff>
                <xdr:row>320</xdr:row>
                <xdr:rowOff>200025</xdr:rowOff>
              </to>
            </anchor>
          </objectPr>
        </oleObject>
      </mc:Choice>
      <mc:Fallback>
        <oleObject progId="AutoCAD.Drawing.17" shapeId="1053" r:id="rId29"/>
      </mc:Fallback>
    </mc:AlternateContent>
    <mc:AlternateContent xmlns:mc="http://schemas.openxmlformats.org/markup-compatibility/2006">
      <mc:Choice Requires="x14">
        <oleObject progId="AutoCAD.Drawing.17" shapeId="1056" r:id="rId31">
          <objectPr defaultSize="0" autoPict="0" r:id="rId32">
            <anchor moveWithCells="1">
              <from>
                <xdr:col>8</xdr:col>
                <xdr:colOff>228600</xdr:colOff>
                <xdr:row>326</xdr:row>
                <xdr:rowOff>28575</xdr:rowOff>
              </from>
              <to>
                <xdr:col>13</xdr:col>
                <xdr:colOff>85725</xdr:colOff>
                <xdr:row>334</xdr:row>
                <xdr:rowOff>114300</xdr:rowOff>
              </to>
            </anchor>
          </objectPr>
        </oleObject>
      </mc:Choice>
      <mc:Fallback>
        <oleObject progId="AutoCAD.Drawing.17" shapeId="1056" r:id="rId31"/>
      </mc:Fallback>
    </mc:AlternateContent>
    <mc:AlternateContent xmlns:mc="http://schemas.openxmlformats.org/markup-compatibility/2006">
      <mc:Choice Requires="x14">
        <oleObject progId="AutoCAD.Drawing.17" shapeId="1057" r:id="rId33">
          <objectPr defaultSize="0" autoPict="0" r:id="rId30">
            <anchor moveWithCells="1">
              <from>
                <xdr:col>8</xdr:col>
                <xdr:colOff>9525</xdr:colOff>
                <xdr:row>338</xdr:row>
                <xdr:rowOff>28575</xdr:rowOff>
              </from>
              <to>
                <xdr:col>12</xdr:col>
                <xdr:colOff>171450</xdr:colOff>
                <xdr:row>344</xdr:row>
                <xdr:rowOff>180975</xdr:rowOff>
              </to>
            </anchor>
          </objectPr>
        </oleObject>
      </mc:Choice>
      <mc:Fallback>
        <oleObject progId="AutoCAD.Drawing.17" shapeId="1057" r:id="rId33"/>
      </mc:Fallback>
    </mc:AlternateContent>
    <mc:AlternateContent xmlns:mc="http://schemas.openxmlformats.org/markup-compatibility/2006">
      <mc:Choice Requires="x14">
        <oleObject progId="AutoCAD.Drawing.17" shapeId="1060" r:id="rId34">
          <objectPr defaultSize="0" autoPict="0" r:id="rId35">
            <anchor moveWithCells="1">
              <from>
                <xdr:col>8</xdr:col>
                <xdr:colOff>190500</xdr:colOff>
                <xdr:row>361</xdr:row>
                <xdr:rowOff>28575</xdr:rowOff>
              </from>
              <to>
                <xdr:col>13</xdr:col>
                <xdr:colOff>219075</xdr:colOff>
                <xdr:row>368</xdr:row>
                <xdr:rowOff>171450</xdr:rowOff>
              </to>
            </anchor>
          </objectPr>
        </oleObject>
      </mc:Choice>
      <mc:Fallback>
        <oleObject progId="AutoCAD.Drawing.17" shapeId="1060" r:id="rId34"/>
      </mc:Fallback>
    </mc:AlternateContent>
    <mc:AlternateContent xmlns:mc="http://schemas.openxmlformats.org/markup-compatibility/2006">
      <mc:Choice Requires="x14">
        <oleObject progId="AutoCAD.Drawing.17" shapeId="1061" r:id="rId36">
          <objectPr defaultSize="0" autoPict="0" r:id="rId37">
            <anchor moveWithCells="1">
              <from>
                <xdr:col>11</xdr:col>
                <xdr:colOff>247650</xdr:colOff>
                <xdr:row>288</xdr:row>
                <xdr:rowOff>238125</xdr:rowOff>
              </from>
              <to>
                <xdr:col>13</xdr:col>
                <xdr:colOff>295275</xdr:colOff>
                <xdr:row>292</xdr:row>
                <xdr:rowOff>95250</xdr:rowOff>
              </to>
            </anchor>
          </objectPr>
        </oleObject>
      </mc:Choice>
      <mc:Fallback>
        <oleObject progId="AutoCAD.Drawing.17" shapeId="1061" r:id="rId36"/>
      </mc:Fallback>
    </mc:AlternateContent>
    <mc:AlternateContent xmlns:mc="http://schemas.openxmlformats.org/markup-compatibility/2006">
      <mc:Choice Requires="x14">
        <oleObject progId="AutoCAD.Drawing.17" shapeId="1062" r:id="rId38">
          <objectPr defaultSize="0" autoPict="0" r:id="rId39">
            <anchor moveWithCells="1">
              <from>
                <xdr:col>10</xdr:col>
                <xdr:colOff>228600</xdr:colOff>
                <xdr:row>432</xdr:row>
                <xdr:rowOff>123825</xdr:rowOff>
              </from>
              <to>
                <xdr:col>13</xdr:col>
                <xdr:colOff>133350</xdr:colOff>
                <xdr:row>440</xdr:row>
                <xdr:rowOff>180975</xdr:rowOff>
              </to>
            </anchor>
          </objectPr>
        </oleObject>
      </mc:Choice>
      <mc:Fallback>
        <oleObject progId="AutoCAD.Drawing.17" shapeId="1062" r:id="rId38"/>
      </mc:Fallback>
    </mc:AlternateContent>
    <mc:AlternateContent xmlns:mc="http://schemas.openxmlformats.org/markup-compatibility/2006">
      <mc:Choice Requires="x14">
        <oleObject progId="AutoCAD.Drawing.17" shapeId="1068" r:id="rId40">
          <objectPr defaultSize="0" autoPict="0" r:id="rId41">
            <anchor moveWithCells="1">
              <from>
                <xdr:col>0</xdr:col>
                <xdr:colOff>200025</xdr:colOff>
                <xdr:row>472</xdr:row>
                <xdr:rowOff>95250</xdr:rowOff>
              </from>
              <to>
                <xdr:col>4</xdr:col>
                <xdr:colOff>190500</xdr:colOff>
                <xdr:row>477</xdr:row>
                <xdr:rowOff>152400</xdr:rowOff>
              </to>
            </anchor>
          </objectPr>
        </oleObject>
      </mc:Choice>
      <mc:Fallback>
        <oleObject progId="AutoCAD.Drawing.17" shapeId="1068" r:id="rId40"/>
      </mc:Fallback>
    </mc:AlternateContent>
    <mc:AlternateContent xmlns:mc="http://schemas.openxmlformats.org/markup-compatibility/2006">
      <mc:Choice Requires="x14">
        <oleObject progId="AutoCAD.Drawing.17" shapeId="1069" r:id="rId42">
          <objectPr defaultSize="0" autoPict="0" r:id="rId41">
            <anchor moveWithCells="1">
              <from>
                <xdr:col>9</xdr:col>
                <xdr:colOff>19050</xdr:colOff>
                <xdr:row>534</xdr:row>
                <xdr:rowOff>28575</xdr:rowOff>
              </from>
              <to>
                <xdr:col>12</xdr:col>
                <xdr:colOff>219075</xdr:colOff>
                <xdr:row>538</xdr:row>
                <xdr:rowOff>190500</xdr:rowOff>
              </to>
            </anchor>
          </objectPr>
        </oleObject>
      </mc:Choice>
      <mc:Fallback>
        <oleObject progId="AutoCAD.Drawing.17" shapeId="1069" r:id="rId42"/>
      </mc:Fallback>
    </mc:AlternateContent>
    <mc:AlternateContent xmlns:mc="http://schemas.openxmlformats.org/markup-compatibility/2006">
      <mc:Choice Requires="x14">
        <oleObject progId="AutoCAD.Drawing.17" shapeId="1070" r:id="rId43">
          <objectPr defaultSize="0" autoPict="0" r:id="rId41">
            <anchor moveWithCells="1">
              <from>
                <xdr:col>8</xdr:col>
                <xdr:colOff>209550</xdr:colOff>
                <xdr:row>604</xdr:row>
                <xdr:rowOff>57150</xdr:rowOff>
              </from>
              <to>
                <xdr:col>12</xdr:col>
                <xdr:colOff>9525</xdr:colOff>
                <xdr:row>608</xdr:row>
                <xdr:rowOff>209550</xdr:rowOff>
              </to>
            </anchor>
          </objectPr>
        </oleObject>
      </mc:Choice>
      <mc:Fallback>
        <oleObject progId="AutoCAD.Drawing.17" shapeId="1070" r:id="rId43"/>
      </mc:Fallback>
    </mc:AlternateContent>
    <mc:AlternateContent xmlns:mc="http://schemas.openxmlformats.org/markup-compatibility/2006">
      <mc:Choice Requires="x14">
        <oleObject progId="AutoCAD.Drawing.17" shapeId="1071" r:id="rId44">
          <objectPr defaultSize="0" autoPict="0" r:id="rId41">
            <anchor moveWithCells="1">
              <from>
                <xdr:col>8</xdr:col>
                <xdr:colOff>276225</xdr:colOff>
                <xdr:row>677</xdr:row>
                <xdr:rowOff>200025</xdr:rowOff>
              </from>
              <to>
                <xdr:col>12</xdr:col>
                <xdr:colOff>9525</xdr:colOff>
                <xdr:row>682</xdr:row>
                <xdr:rowOff>47625</xdr:rowOff>
              </to>
            </anchor>
          </objectPr>
        </oleObject>
      </mc:Choice>
      <mc:Fallback>
        <oleObject progId="AutoCAD.Drawing.17" shapeId="1071" r:id="rId44"/>
      </mc:Fallback>
    </mc:AlternateContent>
    <mc:AlternateContent xmlns:mc="http://schemas.openxmlformats.org/markup-compatibility/2006">
      <mc:Choice Requires="x14">
        <oleObject progId="AutoCAD.Drawing.17" shapeId="1072" r:id="rId45">
          <objectPr defaultSize="0" autoPict="0" r:id="rId46">
            <anchor moveWithCells="1">
              <from>
                <xdr:col>5</xdr:col>
                <xdr:colOff>333375</xdr:colOff>
                <xdr:row>721</xdr:row>
                <xdr:rowOff>85725</xdr:rowOff>
              </from>
              <to>
                <xdr:col>13</xdr:col>
                <xdr:colOff>133350</xdr:colOff>
                <xdr:row>727</xdr:row>
                <xdr:rowOff>228600</xdr:rowOff>
              </to>
            </anchor>
          </objectPr>
        </oleObject>
      </mc:Choice>
      <mc:Fallback>
        <oleObject progId="AutoCAD.Drawing.17" shapeId="1072" r:id="rId45"/>
      </mc:Fallback>
    </mc:AlternateContent>
    <mc:AlternateContent xmlns:mc="http://schemas.openxmlformats.org/markup-compatibility/2006">
      <mc:Choice Requires="x14">
        <oleObject progId="AutoCAD.Drawing.17" shapeId="1073" r:id="rId47">
          <objectPr defaultSize="0" autoPict="0" r:id="rId48">
            <anchor moveWithCells="1">
              <from>
                <xdr:col>0</xdr:col>
                <xdr:colOff>333375</xdr:colOff>
                <xdr:row>722</xdr:row>
                <xdr:rowOff>28575</xdr:rowOff>
              </from>
              <to>
                <xdr:col>4</xdr:col>
                <xdr:colOff>285750</xdr:colOff>
                <xdr:row>727</xdr:row>
                <xdr:rowOff>95250</xdr:rowOff>
              </to>
            </anchor>
          </objectPr>
        </oleObject>
      </mc:Choice>
      <mc:Fallback>
        <oleObject progId="AutoCAD.Drawing.17" shapeId="1073" r:id="rId47"/>
      </mc:Fallback>
    </mc:AlternateContent>
    <mc:AlternateContent xmlns:mc="http://schemas.openxmlformats.org/markup-compatibility/2006">
      <mc:Choice Requires="x14">
        <oleObject progId="AutoCAD.Drawing.17" shapeId="1074" r:id="rId49">
          <objectPr defaultSize="0" autoPict="0" r:id="rId50">
            <anchor moveWithCells="1">
              <from>
                <xdr:col>9</xdr:col>
                <xdr:colOff>142875</xdr:colOff>
                <xdr:row>766</xdr:row>
                <xdr:rowOff>19050</xdr:rowOff>
              </from>
              <to>
                <xdr:col>14</xdr:col>
                <xdr:colOff>57150</xdr:colOff>
                <xdr:row>773</xdr:row>
                <xdr:rowOff>114300</xdr:rowOff>
              </to>
            </anchor>
          </objectPr>
        </oleObject>
      </mc:Choice>
      <mc:Fallback>
        <oleObject progId="AutoCAD.Drawing.17" shapeId="1074" r:id="rId49"/>
      </mc:Fallback>
    </mc:AlternateContent>
    <mc:AlternateContent xmlns:mc="http://schemas.openxmlformats.org/markup-compatibility/2006">
      <mc:Choice Requires="x14">
        <oleObject progId="AutoCAD.Drawing.17" shapeId="1075" r:id="rId51">
          <objectPr defaultSize="0" autoPict="0" r:id="rId52">
            <anchor moveWithCells="1">
              <from>
                <xdr:col>8</xdr:col>
                <xdr:colOff>171450</xdr:colOff>
                <xdr:row>790</xdr:row>
                <xdr:rowOff>47625</xdr:rowOff>
              </from>
              <to>
                <xdr:col>12</xdr:col>
                <xdr:colOff>219075</xdr:colOff>
                <xdr:row>796</xdr:row>
                <xdr:rowOff>38100</xdr:rowOff>
              </to>
            </anchor>
          </objectPr>
        </oleObject>
      </mc:Choice>
      <mc:Fallback>
        <oleObject progId="AutoCAD.Drawing.17" shapeId="1075" r:id="rId51"/>
      </mc:Fallback>
    </mc:AlternateContent>
    <mc:AlternateContent xmlns:mc="http://schemas.openxmlformats.org/markup-compatibility/2006">
      <mc:Choice Requires="x14">
        <oleObject progId="AutoCAD.Drawing.17" shapeId="1077" r:id="rId53">
          <objectPr defaultSize="0" autoPict="0" r:id="rId54">
            <anchor moveWithCells="1">
              <from>
                <xdr:col>9</xdr:col>
                <xdr:colOff>247650</xdr:colOff>
                <xdr:row>798</xdr:row>
                <xdr:rowOff>19050</xdr:rowOff>
              </from>
              <to>
                <xdr:col>13</xdr:col>
                <xdr:colOff>266700</xdr:colOff>
                <xdr:row>805</xdr:row>
                <xdr:rowOff>9525</xdr:rowOff>
              </to>
            </anchor>
          </objectPr>
        </oleObject>
      </mc:Choice>
      <mc:Fallback>
        <oleObject progId="AutoCAD.Drawing.17" shapeId="1077" r:id="rId53"/>
      </mc:Fallback>
    </mc:AlternateContent>
    <mc:AlternateContent xmlns:mc="http://schemas.openxmlformats.org/markup-compatibility/2006">
      <mc:Choice Requires="x14">
        <oleObject progId="AutoCAD.Drawing.17" shapeId="1080" r:id="rId55">
          <objectPr defaultSize="0" autoPict="0" r:id="rId56">
            <anchor moveWithCells="1">
              <from>
                <xdr:col>9</xdr:col>
                <xdr:colOff>371475</xdr:colOff>
                <xdr:row>910</xdr:row>
                <xdr:rowOff>219075</xdr:rowOff>
              </from>
              <to>
                <xdr:col>12</xdr:col>
                <xdr:colOff>142875</xdr:colOff>
                <xdr:row>915</xdr:row>
                <xdr:rowOff>38100</xdr:rowOff>
              </to>
            </anchor>
          </objectPr>
        </oleObject>
      </mc:Choice>
      <mc:Fallback>
        <oleObject progId="AutoCAD.Drawing.17" shapeId="1080" r:id="rId55"/>
      </mc:Fallback>
    </mc:AlternateContent>
    <mc:AlternateContent xmlns:mc="http://schemas.openxmlformats.org/markup-compatibility/2006">
      <mc:Choice Requires="x14">
        <oleObject progId="AutoCAD.Drawing.17" shapeId="1081" r:id="rId57">
          <objectPr defaultSize="0" autoPict="0" r:id="rId58">
            <anchor moveWithCells="1">
              <from>
                <xdr:col>7</xdr:col>
                <xdr:colOff>9525</xdr:colOff>
                <xdr:row>901</xdr:row>
                <xdr:rowOff>76200</xdr:rowOff>
              </from>
              <to>
                <xdr:col>13</xdr:col>
                <xdr:colOff>123825</xdr:colOff>
                <xdr:row>911</xdr:row>
                <xdr:rowOff>57150</xdr:rowOff>
              </to>
            </anchor>
          </objectPr>
        </oleObject>
      </mc:Choice>
      <mc:Fallback>
        <oleObject progId="AutoCAD.Drawing.17" shapeId="1081" r:id="rId57"/>
      </mc:Fallback>
    </mc:AlternateContent>
    <mc:AlternateContent xmlns:mc="http://schemas.openxmlformats.org/markup-compatibility/2006">
      <mc:Choice Requires="x14">
        <oleObject progId="AutoCAD.Drawing.17" shapeId="1082" r:id="rId59">
          <objectPr defaultSize="0" autoPict="0" r:id="rId60">
            <anchor moveWithCells="1">
              <from>
                <xdr:col>0</xdr:col>
                <xdr:colOff>152400</xdr:colOff>
                <xdr:row>989</xdr:row>
                <xdr:rowOff>161925</xdr:rowOff>
              </from>
              <to>
                <xdr:col>2</xdr:col>
                <xdr:colOff>209550</xdr:colOff>
                <xdr:row>993</xdr:row>
                <xdr:rowOff>104775</xdr:rowOff>
              </to>
            </anchor>
          </objectPr>
        </oleObject>
      </mc:Choice>
      <mc:Fallback>
        <oleObject progId="AutoCAD.Drawing.17" shapeId="1082" r:id="rId59"/>
      </mc:Fallback>
    </mc:AlternateContent>
    <mc:AlternateContent xmlns:mc="http://schemas.openxmlformats.org/markup-compatibility/2006">
      <mc:Choice Requires="x14">
        <oleObject progId="AutoCAD.Drawing.17" shapeId="2771" r:id="rId61">
          <objectPr defaultSize="0" autoPict="0" r:id="rId20">
            <anchor moveWithCells="1">
              <from>
                <xdr:col>8</xdr:col>
                <xdr:colOff>114300</xdr:colOff>
                <xdr:row>708</xdr:row>
                <xdr:rowOff>161925</xdr:rowOff>
              </from>
              <to>
                <xdr:col>13</xdr:col>
                <xdr:colOff>200025</xdr:colOff>
                <xdr:row>715</xdr:row>
                <xdr:rowOff>180975</xdr:rowOff>
              </to>
            </anchor>
          </objectPr>
        </oleObject>
      </mc:Choice>
      <mc:Fallback>
        <oleObject progId="AutoCAD.Drawing.17" shapeId="2771" r:id="rId61"/>
      </mc:Fallback>
    </mc:AlternateContent>
    <mc:AlternateContent xmlns:mc="http://schemas.openxmlformats.org/markup-compatibility/2006">
      <mc:Choice Requires="x14">
        <oleObject progId="AutoCAD.Drawing.17" shapeId="2772" r:id="rId62">
          <objectPr defaultSize="0" autoPict="0" r:id="rId63">
            <anchor moveWithCells="1">
              <from>
                <xdr:col>16</xdr:col>
                <xdr:colOff>333375</xdr:colOff>
                <xdr:row>361</xdr:row>
                <xdr:rowOff>28575</xdr:rowOff>
              </from>
              <to>
                <xdr:col>22</xdr:col>
                <xdr:colOff>76200</xdr:colOff>
                <xdr:row>368</xdr:row>
                <xdr:rowOff>114300</xdr:rowOff>
              </to>
            </anchor>
          </objectPr>
        </oleObject>
      </mc:Choice>
      <mc:Fallback>
        <oleObject progId="AutoCAD.Drawing.17" shapeId="2772" r:id="rId62"/>
      </mc:Fallback>
    </mc:AlternateContent>
    <mc:AlternateContent xmlns:mc="http://schemas.openxmlformats.org/markup-compatibility/2006">
      <mc:Choice Requires="x14">
        <oleObject progId="AutoCAD.Drawing.17" shapeId="2789" r:id="rId64">
          <objectPr defaultSize="0" autoPict="0" r:id="rId65">
            <anchor moveWithCells="1">
              <from>
                <xdr:col>15</xdr:col>
                <xdr:colOff>209550</xdr:colOff>
                <xdr:row>435</xdr:row>
                <xdr:rowOff>104775</xdr:rowOff>
              </from>
              <to>
                <xdr:col>19</xdr:col>
                <xdr:colOff>28575</xdr:colOff>
                <xdr:row>439</xdr:row>
                <xdr:rowOff>76200</xdr:rowOff>
              </to>
            </anchor>
          </objectPr>
        </oleObject>
      </mc:Choice>
      <mc:Fallback>
        <oleObject progId="AutoCAD.Drawing.17" shapeId="2789" r:id="rId64"/>
      </mc:Fallback>
    </mc:AlternateContent>
    <mc:AlternateContent xmlns:mc="http://schemas.openxmlformats.org/markup-compatibility/2006">
      <mc:Choice Requires="x14">
        <oleObject progId="AutoCAD.Drawing.17" shapeId="3062" r:id="rId66">
          <objectPr defaultSize="0" autoPict="0" r:id="rId58">
            <anchor moveWithCells="1">
              <from>
                <xdr:col>17</xdr:col>
                <xdr:colOff>9525</xdr:colOff>
                <xdr:row>911</xdr:row>
                <xdr:rowOff>76200</xdr:rowOff>
              </from>
              <to>
                <xdr:col>23</xdr:col>
                <xdr:colOff>285750</xdr:colOff>
                <xdr:row>921</xdr:row>
                <xdr:rowOff>57150</xdr:rowOff>
              </to>
            </anchor>
          </objectPr>
        </oleObject>
      </mc:Choice>
      <mc:Fallback>
        <oleObject progId="AutoCAD.Drawing.17" shapeId="3062" r:id="rId66"/>
      </mc:Fallback>
    </mc:AlternateContent>
    <mc:AlternateContent xmlns:mc="http://schemas.openxmlformats.org/markup-compatibility/2006">
      <mc:Choice Requires="x14">
        <oleObject progId="AutoCAD.Drawing.17" shapeId="3071" r:id="rId67">
          <objectPr defaultSize="0" autoPict="0" r:id="rId56">
            <anchor moveWithCells="1">
              <from>
                <xdr:col>9</xdr:col>
                <xdr:colOff>371475</xdr:colOff>
                <xdr:row>955</xdr:row>
                <xdr:rowOff>219075</xdr:rowOff>
              </from>
              <to>
                <xdr:col>12</xdr:col>
                <xdr:colOff>142875</xdr:colOff>
                <xdr:row>960</xdr:row>
                <xdr:rowOff>38100</xdr:rowOff>
              </to>
            </anchor>
          </objectPr>
        </oleObject>
      </mc:Choice>
      <mc:Fallback>
        <oleObject progId="AutoCAD.Drawing.17" shapeId="3071" r:id="rId67"/>
      </mc:Fallback>
    </mc:AlternateContent>
    <mc:AlternateContent xmlns:mc="http://schemas.openxmlformats.org/markup-compatibility/2006">
      <mc:Choice Requires="x14">
        <oleObject progId="AutoCAD.Drawing.17" shapeId="3072" r:id="rId68">
          <objectPr defaultSize="0" autoPict="0" r:id="rId58">
            <anchor moveWithCells="1">
              <from>
                <xdr:col>7</xdr:col>
                <xdr:colOff>9525</xdr:colOff>
                <xdr:row>946</xdr:row>
                <xdr:rowOff>76200</xdr:rowOff>
              </from>
              <to>
                <xdr:col>13</xdr:col>
                <xdr:colOff>123825</xdr:colOff>
                <xdr:row>956</xdr:row>
                <xdr:rowOff>57150</xdr:rowOff>
              </to>
            </anchor>
          </objectPr>
        </oleObject>
      </mc:Choice>
      <mc:Fallback>
        <oleObject progId="AutoCAD.Drawing.17" shapeId="3072" r:id="rId68"/>
      </mc:Fallback>
    </mc:AlternateContent>
    <mc:AlternateContent xmlns:mc="http://schemas.openxmlformats.org/markup-compatibility/2006">
      <mc:Choice Requires="x14">
        <oleObject progId="AutoCAD.Drawing.17" shapeId="3435" r:id="rId69">
          <objectPr defaultSize="0" autoPict="0" r:id="rId70">
            <anchor moveWithCells="1">
              <from>
                <xdr:col>1</xdr:col>
                <xdr:colOff>276225</xdr:colOff>
                <xdr:row>1070</xdr:row>
                <xdr:rowOff>47625</xdr:rowOff>
              </from>
              <to>
                <xdr:col>6</xdr:col>
                <xdr:colOff>133350</xdr:colOff>
                <xdr:row>1074</xdr:row>
                <xdr:rowOff>152400</xdr:rowOff>
              </to>
            </anchor>
          </objectPr>
        </oleObject>
      </mc:Choice>
      <mc:Fallback>
        <oleObject progId="AutoCAD.Drawing.17" shapeId="3435" r:id="rId69"/>
      </mc:Fallback>
    </mc:AlternateContent>
    <mc:AlternateContent xmlns:mc="http://schemas.openxmlformats.org/markup-compatibility/2006">
      <mc:Choice Requires="x14">
        <oleObject progId="AutoCAD.Drawing.17" shapeId="3436" r:id="rId71">
          <objectPr defaultSize="0" autoPict="0" r:id="rId72">
            <anchor moveWithCells="1">
              <from>
                <xdr:col>10</xdr:col>
                <xdr:colOff>114300</xdr:colOff>
                <xdr:row>1078</xdr:row>
                <xdr:rowOff>104775</xdr:rowOff>
              </from>
              <to>
                <xdr:col>12</xdr:col>
                <xdr:colOff>123825</xdr:colOff>
                <xdr:row>1088</xdr:row>
                <xdr:rowOff>219075</xdr:rowOff>
              </to>
            </anchor>
          </objectPr>
        </oleObject>
      </mc:Choice>
      <mc:Fallback>
        <oleObject progId="AutoCAD.Drawing.17" shapeId="3436" r:id="rId71"/>
      </mc:Fallback>
    </mc:AlternateContent>
    <mc:AlternateContent xmlns:mc="http://schemas.openxmlformats.org/markup-compatibility/2006">
      <mc:Choice Requires="x14">
        <oleObject progId="AutoCAD.Drawing.17" shapeId="3693" r:id="rId73">
          <objectPr defaultSize="0" autoPict="0" r:id="rId74">
            <anchor moveWithCells="1">
              <from>
                <xdr:col>7</xdr:col>
                <xdr:colOff>142875</xdr:colOff>
                <xdr:row>1187</xdr:row>
                <xdr:rowOff>57150</xdr:rowOff>
              </from>
              <to>
                <xdr:col>11</xdr:col>
                <xdr:colOff>257175</xdr:colOff>
                <xdr:row>1189</xdr:row>
                <xdr:rowOff>152400</xdr:rowOff>
              </to>
            </anchor>
          </objectPr>
        </oleObject>
      </mc:Choice>
      <mc:Fallback>
        <oleObject progId="AutoCAD.Drawing.17" shapeId="3693" r:id="rId73"/>
      </mc:Fallback>
    </mc:AlternateContent>
    <mc:AlternateContent xmlns:mc="http://schemas.openxmlformats.org/markup-compatibility/2006">
      <mc:Choice Requires="x14">
        <oleObject progId="AutoCAD.Drawing.17" shapeId="3719" r:id="rId75">
          <objectPr defaultSize="0" autoPict="0" r:id="rId76">
            <anchor moveWithCells="1">
              <from>
                <xdr:col>12</xdr:col>
                <xdr:colOff>9525</xdr:colOff>
                <xdr:row>1258</xdr:row>
                <xdr:rowOff>85725</xdr:rowOff>
              </from>
              <to>
                <xdr:col>13</xdr:col>
                <xdr:colOff>257175</xdr:colOff>
                <xdr:row>1269</xdr:row>
                <xdr:rowOff>200025</xdr:rowOff>
              </to>
            </anchor>
          </objectPr>
        </oleObject>
      </mc:Choice>
      <mc:Fallback>
        <oleObject progId="AutoCAD.Drawing.17" shapeId="3719" r:id="rId75"/>
      </mc:Fallback>
    </mc:AlternateContent>
    <mc:AlternateContent xmlns:mc="http://schemas.openxmlformats.org/markup-compatibility/2006">
      <mc:Choice Requires="x14">
        <oleObject progId="AutoCAD.Drawing.17" shapeId="3728" r:id="rId77">
          <objectPr defaultSize="0" autoPict="0" r:id="rId78">
            <anchor moveWithCells="1">
              <from>
                <xdr:col>4</xdr:col>
                <xdr:colOff>381000</xdr:colOff>
                <xdr:row>1424</xdr:row>
                <xdr:rowOff>114300</xdr:rowOff>
              </from>
              <to>
                <xdr:col>11</xdr:col>
                <xdr:colOff>161925</xdr:colOff>
                <xdr:row>1430</xdr:row>
                <xdr:rowOff>76200</xdr:rowOff>
              </to>
            </anchor>
          </objectPr>
        </oleObject>
      </mc:Choice>
      <mc:Fallback>
        <oleObject progId="AutoCAD.Drawing.17" shapeId="3728" r:id="rId77"/>
      </mc:Fallback>
    </mc:AlternateContent>
    <mc:AlternateContent xmlns:mc="http://schemas.openxmlformats.org/markup-compatibility/2006">
      <mc:Choice Requires="x14">
        <oleObject progId="AutoCAD.Drawing.17" shapeId="3729" r:id="rId79">
          <objectPr defaultSize="0" autoPict="0" r:id="rId80">
            <anchor moveWithCells="1">
              <from>
                <xdr:col>1</xdr:col>
                <xdr:colOff>285750</xdr:colOff>
                <xdr:row>1431</xdr:row>
                <xdr:rowOff>142875</xdr:rowOff>
              </from>
              <to>
                <xdr:col>12</xdr:col>
                <xdr:colOff>228600</xdr:colOff>
                <xdr:row>1436</xdr:row>
                <xdr:rowOff>19050</xdr:rowOff>
              </to>
            </anchor>
          </objectPr>
        </oleObject>
      </mc:Choice>
      <mc:Fallback>
        <oleObject progId="AutoCAD.Drawing.17" shapeId="3729" r:id="rId79"/>
      </mc:Fallback>
    </mc:AlternateContent>
    <mc:AlternateContent xmlns:mc="http://schemas.openxmlformats.org/markup-compatibility/2006">
      <mc:Choice Requires="x14">
        <oleObject progId="AutoCAD.Drawing.17" shapeId="3738" r:id="rId81">
          <objectPr defaultSize="0" autoPict="0" r:id="rId82">
            <anchor moveWithCells="1">
              <from>
                <xdr:col>15</xdr:col>
                <xdr:colOff>133350</xdr:colOff>
                <xdr:row>1416</xdr:row>
                <xdr:rowOff>19050</xdr:rowOff>
              </from>
              <to>
                <xdr:col>17</xdr:col>
                <xdr:colOff>123825</xdr:colOff>
                <xdr:row>1427</xdr:row>
                <xdr:rowOff>171450</xdr:rowOff>
              </to>
            </anchor>
          </objectPr>
        </oleObject>
      </mc:Choice>
      <mc:Fallback>
        <oleObject progId="AutoCAD.Drawing.17" shapeId="3738" r:id="rId81"/>
      </mc:Fallback>
    </mc:AlternateContent>
    <mc:AlternateContent xmlns:mc="http://schemas.openxmlformats.org/markup-compatibility/2006">
      <mc:Choice Requires="x14">
        <oleObject progId="AutoCAD.Drawing.17" shapeId="3739" r:id="rId83">
          <objectPr defaultSize="0" autoPict="0" r:id="rId84">
            <anchor moveWithCells="1">
              <from>
                <xdr:col>22</xdr:col>
                <xdr:colOff>171450</xdr:colOff>
                <xdr:row>1415</xdr:row>
                <xdr:rowOff>76200</xdr:rowOff>
              </from>
              <to>
                <xdr:col>24</xdr:col>
                <xdr:colOff>295275</xdr:colOff>
                <xdr:row>1427</xdr:row>
                <xdr:rowOff>200025</xdr:rowOff>
              </to>
            </anchor>
          </objectPr>
        </oleObject>
      </mc:Choice>
      <mc:Fallback>
        <oleObject progId="AutoCAD.Drawing.17" shapeId="3739" r:id="rId83"/>
      </mc:Fallback>
    </mc:AlternateContent>
    <mc:AlternateContent xmlns:mc="http://schemas.openxmlformats.org/markup-compatibility/2006">
      <mc:Choice Requires="x14">
        <oleObject progId="AutoCAD.Drawing.17" shapeId="3784" r:id="rId85">
          <objectPr defaultSize="0" autoPict="0" r:id="rId86">
            <anchor moveWithCells="1">
              <from>
                <xdr:col>29</xdr:col>
                <xdr:colOff>352425</xdr:colOff>
                <xdr:row>1418</xdr:row>
                <xdr:rowOff>47625</xdr:rowOff>
              </from>
              <to>
                <xdr:col>31</xdr:col>
                <xdr:colOff>238125</xdr:colOff>
                <xdr:row>1428</xdr:row>
                <xdr:rowOff>0</xdr:rowOff>
              </to>
            </anchor>
          </objectPr>
        </oleObject>
      </mc:Choice>
      <mc:Fallback>
        <oleObject progId="AutoCAD.Drawing.17" shapeId="3784" r:id="rId85"/>
      </mc:Fallback>
    </mc:AlternateContent>
    <mc:AlternateContent xmlns:mc="http://schemas.openxmlformats.org/markup-compatibility/2006">
      <mc:Choice Requires="x14">
        <oleObject progId="AutoCAD.Drawing.17" shapeId="3857" r:id="rId87">
          <objectPr defaultSize="0" autoPict="0" r:id="rId41">
            <anchor moveWithCells="1">
              <from>
                <xdr:col>0</xdr:col>
                <xdr:colOff>200025</xdr:colOff>
                <xdr:row>1478</xdr:row>
                <xdr:rowOff>95250</xdr:rowOff>
              </from>
              <to>
                <xdr:col>4</xdr:col>
                <xdr:colOff>190500</xdr:colOff>
                <xdr:row>1483</xdr:row>
                <xdr:rowOff>152400</xdr:rowOff>
              </to>
            </anchor>
          </objectPr>
        </oleObject>
      </mc:Choice>
      <mc:Fallback>
        <oleObject progId="AutoCAD.Drawing.17" shapeId="3857" r:id="rId8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JULIANA</cp:lastModifiedBy>
  <cp:lastPrinted>2014-07-02T23:29:23Z</cp:lastPrinted>
  <dcterms:created xsi:type="dcterms:W3CDTF">2013-04-26T22:30:55Z</dcterms:created>
  <dcterms:modified xsi:type="dcterms:W3CDTF">2017-04-27T15:41:25Z</dcterms:modified>
</cp:coreProperties>
</file>