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7.Work\Moorea 2017\CCA survey\"/>
    </mc:Choice>
  </mc:AlternateContent>
  <bookViews>
    <workbookView xWindow="0" yWindow="0" windowWidth="28800" windowHeight="10830"/>
  </bookViews>
  <sheets>
    <sheet name="Methodology" sheetId="3" r:id="rId1"/>
    <sheet name="GPS coord sites" sheetId="2" r:id="rId2"/>
    <sheet name="Raw Data" sheetId="1" r:id="rId3"/>
  </sheets>
  <calcPr calcId="162913"/>
</workbook>
</file>

<file path=xl/calcChain.xml><?xml version="1.0" encoding="utf-8"?>
<calcChain xmlns="http://schemas.openxmlformats.org/spreadsheetml/2006/main">
  <c r="F35" i="1" l="1"/>
  <c r="F34" i="1"/>
  <c r="F33" i="1"/>
  <c r="H37" i="1"/>
  <c r="H36" i="1"/>
  <c r="H35" i="1"/>
  <c r="H34" i="1"/>
  <c r="H33" i="1"/>
  <c r="E37" i="1"/>
  <c r="X37" i="1" l="1"/>
  <c r="X35" i="1"/>
  <c r="Y35" i="1" s="1"/>
  <c r="X36" i="1"/>
  <c r="Y36" i="1" s="1"/>
  <c r="Y37" i="1"/>
  <c r="E34" i="1"/>
  <c r="E33" i="1"/>
  <c r="X33" i="1" s="1"/>
  <c r="Y33" i="1" s="1"/>
  <c r="E32" i="1"/>
  <c r="X32" i="1" s="1"/>
  <c r="Y32" i="1" s="1"/>
  <c r="F31" i="1"/>
  <c r="E31" i="1"/>
  <c r="X31" i="1" s="1"/>
  <c r="Y31" i="1" s="1"/>
  <c r="F30" i="1"/>
  <c r="X30" i="1" s="1"/>
  <c r="Y30" i="1" s="1"/>
  <c r="F29" i="1"/>
  <c r="X29" i="1" s="1"/>
  <c r="Y29" i="1" s="1"/>
  <c r="W28" i="1"/>
  <c r="F28" i="1"/>
  <c r="X28" i="1" s="1"/>
  <c r="Y28" i="1" s="1"/>
  <c r="X27" i="1"/>
  <c r="W27" i="1"/>
  <c r="F26" i="1"/>
  <c r="X26" i="1" s="1"/>
  <c r="Y26" i="1" s="1"/>
  <c r="X25" i="1"/>
  <c r="Y25" i="1" s="1"/>
  <c r="X24" i="1"/>
  <c r="Y24" i="1" s="1"/>
  <c r="Q24" i="1"/>
  <c r="X23" i="1"/>
  <c r="Y23" i="1" s="1"/>
  <c r="X22" i="1"/>
  <c r="Y22" i="1" s="1"/>
  <c r="Q22" i="1"/>
  <c r="Q21" i="1"/>
  <c r="X21" i="1" s="1"/>
  <c r="Y21" i="1" s="1"/>
  <c r="Q20" i="1"/>
  <c r="X20" i="1" s="1"/>
  <c r="Y20" i="1" s="1"/>
  <c r="H20" i="1"/>
  <c r="F20" i="1"/>
  <c r="W19" i="1"/>
  <c r="X19" i="1" s="1"/>
  <c r="Y19" i="1" s="1"/>
  <c r="Q19" i="1"/>
  <c r="X18" i="1"/>
  <c r="Y18" i="1" s="1"/>
  <c r="W17" i="1"/>
  <c r="Q17" i="1"/>
  <c r="F17" i="1"/>
  <c r="W16" i="1"/>
  <c r="Q16" i="1"/>
  <c r="X16" i="1" s="1"/>
  <c r="Y16" i="1" s="1"/>
  <c r="W15" i="1"/>
  <c r="Q15" i="1"/>
  <c r="X15" i="1" s="1"/>
  <c r="Y15" i="1" s="1"/>
  <c r="X14" i="1"/>
  <c r="Y14" i="1" s="1"/>
  <c r="H13" i="1"/>
  <c r="E13" i="1"/>
  <c r="X13" i="1" s="1"/>
  <c r="Y13" i="1" s="1"/>
  <c r="F12" i="1"/>
  <c r="E12" i="1"/>
  <c r="E11" i="1"/>
  <c r="X11" i="1" s="1"/>
  <c r="Y11" i="1" s="1"/>
  <c r="H10" i="1"/>
  <c r="F10" i="1"/>
  <c r="E10" i="1"/>
  <c r="H9" i="1"/>
  <c r="F9" i="1"/>
  <c r="E9" i="1"/>
  <c r="H8" i="1"/>
  <c r="E8" i="1"/>
  <c r="X7" i="1"/>
  <c r="Y7" i="1" s="1"/>
  <c r="F6" i="1"/>
  <c r="X6" i="1" s="1"/>
  <c r="Y6" i="1" s="1"/>
  <c r="E6" i="1"/>
  <c r="X5" i="1"/>
  <c r="Y5" i="1" s="1"/>
  <c r="E4" i="1"/>
  <c r="X4" i="1" s="1"/>
  <c r="Y4" i="1" s="1"/>
  <c r="F3" i="1"/>
  <c r="E3" i="1"/>
  <c r="H2" i="1"/>
  <c r="F2" i="1"/>
  <c r="X2" i="1" s="1"/>
  <c r="Y2" i="1" s="1"/>
  <c r="E2" i="1"/>
  <c r="Y27" i="1" l="1"/>
  <c r="X3" i="1"/>
  <c r="Y3" i="1" s="1"/>
  <c r="X12" i="1"/>
  <c r="Y12" i="1" s="1"/>
  <c r="X17" i="1"/>
  <c r="Y17" i="1" s="1"/>
  <c r="X8" i="1"/>
  <c r="Y8" i="1" s="1"/>
  <c r="X9" i="1"/>
  <c r="Y9" i="1" s="1"/>
  <c r="X10" i="1"/>
  <c r="Y10" i="1" s="1"/>
  <c r="Y34" i="1"/>
  <c r="X34" i="1"/>
</calcChain>
</file>

<file path=xl/sharedStrings.xml><?xml version="1.0" encoding="utf-8"?>
<sst xmlns="http://schemas.openxmlformats.org/spreadsheetml/2006/main" count="199" uniqueCount="81">
  <si>
    <t>Site</t>
  </si>
  <si>
    <t>Date</t>
  </si>
  <si>
    <t>Transect</t>
  </si>
  <si>
    <t>Vaipahu</t>
  </si>
  <si>
    <t>Habitat</t>
  </si>
  <si>
    <t>Slope</t>
  </si>
  <si>
    <t>Tiahura</t>
  </si>
  <si>
    <t>Ponk</t>
  </si>
  <si>
    <t>Lins</t>
  </si>
  <si>
    <t>Nfos</t>
  </si>
  <si>
    <t>Pcon</t>
  </si>
  <si>
    <t>Asp</t>
  </si>
  <si>
    <t>FleshyA</t>
  </si>
  <si>
    <t>Ncc</t>
  </si>
  <si>
    <t>Arcticuled</t>
  </si>
  <si>
    <t>Turf</t>
  </si>
  <si>
    <t>Somme</t>
  </si>
  <si>
    <t>Hr</t>
  </si>
  <si>
    <t>Cya</t>
  </si>
  <si>
    <t>Lob</t>
  </si>
  <si>
    <t>Mass</t>
  </si>
  <si>
    <t>Br</t>
  </si>
  <si>
    <t>Sand</t>
  </si>
  <si>
    <t>Barrier</t>
  </si>
  <si>
    <t>Sponge</t>
  </si>
  <si>
    <t>55 turb, 20 dict</t>
  </si>
  <si>
    <t>Rubble</t>
  </si>
  <si>
    <t>Lfla</t>
  </si>
  <si>
    <t>FC</t>
  </si>
  <si>
    <t>64 turb, 22 dict</t>
  </si>
  <si>
    <t>44 turb, 16 dict</t>
  </si>
  <si>
    <t>80 turb, 36 dict</t>
  </si>
  <si>
    <t>11 turb, 16 dict</t>
  </si>
  <si>
    <t>167 turb, 57 dict</t>
  </si>
  <si>
    <t>GPS</t>
  </si>
  <si>
    <t>Haapiti</t>
  </si>
  <si>
    <t>S17°30'35.3" W149°55'23.8"</t>
  </si>
  <si>
    <t>S17°30'35.7" W149°55'37.1"</t>
  </si>
  <si>
    <t>17°28'53.80"S 149°50'55.66"O</t>
  </si>
  <si>
    <t>17°28'47.20"S 149°51'6.80"O</t>
  </si>
  <si>
    <t>17°29'13.04"S 149°53'53.37"O</t>
  </si>
  <si>
    <t>17°28'58.80"S 149°53'59.10"O</t>
  </si>
  <si>
    <t>68 dict, 108 turb, 34 Amensia</t>
  </si>
  <si>
    <t>185 dict, 67 turb, 20 Sarg, 32 Amensia, CCA 1 = 3</t>
  </si>
  <si>
    <t>53 dict, 26 turb, 10 Amensia</t>
  </si>
  <si>
    <t>144 dict, 76 turb, 4 lob, 6 pad, 52 Amensia</t>
  </si>
  <si>
    <t>52 dict, 44 turb, 102 Amensia</t>
  </si>
  <si>
    <t>72 dict, 15 turb, 5 Amensia</t>
  </si>
  <si>
    <t>Amensia</t>
  </si>
  <si>
    <t>Dict</t>
  </si>
  <si>
    <t>CCA br</t>
  </si>
  <si>
    <t>8 Dict, 8Turb</t>
  </si>
  <si>
    <t>Softcoral</t>
  </si>
  <si>
    <t>Asparagopsis</t>
  </si>
  <si>
    <t>Nfru</t>
  </si>
  <si>
    <t>Lpul</t>
  </si>
  <si>
    <t>Depth</t>
  </si>
  <si>
    <t>1-2 m</t>
  </si>
  <si>
    <t>10 - 12 m</t>
  </si>
  <si>
    <t>Description fleshy algae</t>
  </si>
  <si>
    <t>Millepora</t>
  </si>
  <si>
    <t>Porolithon onkodes</t>
  </si>
  <si>
    <t>Lithophyllum insipidium</t>
  </si>
  <si>
    <t>Lithophyllum flavescens</t>
  </si>
  <si>
    <t>Neogoniolithon foslei</t>
  </si>
  <si>
    <t>Paraneogoniolithon conicum</t>
  </si>
  <si>
    <t>Hydrolithon reinboldi</t>
  </si>
  <si>
    <t>Neogoniolithon frustescens</t>
  </si>
  <si>
    <t>Branching corals</t>
  </si>
  <si>
    <t>Massive corals</t>
  </si>
  <si>
    <t>Fleshy macroalgae</t>
  </si>
  <si>
    <t>Articulated macroalgae</t>
  </si>
  <si>
    <t>Articulated</t>
  </si>
  <si>
    <t>Cyanobacterial mats</t>
  </si>
  <si>
    <t>Abbreviations</t>
  </si>
  <si>
    <t>Full name</t>
  </si>
  <si>
    <t>Lithothamnium pulchrum</t>
  </si>
  <si>
    <t>Non-calcifying crusts (e.g. Peysonnelids)</t>
  </si>
  <si>
    <t>6 random transects per site, LIT method, 10m long</t>
  </si>
  <si>
    <t>Raw data are total nb of centimeters covered by each benthic category per transect</t>
  </si>
  <si>
    <t>Benthic categories: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</si>
</sst>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&quot; &quot;[$€-407];[Red]&quot;-&quot;#,##0.00&quot; &quot;[$€-407]"/>
  </numFmts>
  <fonts count="4" x14ac:knownFonts="1">
    <font>
      <sz val="11"/>
      <color theme="1"/>
      <name val="Arial"/>
      <family val="2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i/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4" fontId="2" fillId="0" borderId="0"/>
  </cellStyleXfs>
  <cellXfs count="4">
    <xf numFmtId="0" fontId="0" fillId="0" borderId="0" xfId="0"/>
    <xf numFmtId="14" fontId="0" fillId="0" borderId="0" xfId="0" applyNumberFormat="1"/>
    <xf numFmtId="0" fontId="0" fillId="2" borderId="0" xfId="0" applyFill="1"/>
    <xf numFmtId="0" fontId="3" fillId="2" borderId="0" xfId="0" applyFont="1" applyFill="1"/>
  </cellXfs>
  <cellStyles count="5">
    <cellStyle name="Heading" xfId="1"/>
    <cellStyle name="Heading1" xfId="2"/>
    <cellStyle name="Normal" xfId="0" builtinId="0" customBuiltin="1"/>
    <cellStyle name="Result" xfId="3"/>
    <cellStyle name="Result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"/>
  <sheetViews>
    <sheetView tabSelected="1" workbookViewId="0">
      <selection activeCell="D13" sqref="D13"/>
    </sheetView>
  </sheetViews>
  <sheetFormatPr baseColWidth="10" defaultRowHeight="14.25" x14ac:dyDescent="0.2"/>
  <cols>
    <col min="1" max="1" width="14.25" customWidth="1"/>
    <col min="2" max="2" width="38" customWidth="1"/>
  </cols>
  <sheetData>
    <row r="1" spans="1:2" x14ac:dyDescent="0.2">
      <c r="A1" t="s">
        <v>78</v>
      </c>
    </row>
    <row r="3" spans="1:2" x14ac:dyDescent="0.2">
      <c r="A3" t="s">
        <v>79</v>
      </c>
    </row>
    <row r="5" spans="1:2" x14ac:dyDescent="0.2">
      <c r="A5" t="s">
        <v>80</v>
      </c>
    </row>
    <row r="7" spans="1:2" x14ac:dyDescent="0.2">
      <c r="A7" t="s">
        <v>74</v>
      </c>
      <c r="B7" t="s">
        <v>75</v>
      </c>
    </row>
    <row r="8" spans="1:2" x14ac:dyDescent="0.2">
      <c r="A8" t="s">
        <v>21</v>
      </c>
      <c r="B8" t="s">
        <v>68</v>
      </c>
    </row>
    <row r="9" spans="1:2" x14ac:dyDescent="0.2">
      <c r="A9" t="s">
        <v>20</v>
      </c>
      <c r="B9" t="s">
        <v>69</v>
      </c>
    </row>
    <row r="10" spans="1:2" x14ac:dyDescent="0.2">
      <c r="A10" t="s">
        <v>28</v>
      </c>
      <c r="B10" t="s">
        <v>60</v>
      </c>
    </row>
    <row r="11" spans="1:2" x14ac:dyDescent="0.2">
      <c r="A11" s="2" t="s">
        <v>7</v>
      </c>
      <c r="B11" s="3" t="s">
        <v>61</v>
      </c>
    </row>
    <row r="12" spans="1:2" x14ac:dyDescent="0.2">
      <c r="A12" s="2" t="s">
        <v>8</v>
      </c>
      <c r="B12" s="3" t="s">
        <v>62</v>
      </c>
    </row>
    <row r="13" spans="1:2" x14ac:dyDescent="0.2">
      <c r="A13" s="2" t="s">
        <v>27</v>
      </c>
      <c r="B13" s="3" t="s">
        <v>63</v>
      </c>
    </row>
    <row r="14" spans="1:2" x14ac:dyDescent="0.2">
      <c r="A14" s="2" t="s">
        <v>9</v>
      </c>
      <c r="B14" s="3" t="s">
        <v>64</v>
      </c>
    </row>
    <row r="15" spans="1:2" x14ac:dyDescent="0.2">
      <c r="A15" s="2" t="s">
        <v>10</v>
      </c>
      <c r="B15" s="3" t="s">
        <v>65</v>
      </c>
    </row>
    <row r="16" spans="1:2" x14ac:dyDescent="0.2">
      <c r="A16" s="2" t="s">
        <v>17</v>
      </c>
      <c r="B16" s="3" t="s">
        <v>66</v>
      </c>
    </row>
    <row r="17" spans="1:2" x14ac:dyDescent="0.2">
      <c r="A17" s="2" t="s">
        <v>54</v>
      </c>
      <c r="B17" s="3" t="s">
        <v>67</v>
      </c>
    </row>
    <row r="18" spans="1:2" x14ac:dyDescent="0.2">
      <c r="A18" s="2" t="s">
        <v>55</v>
      </c>
      <c r="B18" s="3" t="s">
        <v>76</v>
      </c>
    </row>
    <row r="19" spans="1:2" x14ac:dyDescent="0.2">
      <c r="A19" t="s">
        <v>13</v>
      </c>
      <c r="B19" t="s">
        <v>77</v>
      </c>
    </row>
    <row r="20" spans="1:2" x14ac:dyDescent="0.2">
      <c r="A20" t="s">
        <v>12</v>
      </c>
      <c r="B20" t="s">
        <v>70</v>
      </c>
    </row>
    <row r="21" spans="1:2" x14ac:dyDescent="0.2">
      <c r="A21" t="s">
        <v>14</v>
      </c>
      <c r="B21" t="s">
        <v>71</v>
      </c>
    </row>
    <row r="22" spans="1:2" x14ac:dyDescent="0.2">
      <c r="A22" t="s">
        <v>18</v>
      </c>
      <c r="B22" t="s">
        <v>73</v>
      </c>
    </row>
    <row r="23" spans="1:2" x14ac:dyDescent="0.2">
      <c r="A23" t="s">
        <v>24</v>
      </c>
      <c r="B23" t="s">
        <v>24</v>
      </c>
    </row>
    <row r="24" spans="1:2" x14ac:dyDescent="0.2">
      <c r="A24" t="s">
        <v>26</v>
      </c>
      <c r="B24" t="s">
        <v>26</v>
      </c>
    </row>
    <row r="25" spans="1:2" x14ac:dyDescent="0.2">
      <c r="A25" t="s">
        <v>52</v>
      </c>
      <c r="B25" t="s">
        <v>52</v>
      </c>
    </row>
    <row r="26" spans="1:2" x14ac:dyDescent="0.2">
      <c r="A26" t="s">
        <v>22</v>
      </c>
      <c r="B26" t="s">
        <v>22</v>
      </c>
    </row>
    <row r="27" spans="1:2" x14ac:dyDescent="0.2">
      <c r="A27" t="s">
        <v>15</v>
      </c>
      <c r="B27" t="s">
        <v>15</v>
      </c>
    </row>
  </sheetData>
  <pageMargins left="0" right="0" top="0.39409448818897641" bottom="0.39409448818897641" header="0" footer="0"/>
  <pageSetup paperSize="9" orientation="portrait" r:id="rId1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B9" sqref="B9"/>
    </sheetView>
  </sheetViews>
  <sheetFormatPr baseColWidth="10" defaultRowHeight="14.25" x14ac:dyDescent="0.2"/>
  <cols>
    <col min="1" max="1" width="10.75" customWidth="1"/>
  </cols>
  <sheetData>
    <row r="1" spans="1:4" x14ac:dyDescent="0.2">
      <c r="A1" t="s">
        <v>0</v>
      </c>
      <c r="B1" t="s">
        <v>4</v>
      </c>
      <c r="C1" t="s">
        <v>56</v>
      </c>
      <c r="D1" t="s">
        <v>34</v>
      </c>
    </row>
    <row r="2" spans="1:4" x14ac:dyDescent="0.2">
      <c r="A2" t="s">
        <v>3</v>
      </c>
      <c r="B2" t="s">
        <v>5</v>
      </c>
      <c r="C2" t="s">
        <v>58</v>
      </c>
      <c r="D2" t="s">
        <v>39</v>
      </c>
    </row>
    <row r="3" spans="1:4" x14ac:dyDescent="0.2">
      <c r="A3" t="s">
        <v>3</v>
      </c>
      <c r="B3" t="s">
        <v>23</v>
      </c>
      <c r="C3" t="s">
        <v>57</v>
      </c>
      <c r="D3" t="s">
        <v>38</v>
      </c>
    </row>
    <row r="4" spans="1:4" x14ac:dyDescent="0.2">
      <c r="A4" t="s">
        <v>6</v>
      </c>
      <c r="B4" t="s">
        <v>5</v>
      </c>
      <c r="C4" t="s">
        <v>58</v>
      </c>
      <c r="D4" t="s">
        <v>41</v>
      </c>
    </row>
    <row r="5" spans="1:4" x14ac:dyDescent="0.2">
      <c r="A5" t="s">
        <v>6</v>
      </c>
      <c r="B5" t="s">
        <v>23</v>
      </c>
      <c r="C5" t="s">
        <v>57</v>
      </c>
      <c r="D5" t="s">
        <v>40</v>
      </c>
    </row>
    <row r="6" spans="1:4" x14ac:dyDescent="0.2">
      <c r="A6" t="s">
        <v>35</v>
      </c>
      <c r="B6" t="s">
        <v>5</v>
      </c>
      <c r="C6" t="s">
        <v>58</v>
      </c>
      <c r="D6" t="s">
        <v>37</v>
      </c>
    </row>
    <row r="7" spans="1:4" x14ac:dyDescent="0.2">
      <c r="A7" t="s">
        <v>35</v>
      </c>
      <c r="B7" t="s">
        <v>23</v>
      </c>
      <c r="C7" t="s">
        <v>57</v>
      </c>
      <c r="D7" t="s">
        <v>36</v>
      </c>
    </row>
  </sheetData>
  <pageMargins left="0" right="0" top="0.39409448818897641" bottom="0.39409448818897641" header="0" footer="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7"/>
  <sheetViews>
    <sheetView workbookViewId="0">
      <pane ySplit="1" topLeftCell="A14" activePane="bottomLeft" state="frozen"/>
      <selection pane="bottomLeft" activeCell="Y1" sqref="Y1"/>
    </sheetView>
  </sheetViews>
  <sheetFormatPr baseColWidth="10" defaultRowHeight="14.25" x14ac:dyDescent="0.2"/>
  <cols>
    <col min="1" max="2" width="10.75" customWidth="1"/>
    <col min="4" max="4" width="8.75" customWidth="1"/>
    <col min="5" max="24" width="6" customWidth="1"/>
    <col min="25" max="25" width="6.875" customWidth="1"/>
  </cols>
  <sheetData>
    <row r="1" spans="1:26" x14ac:dyDescent="0.2">
      <c r="A1" t="s">
        <v>0</v>
      </c>
      <c r="B1" t="s">
        <v>4</v>
      </c>
      <c r="C1" t="s">
        <v>1</v>
      </c>
      <c r="D1" t="s">
        <v>2</v>
      </c>
      <c r="E1" t="s">
        <v>21</v>
      </c>
      <c r="F1" t="s">
        <v>20</v>
      </c>
      <c r="G1" t="s">
        <v>28</v>
      </c>
      <c r="H1" t="s">
        <v>7</v>
      </c>
      <c r="I1" t="s">
        <v>8</v>
      </c>
      <c r="J1" t="s">
        <v>27</v>
      </c>
      <c r="K1" t="s">
        <v>9</v>
      </c>
      <c r="L1" t="s">
        <v>10</v>
      </c>
      <c r="M1" t="s">
        <v>17</v>
      </c>
      <c r="N1" t="s">
        <v>54</v>
      </c>
      <c r="O1" t="s">
        <v>55</v>
      </c>
      <c r="P1" t="s">
        <v>13</v>
      </c>
      <c r="Q1" t="s">
        <v>12</v>
      </c>
      <c r="R1" t="s">
        <v>72</v>
      </c>
      <c r="S1" t="s">
        <v>18</v>
      </c>
      <c r="T1" t="s">
        <v>24</v>
      </c>
      <c r="U1" t="s">
        <v>26</v>
      </c>
      <c r="V1" t="s">
        <v>52</v>
      </c>
      <c r="W1" t="s">
        <v>22</v>
      </c>
      <c r="X1" t="s">
        <v>15</v>
      </c>
      <c r="Y1" t="s">
        <v>16</v>
      </c>
      <c r="Z1" t="s">
        <v>59</v>
      </c>
    </row>
    <row r="2" spans="1:26" x14ac:dyDescent="0.2">
      <c r="A2" t="s">
        <v>3</v>
      </c>
      <c r="B2" t="s">
        <v>5</v>
      </c>
      <c r="C2" s="1">
        <v>42875</v>
      </c>
      <c r="D2">
        <v>1</v>
      </c>
      <c r="E2">
        <f>40+14+28+18+32+35+175+120</f>
        <v>462</v>
      </c>
      <c r="F2">
        <f>20+7+32+5+25</f>
        <v>89</v>
      </c>
      <c r="G2">
        <v>0</v>
      </c>
      <c r="H2">
        <f>7+6+8+10+5+9+12</f>
        <v>57</v>
      </c>
      <c r="I2">
        <v>8</v>
      </c>
      <c r="J2">
        <v>0</v>
      </c>
      <c r="K2">
        <v>6</v>
      </c>
      <c r="L2">
        <v>3</v>
      </c>
      <c r="M2">
        <v>3</v>
      </c>
      <c r="N2">
        <v>0</v>
      </c>
      <c r="O2">
        <v>0</v>
      </c>
      <c r="P2">
        <v>4</v>
      </c>
      <c r="Q2">
        <v>11</v>
      </c>
      <c r="R2">
        <v>7</v>
      </c>
      <c r="S2">
        <v>0</v>
      </c>
      <c r="T2">
        <v>0</v>
      </c>
      <c r="U2">
        <v>0</v>
      </c>
      <c r="V2">
        <v>0</v>
      </c>
      <c r="W2">
        <v>0</v>
      </c>
      <c r="X2">
        <f t="shared" ref="X2:X13" si="0">1000-SUM(E2:W2)</f>
        <v>350</v>
      </c>
      <c r="Y2">
        <f t="shared" ref="Y2:Y13" si="1">SUM(E2:X2)</f>
        <v>1000</v>
      </c>
      <c r="Z2" t="s">
        <v>11</v>
      </c>
    </row>
    <row r="3" spans="1:26" x14ac:dyDescent="0.2">
      <c r="A3" t="s">
        <v>3</v>
      </c>
      <c r="B3" t="s">
        <v>5</v>
      </c>
      <c r="C3" s="1">
        <v>42875</v>
      </c>
      <c r="D3">
        <v>2</v>
      </c>
      <c r="E3">
        <f>312+85+170</f>
        <v>567</v>
      </c>
      <c r="F3">
        <f>62+25+25+28+43</f>
        <v>183</v>
      </c>
      <c r="G3">
        <v>0</v>
      </c>
      <c r="H3">
        <v>46</v>
      </c>
      <c r="I3">
        <v>12</v>
      </c>
      <c r="J3">
        <v>0</v>
      </c>
      <c r="K3">
        <v>0</v>
      </c>
      <c r="L3">
        <v>18</v>
      </c>
      <c r="M3">
        <v>0</v>
      </c>
      <c r="N3">
        <v>0</v>
      </c>
      <c r="O3">
        <v>0</v>
      </c>
      <c r="P3">
        <v>0</v>
      </c>
      <c r="Q3">
        <v>8</v>
      </c>
      <c r="R3">
        <v>0</v>
      </c>
      <c r="S3">
        <v>5</v>
      </c>
      <c r="T3">
        <v>0</v>
      </c>
      <c r="U3">
        <v>0</v>
      </c>
      <c r="V3">
        <v>0</v>
      </c>
      <c r="W3">
        <v>0</v>
      </c>
      <c r="X3">
        <f t="shared" si="0"/>
        <v>161</v>
      </c>
      <c r="Y3">
        <f t="shared" si="1"/>
        <v>1000</v>
      </c>
      <c r="Z3" t="s">
        <v>11</v>
      </c>
    </row>
    <row r="4" spans="1:26" x14ac:dyDescent="0.2">
      <c r="A4" t="s">
        <v>3</v>
      </c>
      <c r="B4" t="s">
        <v>5</v>
      </c>
      <c r="C4" s="1">
        <v>42880</v>
      </c>
      <c r="D4">
        <v>3</v>
      </c>
      <c r="E4">
        <f>390+140</f>
        <v>530</v>
      </c>
      <c r="F4">
        <v>97</v>
      </c>
      <c r="G4">
        <v>0</v>
      </c>
      <c r="H4">
        <v>40</v>
      </c>
      <c r="I4">
        <v>3</v>
      </c>
      <c r="J4">
        <v>0</v>
      </c>
      <c r="K4">
        <v>6</v>
      </c>
      <c r="L4">
        <v>0</v>
      </c>
      <c r="M4">
        <v>8</v>
      </c>
      <c r="N4">
        <v>0</v>
      </c>
      <c r="O4">
        <v>0</v>
      </c>
      <c r="P4">
        <v>10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f t="shared" si="0"/>
        <v>306</v>
      </c>
      <c r="Y4">
        <f t="shared" si="1"/>
        <v>1000</v>
      </c>
    </row>
    <row r="5" spans="1:26" x14ac:dyDescent="0.2">
      <c r="A5" t="s">
        <v>3</v>
      </c>
      <c r="B5" t="s">
        <v>5</v>
      </c>
      <c r="C5" s="1">
        <v>42880</v>
      </c>
      <c r="D5">
        <v>4</v>
      </c>
      <c r="E5">
        <v>449</v>
      </c>
      <c r="F5">
        <v>154</v>
      </c>
      <c r="G5">
        <v>0</v>
      </c>
      <c r="H5">
        <v>87</v>
      </c>
      <c r="I5">
        <v>0</v>
      </c>
      <c r="J5">
        <v>0</v>
      </c>
      <c r="K5">
        <v>8</v>
      </c>
      <c r="L5">
        <v>3</v>
      </c>
      <c r="M5">
        <v>0</v>
      </c>
      <c r="N5">
        <v>0</v>
      </c>
      <c r="O5">
        <v>0</v>
      </c>
      <c r="P5">
        <v>5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25</v>
      </c>
      <c r="X5">
        <f t="shared" si="0"/>
        <v>269</v>
      </c>
      <c r="Y5">
        <f t="shared" si="1"/>
        <v>1000</v>
      </c>
    </row>
    <row r="6" spans="1:26" x14ac:dyDescent="0.2">
      <c r="A6" t="s">
        <v>3</v>
      </c>
      <c r="B6" t="s">
        <v>5</v>
      </c>
      <c r="C6" s="1">
        <v>42880</v>
      </c>
      <c r="D6">
        <v>5</v>
      </c>
      <c r="E6">
        <f>352+33</f>
        <v>385</v>
      </c>
      <c r="F6">
        <f>71+174</f>
        <v>245</v>
      </c>
      <c r="G6">
        <v>0</v>
      </c>
      <c r="H6">
        <v>32</v>
      </c>
      <c r="I6">
        <v>2</v>
      </c>
      <c r="J6">
        <v>0</v>
      </c>
      <c r="K6">
        <v>0</v>
      </c>
      <c r="L6">
        <v>5</v>
      </c>
      <c r="M6">
        <v>0</v>
      </c>
      <c r="N6">
        <v>0</v>
      </c>
      <c r="O6">
        <v>0</v>
      </c>
      <c r="P6">
        <v>17</v>
      </c>
      <c r="Q6">
        <v>0</v>
      </c>
      <c r="R6">
        <v>3</v>
      </c>
      <c r="S6">
        <v>22</v>
      </c>
      <c r="T6">
        <v>0</v>
      </c>
      <c r="U6">
        <v>0</v>
      </c>
      <c r="V6">
        <v>0</v>
      </c>
      <c r="W6">
        <v>31</v>
      </c>
      <c r="X6">
        <f t="shared" si="0"/>
        <v>258</v>
      </c>
      <c r="Y6">
        <f t="shared" si="1"/>
        <v>1000</v>
      </c>
    </row>
    <row r="7" spans="1:26" x14ac:dyDescent="0.2">
      <c r="A7" t="s">
        <v>3</v>
      </c>
      <c r="B7" t="s">
        <v>5</v>
      </c>
      <c r="C7" s="1">
        <v>42880</v>
      </c>
      <c r="D7">
        <v>6</v>
      </c>
      <c r="E7">
        <v>445</v>
      </c>
      <c r="F7">
        <v>128</v>
      </c>
      <c r="G7">
        <v>0</v>
      </c>
      <c r="H7">
        <v>40</v>
      </c>
      <c r="I7">
        <v>0</v>
      </c>
      <c r="J7">
        <v>0</v>
      </c>
      <c r="K7">
        <v>4</v>
      </c>
      <c r="L7">
        <v>12</v>
      </c>
      <c r="M7">
        <v>4</v>
      </c>
      <c r="N7">
        <v>0</v>
      </c>
      <c r="O7">
        <v>0</v>
      </c>
      <c r="P7">
        <v>15</v>
      </c>
      <c r="Q7">
        <v>4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f t="shared" si="0"/>
        <v>348</v>
      </c>
      <c r="Y7">
        <f t="shared" si="1"/>
        <v>1000</v>
      </c>
      <c r="Z7" t="s">
        <v>11</v>
      </c>
    </row>
    <row r="8" spans="1:26" x14ac:dyDescent="0.2">
      <c r="A8" t="s">
        <v>6</v>
      </c>
      <c r="B8" t="s">
        <v>5</v>
      </c>
      <c r="C8" s="1">
        <v>42876</v>
      </c>
      <c r="D8">
        <v>1</v>
      </c>
      <c r="E8">
        <f>113+25+265</f>
        <v>403</v>
      </c>
      <c r="F8">
        <v>62</v>
      </c>
      <c r="G8">
        <v>0</v>
      </c>
      <c r="H8">
        <f>73+47</f>
        <v>120</v>
      </c>
      <c r="I8">
        <v>23</v>
      </c>
      <c r="J8">
        <v>0</v>
      </c>
      <c r="K8">
        <v>4</v>
      </c>
      <c r="L8">
        <v>4</v>
      </c>
      <c r="M8">
        <v>5</v>
      </c>
      <c r="N8">
        <v>0</v>
      </c>
      <c r="O8">
        <v>0</v>
      </c>
      <c r="P8">
        <v>5</v>
      </c>
      <c r="Q8">
        <v>0</v>
      </c>
      <c r="R8">
        <v>6</v>
      </c>
      <c r="S8">
        <v>12</v>
      </c>
      <c r="T8">
        <v>0</v>
      </c>
      <c r="U8">
        <v>0</v>
      </c>
      <c r="V8">
        <v>0</v>
      </c>
      <c r="W8">
        <v>0</v>
      </c>
      <c r="X8">
        <f t="shared" si="0"/>
        <v>356</v>
      </c>
      <c r="Y8">
        <f t="shared" si="1"/>
        <v>1000</v>
      </c>
    </row>
    <row r="9" spans="1:26" x14ac:dyDescent="0.2">
      <c r="A9" t="s">
        <v>6</v>
      </c>
      <c r="B9" t="s">
        <v>5</v>
      </c>
      <c r="C9" s="1">
        <v>42876</v>
      </c>
      <c r="D9">
        <v>2</v>
      </c>
      <c r="E9">
        <f>225+48+45</f>
        <v>318</v>
      </c>
      <c r="F9">
        <f>162+36+23</f>
        <v>221</v>
      </c>
      <c r="G9">
        <v>0</v>
      </c>
      <c r="H9">
        <f>17*2</f>
        <v>34</v>
      </c>
      <c r="I9">
        <v>25</v>
      </c>
      <c r="J9">
        <v>0</v>
      </c>
      <c r="K9">
        <v>0</v>
      </c>
      <c r="L9">
        <v>0</v>
      </c>
      <c r="M9">
        <v>24</v>
      </c>
      <c r="N9">
        <v>0</v>
      </c>
      <c r="O9">
        <v>0</v>
      </c>
      <c r="P9">
        <v>22</v>
      </c>
      <c r="Q9">
        <v>3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f t="shared" si="0"/>
        <v>353</v>
      </c>
      <c r="Y9">
        <f t="shared" si="1"/>
        <v>1000</v>
      </c>
      <c r="Z9" t="s">
        <v>11</v>
      </c>
    </row>
    <row r="10" spans="1:26" x14ac:dyDescent="0.2">
      <c r="A10" t="s">
        <v>6</v>
      </c>
      <c r="B10" t="s">
        <v>5</v>
      </c>
      <c r="C10" s="1">
        <v>42876</v>
      </c>
      <c r="D10">
        <v>3</v>
      </c>
      <c r="E10">
        <f>126+570</f>
        <v>696</v>
      </c>
      <c r="F10">
        <f>27+65</f>
        <v>92</v>
      </c>
      <c r="G10">
        <v>0</v>
      </c>
      <c r="H10">
        <f>56+22</f>
        <v>78</v>
      </c>
      <c r="I10">
        <v>0</v>
      </c>
      <c r="J10">
        <v>0</v>
      </c>
      <c r="K10">
        <v>3</v>
      </c>
      <c r="L10">
        <v>0</v>
      </c>
      <c r="M10">
        <v>5</v>
      </c>
      <c r="N10">
        <v>0</v>
      </c>
      <c r="O10">
        <v>0</v>
      </c>
      <c r="P10">
        <v>15</v>
      </c>
      <c r="Q10">
        <v>0</v>
      </c>
      <c r="R10">
        <v>8</v>
      </c>
      <c r="S10">
        <v>3</v>
      </c>
      <c r="T10">
        <v>0</v>
      </c>
      <c r="U10">
        <v>0</v>
      </c>
      <c r="V10">
        <v>0</v>
      </c>
      <c r="W10">
        <v>0</v>
      </c>
      <c r="X10">
        <f t="shared" si="0"/>
        <v>100</v>
      </c>
      <c r="Y10">
        <f t="shared" si="1"/>
        <v>1000</v>
      </c>
    </row>
    <row r="11" spans="1:26" x14ac:dyDescent="0.2">
      <c r="A11" t="s">
        <v>6</v>
      </c>
      <c r="B11" t="s">
        <v>5</v>
      </c>
      <c r="C11" s="1">
        <v>42876</v>
      </c>
      <c r="D11">
        <v>4</v>
      </c>
      <c r="E11">
        <f>390+227</f>
        <v>617</v>
      </c>
      <c r="F11">
        <v>110</v>
      </c>
      <c r="G11">
        <v>0</v>
      </c>
      <c r="H11">
        <v>76</v>
      </c>
      <c r="I11">
        <v>0</v>
      </c>
      <c r="J11">
        <v>0</v>
      </c>
      <c r="K11">
        <v>0</v>
      </c>
      <c r="L11">
        <v>3</v>
      </c>
      <c r="M11">
        <v>2</v>
      </c>
      <c r="N11">
        <v>0</v>
      </c>
      <c r="O11">
        <v>0</v>
      </c>
      <c r="P11">
        <v>0</v>
      </c>
      <c r="Q11">
        <v>3</v>
      </c>
      <c r="R11">
        <v>9</v>
      </c>
      <c r="S11">
        <v>5</v>
      </c>
      <c r="T11">
        <v>0</v>
      </c>
      <c r="U11">
        <v>0</v>
      </c>
      <c r="V11">
        <v>0</v>
      </c>
      <c r="W11">
        <v>0</v>
      </c>
      <c r="X11">
        <f t="shared" si="0"/>
        <v>175</v>
      </c>
      <c r="Y11">
        <f t="shared" si="1"/>
        <v>1000</v>
      </c>
      <c r="Z11" t="s">
        <v>11</v>
      </c>
    </row>
    <row r="12" spans="1:26" x14ac:dyDescent="0.2">
      <c r="A12" t="s">
        <v>6</v>
      </c>
      <c r="B12" t="s">
        <v>5</v>
      </c>
      <c r="C12" s="1">
        <v>42876</v>
      </c>
      <c r="D12">
        <v>5</v>
      </c>
      <c r="E12">
        <f>304+130*2</f>
        <v>564</v>
      </c>
      <c r="F12">
        <f>85+122</f>
        <v>207</v>
      </c>
      <c r="G12">
        <v>0</v>
      </c>
      <c r="H12">
        <v>57</v>
      </c>
      <c r="I12">
        <v>0</v>
      </c>
      <c r="J12">
        <v>0</v>
      </c>
      <c r="K12">
        <v>0</v>
      </c>
      <c r="L12">
        <v>0</v>
      </c>
      <c r="M12">
        <v>13</v>
      </c>
      <c r="N12">
        <v>0</v>
      </c>
      <c r="O12">
        <v>0</v>
      </c>
      <c r="P12">
        <v>6</v>
      </c>
      <c r="Q12">
        <v>0</v>
      </c>
      <c r="R12">
        <v>8</v>
      </c>
      <c r="S12">
        <v>0</v>
      </c>
      <c r="T12">
        <v>0</v>
      </c>
      <c r="U12">
        <v>0</v>
      </c>
      <c r="V12">
        <v>0</v>
      </c>
      <c r="W12">
        <v>0</v>
      </c>
      <c r="X12">
        <f t="shared" si="0"/>
        <v>145</v>
      </c>
      <c r="Y12">
        <f t="shared" si="1"/>
        <v>1000</v>
      </c>
    </row>
    <row r="13" spans="1:26" x14ac:dyDescent="0.2">
      <c r="A13" t="s">
        <v>6</v>
      </c>
      <c r="B13" t="s">
        <v>5</v>
      </c>
      <c r="C13" s="1">
        <v>42876</v>
      </c>
      <c r="D13">
        <v>6</v>
      </c>
      <c r="E13">
        <f>115+140+115+130+110</f>
        <v>610</v>
      </c>
      <c r="F13">
        <v>192</v>
      </c>
      <c r="G13">
        <v>0</v>
      </c>
      <c r="H13">
        <f>46+15+17+14</f>
        <v>92</v>
      </c>
      <c r="I13">
        <v>11</v>
      </c>
      <c r="J13">
        <v>0</v>
      </c>
      <c r="K13">
        <v>18</v>
      </c>
      <c r="L13">
        <v>10</v>
      </c>
      <c r="M13">
        <v>14</v>
      </c>
      <c r="N13">
        <v>0</v>
      </c>
      <c r="O13">
        <v>0</v>
      </c>
      <c r="P13">
        <v>6</v>
      </c>
      <c r="Q13">
        <v>6</v>
      </c>
      <c r="R13">
        <v>3</v>
      </c>
      <c r="S13">
        <v>0</v>
      </c>
      <c r="T13">
        <v>0</v>
      </c>
      <c r="U13">
        <v>0</v>
      </c>
      <c r="V13">
        <v>0</v>
      </c>
      <c r="W13">
        <v>0</v>
      </c>
      <c r="X13">
        <f t="shared" si="0"/>
        <v>38</v>
      </c>
      <c r="Y13">
        <f t="shared" si="1"/>
        <v>1000</v>
      </c>
      <c r="Z13" t="s">
        <v>19</v>
      </c>
    </row>
    <row r="14" spans="1:26" x14ac:dyDescent="0.2">
      <c r="A14" t="s">
        <v>6</v>
      </c>
      <c r="B14" t="s">
        <v>23</v>
      </c>
      <c r="C14" s="1">
        <v>42881</v>
      </c>
      <c r="D14">
        <v>1</v>
      </c>
      <c r="E14">
        <v>0</v>
      </c>
      <c r="F14">
        <v>112</v>
      </c>
      <c r="G14">
        <v>48</v>
      </c>
      <c r="H14">
        <v>57</v>
      </c>
      <c r="I14">
        <v>5</v>
      </c>
      <c r="J14">
        <v>6</v>
      </c>
      <c r="K14">
        <v>0</v>
      </c>
      <c r="L14">
        <v>0</v>
      </c>
      <c r="M14">
        <v>15</v>
      </c>
      <c r="N14">
        <v>0</v>
      </c>
      <c r="O14">
        <v>0</v>
      </c>
      <c r="P14">
        <v>0</v>
      </c>
      <c r="Q14">
        <v>75</v>
      </c>
      <c r="R14">
        <v>33</v>
      </c>
      <c r="S14">
        <v>4</v>
      </c>
      <c r="T14">
        <v>0</v>
      </c>
      <c r="U14">
        <v>30</v>
      </c>
      <c r="V14">
        <v>0</v>
      </c>
      <c r="W14">
        <v>295</v>
      </c>
      <c r="X14">
        <f t="shared" ref="X14:X19" si="2">1000-SUM(E14:W14)</f>
        <v>320</v>
      </c>
      <c r="Y14">
        <f t="shared" ref="Y14:Y19" si="3">SUM(E14:X14)</f>
        <v>1000</v>
      </c>
      <c r="Z14" t="s">
        <v>25</v>
      </c>
    </row>
    <row r="15" spans="1:26" x14ac:dyDescent="0.2">
      <c r="A15" t="s">
        <v>6</v>
      </c>
      <c r="B15" t="s">
        <v>23</v>
      </c>
      <c r="C15" s="1">
        <v>42881</v>
      </c>
      <c r="D15">
        <v>2</v>
      </c>
      <c r="E15">
        <v>0</v>
      </c>
      <c r="F15">
        <v>41</v>
      </c>
      <c r="G15">
        <v>0</v>
      </c>
      <c r="H15">
        <v>30</v>
      </c>
      <c r="I15">
        <v>16</v>
      </c>
      <c r="J15">
        <v>8</v>
      </c>
      <c r="K15">
        <v>0</v>
      </c>
      <c r="L15">
        <v>0</v>
      </c>
      <c r="M15">
        <v>0</v>
      </c>
      <c r="N15">
        <v>0</v>
      </c>
      <c r="O15">
        <v>0</v>
      </c>
      <c r="P15">
        <v>11</v>
      </c>
      <c r="Q15">
        <f>55+9+22</f>
        <v>86</v>
      </c>
      <c r="R15">
        <v>0</v>
      </c>
      <c r="S15">
        <v>2</v>
      </c>
      <c r="T15">
        <v>30</v>
      </c>
      <c r="U15">
        <v>0</v>
      </c>
      <c r="V15">
        <v>0</v>
      </c>
      <c r="W15">
        <f>290+70+55</f>
        <v>415</v>
      </c>
      <c r="X15">
        <f t="shared" si="2"/>
        <v>361</v>
      </c>
      <c r="Y15">
        <f t="shared" si="3"/>
        <v>1000</v>
      </c>
      <c r="Z15" t="s">
        <v>29</v>
      </c>
    </row>
    <row r="16" spans="1:26" x14ac:dyDescent="0.2">
      <c r="A16" t="s">
        <v>6</v>
      </c>
      <c r="B16" t="s">
        <v>23</v>
      </c>
      <c r="C16" s="1">
        <v>42881</v>
      </c>
      <c r="D16">
        <v>3</v>
      </c>
      <c r="E16">
        <v>0</v>
      </c>
      <c r="F16">
        <v>87</v>
      </c>
      <c r="G16">
        <v>0</v>
      </c>
      <c r="H16">
        <v>70</v>
      </c>
      <c r="I16">
        <v>18</v>
      </c>
      <c r="J16">
        <v>7</v>
      </c>
      <c r="K16">
        <v>0</v>
      </c>
      <c r="L16">
        <v>0</v>
      </c>
      <c r="M16">
        <v>0</v>
      </c>
      <c r="N16">
        <v>0</v>
      </c>
      <c r="O16">
        <v>0</v>
      </c>
      <c r="P16">
        <v>10</v>
      </c>
      <c r="Q16">
        <f>44+16</f>
        <v>60</v>
      </c>
      <c r="R16">
        <v>6</v>
      </c>
      <c r="S16">
        <v>0</v>
      </c>
      <c r="T16">
        <v>0</v>
      </c>
      <c r="U16">
        <v>0</v>
      </c>
      <c r="V16">
        <v>0</v>
      </c>
      <c r="W16">
        <f>180+158</f>
        <v>338</v>
      </c>
      <c r="X16">
        <f t="shared" si="2"/>
        <v>404</v>
      </c>
      <c r="Y16">
        <f t="shared" si="3"/>
        <v>1000</v>
      </c>
      <c r="Z16" t="s">
        <v>30</v>
      </c>
    </row>
    <row r="17" spans="1:28" x14ac:dyDescent="0.2">
      <c r="A17" t="s">
        <v>6</v>
      </c>
      <c r="B17" t="s">
        <v>23</v>
      </c>
      <c r="C17" s="1">
        <v>42881</v>
      </c>
      <c r="D17">
        <v>4</v>
      </c>
      <c r="E17">
        <v>0</v>
      </c>
      <c r="F17">
        <f>97+26</f>
        <v>123</v>
      </c>
      <c r="G17">
        <v>0</v>
      </c>
      <c r="H17">
        <v>48</v>
      </c>
      <c r="I17">
        <v>11</v>
      </c>
      <c r="J17">
        <v>11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f>80+36</f>
        <v>116</v>
      </c>
      <c r="R17">
        <v>36</v>
      </c>
      <c r="S17">
        <v>0</v>
      </c>
      <c r="T17">
        <v>0</v>
      </c>
      <c r="U17">
        <v>0</v>
      </c>
      <c r="V17">
        <v>0</v>
      </c>
      <c r="W17">
        <f>253</f>
        <v>253</v>
      </c>
      <c r="X17">
        <f t="shared" si="2"/>
        <v>402</v>
      </c>
      <c r="Y17">
        <f t="shared" si="3"/>
        <v>1000</v>
      </c>
      <c r="Z17" t="s">
        <v>31</v>
      </c>
    </row>
    <row r="18" spans="1:28" x14ac:dyDescent="0.2">
      <c r="A18" t="s">
        <v>6</v>
      </c>
      <c r="B18" t="s">
        <v>23</v>
      </c>
      <c r="C18" s="1">
        <v>42881</v>
      </c>
      <c r="D18">
        <v>5</v>
      </c>
      <c r="E18">
        <v>0</v>
      </c>
      <c r="F18">
        <v>143</v>
      </c>
      <c r="G18">
        <v>0</v>
      </c>
      <c r="H18">
        <v>23</v>
      </c>
      <c r="I18">
        <v>14</v>
      </c>
      <c r="J18">
        <v>4</v>
      </c>
      <c r="K18">
        <v>0</v>
      </c>
      <c r="L18">
        <v>0</v>
      </c>
      <c r="M18">
        <v>0</v>
      </c>
      <c r="N18">
        <v>0</v>
      </c>
      <c r="O18">
        <v>0</v>
      </c>
      <c r="P18">
        <v>3</v>
      </c>
      <c r="Q18">
        <v>27</v>
      </c>
      <c r="R18">
        <v>6</v>
      </c>
      <c r="S18">
        <v>0</v>
      </c>
      <c r="T18">
        <v>0</v>
      </c>
      <c r="U18">
        <v>0</v>
      </c>
      <c r="V18">
        <v>0</v>
      </c>
      <c r="W18">
        <v>303</v>
      </c>
      <c r="X18">
        <f t="shared" si="2"/>
        <v>477</v>
      </c>
      <c r="Y18">
        <f t="shared" si="3"/>
        <v>1000</v>
      </c>
      <c r="Z18" t="s">
        <v>32</v>
      </c>
    </row>
    <row r="19" spans="1:28" x14ac:dyDescent="0.2">
      <c r="A19" t="s">
        <v>6</v>
      </c>
      <c r="B19" t="s">
        <v>23</v>
      </c>
      <c r="C19" s="1">
        <v>42881</v>
      </c>
      <c r="D19">
        <v>6</v>
      </c>
      <c r="E19">
        <v>0</v>
      </c>
      <c r="F19">
        <v>11</v>
      </c>
      <c r="G19">
        <v>0</v>
      </c>
      <c r="H19">
        <v>27</v>
      </c>
      <c r="I19">
        <v>10</v>
      </c>
      <c r="J19">
        <v>3</v>
      </c>
      <c r="K19">
        <v>2</v>
      </c>
      <c r="L19">
        <v>0</v>
      </c>
      <c r="M19">
        <v>0</v>
      </c>
      <c r="N19">
        <v>0</v>
      </c>
      <c r="O19">
        <v>0</v>
      </c>
      <c r="P19">
        <v>4</v>
      </c>
      <c r="Q19">
        <f>167+57</f>
        <v>224</v>
      </c>
      <c r="R19">
        <v>20</v>
      </c>
      <c r="S19">
        <v>0</v>
      </c>
      <c r="T19">
        <v>0</v>
      </c>
      <c r="U19">
        <v>0</v>
      </c>
      <c r="V19">
        <v>0</v>
      </c>
      <c r="W19">
        <f>245+190+8</f>
        <v>443</v>
      </c>
      <c r="X19">
        <f t="shared" si="2"/>
        <v>256</v>
      </c>
      <c r="Y19">
        <f t="shared" si="3"/>
        <v>1000</v>
      </c>
      <c r="Z19" t="s">
        <v>33</v>
      </c>
    </row>
    <row r="20" spans="1:28" x14ac:dyDescent="0.2">
      <c r="A20" t="s">
        <v>3</v>
      </c>
      <c r="B20" t="s">
        <v>23</v>
      </c>
      <c r="C20" s="1">
        <v>42882</v>
      </c>
      <c r="D20">
        <v>1</v>
      </c>
      <c r="E20">
        <v>5</v>
      </c>
      <c r="F20">
        <f>94+27+15</f>
        <v>136</v>
      </c>
      <c r="G20">
        <v>0</v>
      </c>
      <c r="H20">
        <f>30</f>
        <v>30</v>
      </c>
      <c r="I20">
        <v>5</v>
      </c>
      <c r="J20">
        <v>3</v>
      </c>
      <c r="K20">
        <v>0</v>
      </c>
      <c r="L20">
        <v>11</v>
      </c>
      <c r="M20">
        <v>0</v>
      </c>
      <c r="N20">
        <v>0</v>
      </c>
      <c r="O20">
        <v>0</v>
      </c>
      <c r="P20">
        <v>11</v>
      </c>
      <c r="Q20">
        <f>185+67+20+32</f>
        <v>304</v>
      </c>
      <c r="R20">
        <v>29</v>
      </c>
      <c r="S20">
        <v>0</v>
      </c>
      <c r="T20">
        <v>0</v>
      </c>
      <c r="U20">
        <v>20</v>
      </c>
      <c r="V20">
        <v>0</v>
      </c>
      <c r="W20">
        <v>0</v>
      </c>
      <c r="X20">
        <f t="shared" ref="X20:X25" si="4">1000-SUM(E20:W20)</f>
        <v>446</v>
      </c>
      <c r="Y20">
        <f t="shared" ref="Y20:Y25" si="5">SUM(E20:X20)</f>
        <v>1000</v>
      </c>
      <c r="Z20" t="s">
        <v>43</v>
      </c>
    </row>
    <row r="21" spans="1:28" x14ac:dyDescent="0.2">
      <c r="A21" t="s">
        <v>3</v>
      </c>
      <c r="B21" t="s">
        <v>23</v>
      </c>
      <c r="C21" s="1">
        <v>42882</v>
      </c>
      <c r="D21">
        <v>2</v>
      </c>
      <c r="E21">
        <v>0</v>
      </c>
      <c r="F21">
        <v>185</v>
      </c>
      <c r="G21">
        <v>0</v>
      </c>
      <c r="H21">
        <v>5</v>
      </c>
      <c r="I21">
        <v>5</v>
      </c>
      <c r="J21">
        <v>5</v>
      </c>
      <c r="K21">
        <v>1</v>
      </c>
      <c r="L21">
        <v>12</v>
      </c>
      <c r="M21">
        <v>0</v>
      </c>
      <c r="N21">
        <v>0</v>
      </c>
      <c r="O21">
        <v>0</v>
      </c>
      <c r="P21">
        <v>25</v>
      </c>
      <c r="Q21">
        <f>68+108+34</f>
        <v>210</v>
      </c>
      <c r="R21">
        <v>0</v>
      </c>
      <c r="S21">
        <v>0</v>
      </c>
      <c r="T21">
        <v>0</v>
      </c>
      <c r="U21">
        <v>0</v>
      </c>
      <c r="V21">
        <v>0</v>
      </c>
      <c r="W21">
        <v>70</v>
      </c>
      <c r="X21">
        <f t="shared" si="4"/>
        <v>482</v>
      </c>
      <c r="Y21">
        <f t="shared" si="5"/>
        <v>1000</v>
      </c>
      <c r="Z21" t="s">
        <v>42</v>
      </c>
    </row>
    <row r="22" spans="1:28" x14ac:dyDescent="0.2">
      <c r="A22" t="s">
        <v>3</v>
      </c>
      <c r="B22" t="s">
        <v>23</v>
      </c>
      <c r="C22" s="1">
        <v>42882</v>
      </c>
      <c r="D22">
        <v>3</v>
      </c>
      <c r="E22">
        <v>0</v>
      </c>
      <c r="F22">
        <v>60</v>
      </c>
      <c r="G22">
        <v>0</v>
      </c>
      <c r="H22">
        <v>24</v>
      </c>
      <c r="I22">
        <v>3</v>
      </c>
      <c r="J22">
        <v>0</v>
      </c>
      <c r="K22">
        <v>0</v>
      </c>
      <c r="L22">
        <v>18</v>
      </c>
      <c r="M22">
        <v>0</v>
      </c>
      <c r="N22">
        <v>0</v>
      </c>
      <c r="O22">
        <v>0</v>
      </c>
      <c r="P22">
        <v>21</v>
      </c>
      <c r="Q22">
        <f>6+4+15+46+15+86+58+52</f>
        <v>282</v>
      </c>
      <c r="R22">
        <v>14</v>
      </c>
      <c r="S22">
        <v>0</v>
      </c>
      <c r="T22">
        <v>0</v>
      </c>
      <c r="U22">
        <v>21</v>
      </c>
      <c r="V22">
        <v>0</v>
      </c>
      <c r="W22">
        <v>185</v>
      </c>
      <c r="X22">
        <f t="shared" si="4"/>
        <v>372</v>
      </c>
      <c r="Y22">
        <f t="shared" si="5"/>
        <v>1000</v>
      </c>
      <c r="Z22" t="s">
        <v>45</v>
      </c>
    </row>
    <row r="23" spans="1:28" x14ac:dyDescent="0.2">
      <c r="A23" t="s">
        <v>3</v>
      </c>
      <c r="B23" t="s">
        <v>23</v>
      </c>
      <c r="C23" s="1">
        <v>42882</v>
      </c>
      <c r="D23">
        <v>4</v>
      </c>
      <c r="E23">
        <v>53</v>
      </c>
      <c r="F23">
        <v>66</v>
      </c>
      <c r="G23">
        <v>12</v>
      </c>
      <c r="H23">
        <v>10</v>
      </c>
      <c r="I23">
        <v>0</v>
      </c>
      <c r="J23">
        <v>0</v>
      </c>
      <c r="K23">
        <v>0</v>
      </c>
      <c r="L23">
        <v>9</v>
      </c>
      <c r="M23">
        <v>0</v>
      </c>
      <c r="N23">
        <v>0</v>
      </c>
      <c r="O23">
        <v>0</v>
      </c>
      <c r="P23">
        <v>9</v>
      </c>
      <c r="Q23">
        <v>89</v>
      </c>
      <c r="R23">
        <v>0</v>
      </c>
      <c r="S23">
        <v>0</v>
      </c>
      <c r="T23">
        <v>0</v>
      </c>
      <c r="U23">
        <v>0</v>
      </c>
      <c r="V23">
        <v>0</v>
      </c>
      <c r="W23">
        <v>71</v>
      </c>
      <c r="X23">
        <f t="shared" si="4"/>
        <v>681</v>
      </c>
      <c r="Y23">
        <f t="shared" si="5"/>
        <v>1000</v>
      </c>
      <c r="Z23" t="s">
        <v>44</v>
      </c>
    </row>
    <row r="24" spans="1:28" x14ac:dyDescent="0.2">
      <c r="A24" t="s">
        <v>3</v>
      </c>
      <c r="B24" t="s">
        <v>23</v>
      </c>
      <c r="C24" s="1">
        <v>42882</v>
      </c>
      <c r="D24">
        <v>5</v>
      </c>
      <c r="E24">
        <v>0</v>
      </c>
      <c r="F24">
        <v>133</v>
      </c>
      <c r="G24">
        <v>0</v>
      </c>
      <c r="H24">
        <v>6</v>
      </c>
      <c r="I24">
        <v>8</v>
      </c>
      <c r="J24">
        <v>5</v>
      </c>
      <c r="K24">
        <v>0</v>
      </c>
      <c r="L24">
        <v>8</v>
      </c>
      <c r="M24">
        <v>5</v>
      </c>
      <c r="N24">
        <v>0</v>
      </c>
      <c r="O24">
        <v>0</v>
      </c>
      <c r="P24">
        <v>9</v>
      </c>
      <c r="Q24">
        <f>18+25+9+44+102</f>
        <v>198</v>
      </c>
      <c r="R24">
        <v>5</v>
      </c>
      <c r="S24">
        <v>0</v>
      </c>
      <c r="T24">
        <v>0</v>
      </c>
      <c r="U24">
        <v>93</v>
      </c>
      <c r="V24">
        <v>0</v>
      </c>
      <c r="W24">
        <v>236</v>
      </c>
      <c r="X24">
        <f t="shared" si="4"/>
        <v>294</v>
      </c>
      <c r="Y24">
        <f t="shared" si="5"/>
        <v>1000</v>
      </c>
      <c r="Z24" t="s">
        <v>46</v>
      </c>
    </row>
    <row r="25" spans="1:28" x14ac:dyDescent="0.2">
      <c r="A25" t="s">
        <v>3</v>
      </c>
      <c r="B25" t="s">
        <v>23</v>
      </c>
      <c r="C25" s="1">
        <v>42882</v>
      </c>
      <c r="D25">
        <v>6</v>
      </c>
      <c r="E25">
        <v>8</v>
      </c>
      <c r="F25">
        <v>7</v>
      </c>
      <c r="G25">
        <v>0</v>
      </c>
      <c r="H25">
        <v>27</v>
      </c>
      <c r="I25">
        <v>0</v>
      </c>
      <c r="J25">
        <v>4</v>
      </c>
      <c r="K25">
        <v>0</v>
      </c>
      <c r="L25">
        <v>8</v>
      </c>
      <c r="M25">
        <v>0</v>
      </c>
      <c r="N25">
        <v>0</v>
      </c>
      <c r="O25">
        <v>0</v>
      </c>
      <c r="P25">
        <v>12</v>
      </c>
      <c r="Q25">
        <v>92</v>
      </c>
      <c r="R25">
        <v>5</v>
      </c>
      <c r="S25">
        <v>0</v>
      </c>
      <c r="T25">
        <v>0</v>
      </c>
      <c r="U25">
        <v>0</v>
      </c>
      <c r="V25">
        <v>0</v>
      </c>
      <c r="W25">
        <v>332</v>
      </c>
      <c r="X25">
        <f t="shared" si="4"/>
        <v>505</v>
      </c>
      <c r="Y25">
        <f t="shared" si="5"/>
        <v>1000</v>
      </c>
      <c r="Z25" t="s">
        <v>47</v>
      </c>
      <c r="AB25" t="s">
        <v>50</v>
      </c>
    </row>
    <row r="26" spans="1:28" x14ac:dyDescent="0.2">
      <c r="A26" t="s">
        <v>35</v>
      </c>
      <c r="B26" t="s">
        <v>23</v>
      </c>
      <c r="C26" s="1">
        <v>42883</v>
      </c>
      <c r="D26">
        <v>1</v>
      </c>
      <c r="E26">
        <v>0</v>
      </c>
      <c r="F26">
        <f>60+35+59</f>
        <v>154</v>
      </c>
      <c r="G26">
        <v>0</v>
      </c>
      <c r="H26">
        <v>12</v>
      </c>
      <c r="I26">
        <v>5</v>
      </c>
      <c r="J26">
        <v>2</v>
      </c>
      <c r="K26">
        <v>0</v>
      </c>
      <c r="L26">
        <v>0</v>
      </c>
      <c r="M26">
        <v>0</v>
      </c>
      <c r="N26">
        <v>2</v>
      </c>
      <c r="O26">
        <v>0</v>
      </c>
      <c r="P26">
        <v>0</v>
      </c>
      <c r="Q26">
        <v>15</v>
      </c>
      <c r="R26">
        <v>11</v>
      </c>
      <c r="S26">
        <v>15</v>
      </c>
      <c r="T26">
        <v>0</v>
      </c>
      <c r="U26">
        <v>20</v>
      </c>
      <c r="V26">
        <v>0</v>
      </c>
      <c r="W26">
        <v>273</v>
      </c>
      <c r="X26">
        <f t="shared" ref="X26:X31" si="6">1000-SUM(E26:W26)</f>
        <v>491</v>
      </c>
      <c r="Y26">
        <f t="shared" ref="Y26:Y31" si="7">SUM(E26:X26)</f>
        <v>1000</v>
      </c>
      <c r="Z26" t="s">
        <v>49</v>
      </c>
    </row>
    <row r="27" spans="1:28" x14ac:dyDescent="0.2">
      <c r="A27" t="s">
        <v>35</v>
      </c>
      <c r="B27" t="s">
        <v>23</v>
      </c>
      <c r="C27" s="1">
        <v>42883</v>
      </c>
      <c r="D27">
        <v>2</v>
      </c>
      <c r="E27">
        <v>0</v>
      </c>
      <c r="F27">
        <v>314</v>
      </c>
      <c r="G27">
        <v>0</v>
      </c>
      <c r="H27">
        <v>2</v>
      </c>
      <c r="I27">
        <v>0</v>
      </c>
      <c r="J27">
        <v>0</v>
      </c>
      <c r="K27">
        <v>2</v>
      </c>
      <c r="L27">
        <v>0</v>
      </c>
      <c r="M27">
        <v>0</v>
      </c>
      <c r="N27">
        <v>6</v>
      </c>
      <c r="O27">
        <v>0</v>
      </c>
      <c r="P27">
        <v>0</v>
      </c>
      <c r="Q27">
        <v>2</v>
      </c>
      <c r="R27">
        <v>4</v>
      </c>
      <c r="S27">
        <v>0</v>
      </c>
      <c r="T27">
        <v>0</v>
      </c>
      <c r="U27">
        <v>52</v>
      </c>
      <c r="V27">
        <v>0</v>
      </c>
      <c r="W27">
        <f>315+80</f>
        <v>395</v>
      </c>
      <c r="X27">
        <f t="shared" si="6"/>
        <v>223</v>
      </c>
      <c r="Y27">
        <f t="shared" si="7"/>
        <v>1000</v>
      </c>
      <c r="Z27" t="s">
        <v>48</v>
      </c>
    </row>
    <row r="28" spans="1:28" x14ac:dyDescent="0.2">
      <c r="A28" t="s">
        <v>35</v>
      </c>
      <c r="B28" t="s">
        <v>23</v>
      </c>
      <c r="C28" s="1">
        <v>42883</v>
      </c>
      <c r="D28">
        <v>3</v>
      </c>
      <c r="E28">
        <v>0</v>
      </c>
      <c r="F28">
        <f>38+35+82+15+92</f>
        <v>262</v>
      </c>
      <c r="G28">
        <v>0</v>
      </c>
      <c r="H28">
        <v>4</v>
      </c>
      <c r="I28">
        <v>0</v>
      </c>
      <c r="J28">
        <v>0</v>
      </c>
      <c r="K28">
        <v>2</v>
      </c>
      <c r="L28">
        <v>0</v>
      </c>
      <c r="M28">
        <v>0</v>
      </c>
      <c r="N28">
        <v>14</v>
      </c>
      <c r="O28">
        <v>4</v>
      </c>
      <c r="P28">
        <v>0</v>
      </c>
      <c r="Q28">
        <v>0</v>
      </c>
      <c r="R28">
        <v>0</v>
      </c>
      <c r="S28">
        <v>12</v>
      </c>
      <c r="T28">
        <v>0</v>
      </c>
      <c r="U28">
        <v>62</v>
      </c>
      <c r="V28">
        <v>0</v>
      </c>
      <c r="W28">
        <f>160+130</f>
        <v>290</v>
      </c>
      <c r="X28">
        <f t="shared" si="6"/>
        <v>350</v>
      </c>
      <c r="Y28">
        <f t="shared" si="7"/>
        <v>1000</v>
      </c>
      <c r="Z28" t="s">
        <v>49</v>
      </c>
    </row>
    <row r="29" spans="1:28" x14ac:dyDescent="0.2">
      <c r="A29" t="s">
        <v>35</v>
      </c>
      <c r="B29" t="s">
        <v>23</v>
      </c>
      <c r="C29" s="1">
        <v>42883</v>
      </c>
      <c r="D29">
        <v>4</v>
      </c>
      <c r="E29">
        <v>40</v>
      </c>
      <c r="F29">
        <f>95+26+105</f>
        <v>226</v>
      </c>
      <c r="G29">
        <v>0</v>
      </c>
      <c r="H29">
        <v>20</v>
      </c>
      <c r="I29">
        <v>2</v>
      </c>
      <c r="J29">
        <v>2</v>
      </c>
      <c r="K29">
        <v>0</v>
      </c>
      <c r="L29">
        <v>0</v>
      </c>
      <c r="M29">
        <v>3</v>
      </c>
      <c r="N29">
        <v>3</v>
      </c>
      <c r="O29">
        <v>0</v>
      </c>
      <c r="P29">
        <v>0</v>
      </c>
      <c r="Q29">
        <v>16</v>
      </c>
      <c r="R29">
        <v>4</v>
      </c>
      <c r="S29">
        <v>15</v>
      </c>
      <c r="T29">
        <v>0</v>
      </c>
      <c r="U29">
        <v>0</v>
      </c>
      <c r="V29">
        <v>0</v>
      </c>
      <c r="W29">
        <v>132</v>
      </c>
      <c r="X29">
        <f t="shared" si="6"/>
        <v>537</v>
      </c>
      <c r="Y29">
        <f t="shared" si="7"/>
        <v>1000</v>
      </c>
      <c r="Z29" t="s">
        <v>51</v>
      </c>
    </row>
    <row r="30" spans="1:28" x14ac:dyDescent="0.2">
      <c r="A30" t="s">
        <v>35</v>
      </c>
      <c r="B30" t="s">
        <v>23</v>
      </c>
      <c r="C30" s="1">
        <v>42883</v>
      </c>
      <c r="D30">
        <v>5</v>
      </c>
      <c r="E30">
        <v>18</v>
      </c>
      <c r="F30">
        <f>99+130+178</f>
        <v>407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12</v>
      </c>
      <c r="O30">
        <v>0</v>
      </c>
      <c r="P30">
        <v>0</v>
      </c>
      <c r="Q30">
        <v>0</v>
      </c>
      <c r="R30">
        <v>11</v>
      </c>
      <c r="S30">
        <v>0</v>
      </c>
      <c r="T30">
        <v>0</v>
      </c>
      <c r="U30">
        <v>25</v>
      </c>
      <c r="V30">
        <v>0</v>
      </c>
      <c r="W30">
        <v>142</v>
      </c>
      <c r="X30">
        <f t="shared" si="6"/>
        <v>385</v>
      </c>
      <c r="Y30">
        <f t="shared" si="7"/>
        <v>1000</v>
      </c>
      <c r="Z30" t="s">
        <v>49</v>
      </c>
    </row>
    <row r="31" spans="1:28" x14ac:dyDescent="0.2">
      <c r="A31" t="s">
        <v>35</v>
      </c>
      <c r="B31" t="s">
        <v>23</v>
      </c>
      <c r="C31" s="1">
        <v>42883</v>
      </c>
      <c r="D31">
        <v>6</v>
      </c>
      <c r="E31">
        <f>61+24+7</f>
        <v>92</v>
      </c>
      <c r="F31">
        <f>62+112+27+29+38</f>
        <v>268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6</v>
      </c>
      <c r="O31">
        <v>0</v>
      </c>
      <c r="P31">
        <v>0</v>
      </c>
      <c r="Q31">
        <v>0</v>
      </c>
      <c r="R31">
        <v>4</v>
      </c>
      <c r="S31">
        <v>0</v>
      </c>
      <c r="T31">
        <v>0</v>
      </c>
      <c r="U31">
        <v>0</v>
      </c>
      <c r="V31">
        <v>0</v>
      </c>
      <c r="W31">
        <v>35</v>
      </c>
      <c r="X31">
        <f t="shared" si="6"/>
        <v>595</v>
      </c>
      <c r="Y31">
        <f t="shared" si="7"/>
        <v>1000</v>
      </c>
      <c r="Z31" t="s">
        <v>49</v>
      </c>
    </row>
    <row r="32" spans="1:28" x14ac:dyDescent="0.2">
      <c r="A32" t="s">
        <v>35</v>
      </c>
      <c r="B32" t="s">
        <v>5</v>
      </c>
      <c r="C32" s="1">
        <v>42886</v>
      </c>
      <c r="D32">
        <v>1</v>
      </c>
      <c r="E32">
        <f>46+35+55+50</f>
        <v>186</v>
      </c>
      <c r="F32">
        <v>87</v>
      </c>
      <c r="G32">
        <v>102</v>
      </c>
      <c r="H32">
        <v>36</v>
      </c>
      <c r="I32">
        <v>4</v>
      </c>
      <c r="J32">
        <v>0</v>
      </c>
      <c r="K32">
        <v>37</v>
      </c>
      <c r="L32">
        <v>0</v>
      </c>
      <c r="M32">
        <v>2</v>
      </c>
      <c r="N32">
        <v>0</v>
      </c>
      <c r="O32">
        <v>0</v>
      </c>
      <c r="P32">
        <v>21</v>
      </c>
      <c r="Q32">
        <v>0</v>
      </c>
      <c r="R32">
        <v>11</v>
      </c>
      <c r="S32">
        <v>5</v>
      </c>
      <c r="T32">
        <v>0</v>
      </c>
      <c r="U32">
        <v>0</v>
      </c>
      <c r="V32">
        <v>6</v>
      </c>
      <c r="W32">
        <v>0</v>
      </c>
      <c r="X32">
        <f t="shared" ref="X32:X37" si="8">1000-SUM(E32:W32)</f>
        <v>503</v>
      </c>
      <c r="Y32">
        <f t="shared" ref="Y32:Y37" si="9">SUM(E32:X32)</f>
        <v>1000</v>
      </c>
    </row>
    <row r="33" spans="1:26" x14ac:dyDescent="0.2">
      <c r="A33" t="s">
        <v>35</v>
      </c>
      <c r="B33" t="s">
        <v>5</v>
      </c>
      <c r="C33" s="1">
        <v>42886</v>
      </c>
      <c r="D33">
        <v>2</v>
      </c>
      <c r="E33">
        <f>80+110+43</f>
        <v>233</v>
      </c>
      <c r="F33">
        <f>95*2+32</f>
        <v>222</v>
      </c>
      <c r="G33">
        <v>0</v>
      </c>
      <c r="H33">
        <f>51+43</f>
        <v>94</v>
      </c>
      <c r="I33">
        <v>16</v>
      </c>
      <c r="J33">
        <v>0</v>
      </c>
      <c r="K33">
        <v>20</v>
      </c>
      <c r="L33">
        <v>0</v>
      </c>
      <c r="M33">
        <v>8</v>
      </c>
      <c r="N33">
        <v>0</v>
      </c>
      <c r="O33">
        <v>0</v>
      </c>
      <c r="P33">
        <v>15</v>
      </c>
      <c r="Q33">
        <v>0</v>
      </c>
      <c r="R33">
        <v>18</v>
      </c>
      <c r="S33">
        <v>7</v>
      </c>
      <c r="T33">
        <v>0</v>
      </c>
      <c r="U33">
        <v>0</v>
      </c>
      <c r="V33">
        <v>0</v>
      </c>
      <c r="W33">
        <v>0</v>
      </c>
      <c r="X33">
        <f t="shared" si="8"/>
        <v>367</v>
      </c>
      <c r="Y33">
        <f t="shared" si="9"/>
        <v>1000</v>
      </c>
    </row>
    <row r="34" spans="1:26" x14ac:dyDescent="0.2">
      <c r="A34" t="s">
        <v>35</v>
      </c>
      <c r="B34" t="s">
        <v>5</v>
      </c>
      <c r="C34" s="1">
        <v>42886</v>
      </c>
      <c r="D34">
        <v>3</v>
      </c>
      <c r="E34">
        <f>14+40+130</f>
        <v>184</v>
      </c>
      <c r="F34">
        <f>95+48</f>
        <v>143</v>
      </c>
      <c r="G34">
        <v>0</v>
      </c>
      <c r="H34">
        <f>19+55</f>
        <v>74</v>
      </c>
      <c r="I34">
        <v>3</v>
      </c>
      <c r="J34">
        <v>0</v>
      </c>
      <c r="K34">
        <v>22</v>
      </c>
      <c r="L34">
        <v>35</v>
      </c>
      <c r="M34">
        <v>0</v>
      </c>
      <c r="N34">
        <v>0</v>
      </c>
      <c r="O34">
        <v>0</v>
      </c>
      <c r="P34">
        <v>4</v>
      </c>
      <c r="Q34">
        <v>12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f t="shared" si="8"/>
        <v>523</v>
      </c>
      <c r="Y34">
        <f t="shared" si="9"/>
        <v>1000</v>
      </c>
      <c r="Z34" t="s">
        <v>53</v>
      </c>
    </row>
    <row r="35" spans="1:26" x14ac:dyDescent="0.2">
      <c r="A35" t="s">
        <v>35</v>
      </c>
      <c r="B35" t="s">
        <v>5</v>
      </c>
      <c r="C35" s="1">
        <v>42886</v>
      </c>
      <c r="D35">
        <v>4</v>
      </c>
      <c r="E35">
        <v>187</v>
      </c>
      <c r="F35">
        <f>135+44</f>
        <v>179</v>
      </c>
      <c r="G35">
        <v>46</v>
      </c>
      <c r="H35">
        <f>38+21</f>
        <v>59</v>
      </c>
      <c r="I35">
        <v>0</v>
      </c>
      <c r="J35">
        <v>0</v>
      </c>
      <c r="K35">
        <v>0</v>
      </c>
      <c r="L35">
        <v>28</v>
      </c>
      <c r="M35">
        <v>7</v>
      </c>
      <c r="N35">
        <v>0</v>
      </c>
      <c r="O35">
        <v>0</v>
      </c>
      <c r="P35">
        <v>8</v>
      </c>
      <c r="Q35">
        <v>0</v>
      </c>
      <c r="R35">
        <v>0</v>
      </c>
      <c r="S35">
        <v>7</v>
      </c>
      <c r="T35">
        <v>0</v>
      </c>
      <c r="U35">
        <v>0</v>
      </c>
      <c r="V35">
        <v>0</v>
      </c>
      <c r="W35">
        <v>0</v>
      </c>
      <c r="X35">
        <f t="shared" si="8"/>
        <v>479</v>
      </c>
      <c r="Y35">
        <f t="shared" si="9"/>
        <v>1000</v>
      </c>
    </row>
    <row r="36" spans="1:26" x14ac:dyDescent="0.2">
      <c r="A36" t="s">
        <v>35</v>
      </c>
      <c r="B36" t="s">
        <v>5</v>
      </c>
      <c r="C36" s="1">
        <v>42886</v>
      </c>
      <c r="D36">
        <v>5</v>
      </c>
      <c r="E36">
        <v>123</v>
      </c>
      <c r="F36">
        <v>155</v>
      </c>
      <c r="G36">
        <v>0</v>
      </c>
      <c r="H36">
        <f>46+31+35</f>
        <v>112</v>
      </c>
      <c r="I36">
        <v>0</v>
      </c>
      <c r="J36">
        <v>0</v>
      </c>
      <c r="K36">
        <v>0</v>
      </c>
      <c r="L36">
        <v>14</v>
      </c>
      <c r="M36">
        <v>3</v>
      </c>
      <c r="N36">
        <v>0</v>
      </c>
      <c r="O36">
        <v>0</v>
      </c>
      <c r="P36">
        <v>31</v>
      </c>
      <c r="Q36">
        <v>23</v>
      </c>
      <c r="R36">
        <v>0</v>
      </c>
      <c r="S36">
        <v>3</v>
      </c>
      <c r="T36">
        <v>0</v>
      </c>
      <c r="U36">
        <v>0</v>
      </c>
      <c r="V36">
        <v>0</v>
      </c>
      <c r="W36">
        <v>0</v>
      </c>
      <c r="X36">
        <f t="shared" si="8"/>
        <v>536</v>
      </c>
      <c r="Y36">
        <f t="shared" si="9"/>
        <v>1000</v>
      </c>
      <c r="Z36" t="s">
        <v>53</v>
      </c>
    </row>
    <row r="37" spans="1:26" x14ac:dyDescent="0.2">
      <c r="A37" t="s">
        <v>35</v>
      </c>
      <c r="B37" t="s">
        <v>5</v>
      </c>
      <c r="C37" s="1">
        <v>42886</v>
      </c>
      <c r="D37">
        <v>6</v>
      </c>
      <c r="E37">
        <f>160+92</f>
        <v>252</v>
      </c>
      <c r="F37">
        <v>20</v>
      </c>
      <c r="G37">
        <v>75</v>
      </c>
      <c r="H37">
        <f>18+11+85</f>
        <v>114</v>
      </c>
      <c r="I37">
        <v>2</v>
      </c>
      <c r="J37">
        <v>0</v>
      </c>
      <c r="K37">
        <v>0</v>
      </c>
      <c r="L37">
        <v>5</v>
      </c>
      <c r="M37">
        <v>0</v>
      </c>
      <c r="N37">
        <v>0</v>
      </c>
      <c r="O37">
        <v>0</v>
      </c>
      <c r="P37">
        <v>15</v>
      </c>
      <c r="Q37">
        <v>25</v>
      </c>
      <c r="R37">
        <v>4</v>
      </c>
      <c r="S37">
        <v>0</v>
      </c>
      <c r="T37">
        <v>0</v>
      </c>
      <c r="U37">
        <v>0</v>
      </c>
      <c r="V37">
        <v>7</v>
      </c>
      <c r="W37">
        <v>0</v>
      </c>
      <c r="X37">
        <f t="shared" si="8"/>
        <v>481</v>
      </c>
      <c r="Y37">
        <f t="shared" si="9"/>
        <v>1000</v>
      </c>
      <c r="Z37" t="s">
        <v>53</v>
      </c>
    </row>
  </sheetData>
  <pageMargins left="0" right="0" top="0.39409448818897641" bottom="0.39409448818897641" header="0" foot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Methodology</vt:lpstr>
      <vt:lpstr>GPS coord sites</vt:lpstr>
      <vt:lpstr>Raw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mnugues</dc:creator>
  <cp:lastModifiedBy>mnugues</cp:lastModifiedBy>
  <cp:revision>2</cp:revision>
  <dcterms:created xsi:type="dcterms:W3CDTF">2009-04-16T11:32:48Z</dcterms:created>
  <dcterms:modified xsi:type="dcterms:W3CDTF">2020-03-31T09:10:40Z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fo 1">
    <vt:lpwstr/>
  </property>
  <property fmtid="{D5CDD505-2E9C-101B-9397-08002B2CF9AE}" pid="3" name="Info 2">
    <vt:lpwstr/>
  </property>
  <property fmtid="{D5CDD505-2E9C-101B-9397-08002B2CF9AE}" pid="4" name="Info 3">
    <vt:lpwstr/>
  </property>
  <property fmtid="{D5CDD505-2E9C-101B-9397-08002B2CF9AE}" pid="5" name="Info 4">
    <vt:lpwstr/>
  </property>
</Properties>
</file>