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2770" windowHeight="10155" activeTab="1"/>
  </bookViews>
  <sheets>
    <sheet name="Parameters" sheetId="1" r:id="rId1"/>
    <sheet name="Data Model" sheetId="2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77" i="1" l="1"/>
  <c r="B68" i="1"/>
  <c r="B66" i="1"/>
  <c r="B65" i="1"/>
  <c r="A73" i="1"/>
  <c r="A71" i="1"/>
  <c r="A72" i="1"/>
  <c r="B58" i="1"/>
  <c r="B49" i="1"/>
  <c r="B64" i="1"/>
  <c r="B61" i="1"/>
  <c r="B59" i="1"/>
  <c r="B51" i="1"/>
  <c r="A54" i="1"/>
  <c r="B45" i="1"/>
  <c r="B46" i="1"/>
  <c r="B57" i="1"/>
  <c r="A57" i="1"/>
  <c r="A61" i="1" l="1"/>
  <c r="A44" i="1" l="1"/>
  <c r="A47" i="1"/>
  <c r="A45" i="1"/>
  <c r="A50" i="1" l="1"/>
  <c r="A52" i="1"/>
  <c r="A53" i="1"/>
  <c r="B53" i="1"/>
  <c r="A49" i="1"/>
  <c r="A48" i="1"/>
  <c r="B48" i="1"/>
  <c r="A67" i="1"/>
  <c r="A66" i="1"/>
  <c r="A65" i="1"/>
  <c r="A63" i="1"/>
  <c r="A62" i="1"/>
  <c r="A60" i="1"/>
  <c r="A59" i="1"/>
  <c r="A56" i="1"/>
  <c r="A55" i="1"/>
  <c r="A46" i="1"/>
  <c r="A51" i="1"/>
  <c r="B34" i="1"/>
  <c r="B30" i="1" l="1"/>
  <c r="B35" i="1" s="1"/>
  <c r="B25" i="1"/>
  <c r="B31" i="1" l="1"/>
  <c r="B36" i="1" s="1"/>
  <c r="B27" i="1"/>
  <c r="B28" i="1" s="1"/>
  <c r="B23" i="1"/>
  <c r="B9" i="1" l="1"/>
  <c r="B14" i="1"/>
  <c r="B5" i="1"/>
  <c r="B6" i="1" s="1"/>
  <c r="B37" i="1" l="1"/>
  <c r="B13" i="1"/>
</calcChain>
</file>

<file path=xl/sharedStrings.xml><?xml version="1.0" encoding="utf-8"?>
<sst xmlns="http://schemas.openxmlformats.org/spreadsheetml/2006/main" count="152" uniqueCount="94">
  <si>
    <t>Ultra High Precision, Ultra Wide Range Time Data Type</t>
  </si>
  <si>
    <t>2 @ 64-bit words:</t>
  </si>
  <si>
    <t xml:space="preserve">    Number of seconds since epoch:</t>
  </si>
  <si>
    <t xml:space="preserve">        Maximum value:</t>
  </si>
  <si>
    <t xml:space="preserve">        Number of years:</t>
  </si>
  <si>
    <t xml:space="preserve">    Number of attoseconds:</t>
  </si>
  <si>
    <t xml:space="preserve">        Attoseconds in a second:</t>
  </si>
  <si>
    <t xml:space="preserve">       Maximum value:</t>
  </si>
  <si>
    <t>Need a leap second table to enable computation of UTC</t>
  </si>
  <si>
    <t>Tai Time</t>
  </si>
  <si>
    <t>Cumulative Adjustment</t>
  </si>
  <si>
    <t>Current Adjustment - either +1 or -1</t>
  </si>
  <si>
    <t xml:space="preserve">        Uncertainty in the age of the universe (seconds):</t>
  </si>
  <si>
    <t>Officially, leap seconds are recorded with UTC month and adjustment, though this is not an efficient way to store the information for calculation purposes.</t>
  </si>
  <si>
    <t xml:space="preserve">        Maximum age of the universe (seconds):</t>
  </si>
  <si>
    <t xml:space="preserve">        Estimated age of the universe (seconds):</t>
  </si>
  <si>
    <t xml:space="preserve">        We need to select a date and time on a specific calendar calendar for alignment</t>
  </si>
  <si>
    <t>Use International Atomic Time (TAI) as the time basis.  This simplifies computations, e.g., the computation of time differences, eliminating the effects of time zones or leap seconds.</t>
  </si>
  <si>
    <t>Calendar alignment:</t>
  </si>
  <si>
    <t xml:space="preserve">          The time at which UTC was aligned with TAI is a convenient time,</t>
  </si>
  <si>
    <t xml:space="preserve">           1 Jan 1972 00:00:10 TAI or 1 Jan 1972 00:00:00 UTC.</t>
  </si>
  <si>
    <t>Julian day count at the alignment instant:</t>
  </si>
  <si>
    <t>Adjusted age of the universe at the alignment instant (seconds):</t>
  </si>
  <si>
    <t>Universal day count at the alignment instant:</t>
  </si>
  <si>
    <t>Desired Universal day count at Julian day epoch</t>
  </si>
  <si>
    <t>BC Year</t>
  </si>
  <si>
    <t>Date within previous year:</t>
  </si>
  <si>
    <t>Time of day in hours on date, given that Julian epoch is at 12h:</t>
  </si>
  <si>
    <t>Number of Julian seconds at the alignment instant:</t>
  </si>
  <si>
    <t>Number of Julian 4 year periods from Big Bang to Julian day epoch:</t>
  </si>
  <si>
    <t>Number of days into the previous 4 year period:</t>
  </si>
  <si>
    <t>Estimated age of the universe in 86400 second days:</t>
  </si>
  <si>
    <t>TAI Ticks</t>
  </si>
  <si>
    <t>Gigaseconds</t>
  </si>
  <si>
    <t>Seconds</t>
  </si>
  <si>
    <t>Nanoseconds</t>
  </si>
  <si>
    <t>Attoseconds</t>
  </si>
  <si>
    <t>32-bit representation</t>
  </si>
  <si>
    <t>32-bits</t>
  </si>
  <si>
    <t>X</t>
  </si>
  <si>
    <t>136 years of seconds</t>
  </si>
  <si>
    <t>64-bits</t>
  </si>
  <si>
    <t>136 years of nanoseconds</t>
  </si>
  <si>
    <t>96-bits</t>
  </si>
  <si>
    <t>128-bits</t>
  </si>
  <si>
    <t>Attoseconds from the Big bang</t>
  </si>
  <si>
    <t>Nanoseconds from the Big bang</t>
  </si>
  <si>
    <t>DateTime</t>
  </si>
  <si>
    <t>Choose an epoch that will include most useful time series data - e.g., 1900</t>
  </si>
  <si>
    <t>Epoch is alignment instant, 1 Jan 1972 00:00:00 UTC, since the starting time for convertible (between UTC and ticks) sub second times</t>
  </si>
  <si>
    <t>Big bang is the epoch</t>
  </si>
  <si>
    <t>Need something to indicate precision, time zone, calendar, DST</t>
  </si>
  <si>
    <t>64-bit representation</t>
  </si>
  <si>
    <t>Seconds from the Big bang</t>
  </si>
  <si>
    <t>Need ability to differentiate future datetimes where we want a specific interval from a past date and where we want a specified datetime.</t>
  </si>
  <si>
    <t>1 BCE is a leap year.  Call this year 0.  Thus n BCE is year -(n-1).  The Julian epoch year is -4712, so it is a leap year.</t>
  </si>
  <si>
    <t>Prior to the Julian epoch year, each 4 year block starts with a leap year.  So, counting backwards into a block, there are 3 non-leap years, then a leap year.</t>
  </si>
  <si>
    <t>3 non-leap years in days:</t>
  </si>
  <si>
    <t>800 years</t>
  </si>
  <si>
    <t>100 gigaseconds + 984320000 seconds</t>
  </si>
  <si>
    <t xml:space="preserve">    The difference between the two cases has to do with the effect of intervening leap seconds.</t>
  </si>
  <si>
    <t>136 Years</t>
  </si>
  <si>
    <t>Milliseconds</t>
  </si>
  <si>
    <t>49 days</t>
  </si>
  <si>
    <t>Full range</t>
  </si>
  <si>
    <t>136,000,000 years</t>
  </si>
  <si>
    <t>Microseconds</t>
  </si>
  <si>
    <t>-</t>
  </si>
  <si>
    <t>136,000 years</t>
  </si>
  <si>
    <t>136 years</t>
  </si>
  <si>
    <t>Picoseconds</t>
  </si>
  <si>
    <t>S</t>
  </si>
  <si>
    <t>G,S</t>
  </si>
  <si>
    <t>Megasec, Millisec</t>
  </si>
  <si>
    <t>Kilosec, microsec</t>
  </si>
  <si>
    <t>Millisec, Picosec</t>
  </si>
  <si>
    <t>Femtoseconds</t>
  </si>
  <si>
    <t>G,S,N</t>
  </si>
  <si>
    <t>S,N</t>
  </si>
  <si>
    <t>Mega, Milli, Pico</t>
  </si>
  <si>
    <t>S,N,A</t>
  </si>
  <si>
    <t>Kilo, micro, femto</t>
  </si>
  <si>
    <t xml:space="preserve"> </t>
  </si>
  <si>
    <t>64-bit no mod</t>
  </si>
  <si>
    <t>96-bits no mod</t>
  </si>
  <si>
    <t>No mod indicates without having to introduce a new tick size - ie, other than gigaseconds, seconds, nanoseconds or attoseconds</t>
  </si>
  <si>
    <t>Can use lowest word flag to indicate number of words used - ie, unmodified - 4 words, +2e9 - 3 words, +3e9 - 2 words.  One word is a special case, since we need the full value.</t>
  </si>
  <si>
    <t>Days</t>
  </si>
  <si>
    <t>Hours</t>
  </si>
  <si>
    <t>Minutes</t>
  </si>
  <si>
    <t>32-bits no mod</t>
  </si>
  <si>
    <t>8166 years</t>
  </si>
  <si>
    <t>490,000 years</t>
  </si>
  <si>
    <t>11,750,000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</si>
</sst>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E+00"/>
    <numFmt numFmtId="165" formatCode="#,##0.00000"/>
    <numFmt numFmtId="166" formatCode="[$-409]d\-mmm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5" fillId="2" borderId="1" applyNumberFormat="0" applyFont="0" applyAlignment="0" applyProtection="0"/>
  </cellStyleXfs>
  <cellXfs count="21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  <xf numFmtId="165" fontId="3" fillId="0" borderId="0" xfId="0" applyNumberFormat="1" applyFont="1" applyAlignment="1">
      <alignment vertical="center"/>
    </xf>
    <xf numFmtId="2" fontId="0" fillId="0" borderId="0" xfId="0" applyNumberFormat="1"/>
    <xf numFmtId="2" fontId="1" fillId="0" borderId="0" xfId="0" applyNumberFormat="1" applyFont="1"/>
    <xf numFmtId="4" fontId="1" fillId="0" borderId="0" xfId="0" applyNumberFormat="1" applyFont="1"/>
    <xf numFmtId="3" fontId="0" fillId="0" borderId="0" xfId="0" applyNumberFormat="1"/>
    <xf numFmtId="14" fontId="0" fillId="0" borderId="0" xfId="0" applyNumberFormat="1"/>
    <xf numFmtId="1" fontId="0" fillId="0" borderId="0" xfId="0" applyNumberFormat="1"/>
    <xf numFmtId="166" fontId="0" fillId="0" borderId="0" xfId="0" applyNumberFormat="1"/>
    <xf numFmtId="4" fontId="3" fillId="0" borderId="0" xfId="0" applyNumberFormat="1" applyFont="1" applyAlignment="1">
      <alignment vertical="center"/>
    </xf>
    <xf numFmtId="4" fontId="0" fillId="0" borderId="0" xfId="0" applyNumberFormat="1"/>
    <xf numFmtId="0" fontId="4" fillId="0" borderId="0" xfId="0" applyFont="1"/>
    <xf numFmtId="1" fontId="2" fillId="0" borderId="0" xfId="0" applyNumberFormat="1" applyFont="1"/>
    <xf numFmtId="1" fontId="1" fillId="0" borderId="0" xfId="0" applyNumberFormat="1" applyFont="1"/>
    <xf numFmtId="1" fontId="0" fillId="0" borderId="0" xfId="0" applyNumberFormat="1" applyFont="1"/>
    <xf numFmtId="1" fontId="3" fillId="0" borderId="0" xfId="0" applyNumberFormat="1" applyFont="1"/>
    <xf numFmtId="0" fontId="0" fillId="2" borderId="1" xfId="1" applyFont="1"/>
    <xf numFmtId="3" fontId="0" fillId="2" borderId="1" xfId="1" applyNumberFormat="1" applyFo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"/>
  <sheetViews>
    <sheetView topLeftCell="A18" workbookViewId="0">
      <selection activeCell="A78" sqref="A78"/>
    </sheetView>
  </sheetViews>
  <sheetFormatPr defaultRowHeight="15" x14ac:dyDescent="0.25"/>
  <cols>
    <col min="1" max="1" width="73.85546875" style="10" customWidth="1"/>
    <col min="2" max="2" width="31.28515625" style="2" customWidth="1"/>
    <col min="4" max="4" width="15.7109375" bestFit="1" customWidth="1"/>
    <col min="6" max="6" width="30.7109375" customWidth="1"/>
    <col min="7" max="7" width="43.5703125" customWidth="1"/>
  </cols>
  <sheetData>
    <row r="1" spans="1:4" ht="15.75" x14ac:dyDescent="0.25">
      <c r="A1" s="15" t="s">
        <v>0</v>
      </c>
    </row>
    <row r="3" spans="1:4" x14ac:dyDescent="0.25">
      <c r="A3" s="10" t="s">
        <v>1</v>
      </c>
    </row>
    <row r="4" spans="1:4" x14ac:dyDescent="0.25">
      <c r="A4" s="16" t="s">
        <v>2</v>
      </c>
    </row>
    <row r="5" spans="1:4" x14ac:dyDescent="0.25">
      <c r="A5" s="10" t="s">
        <v>3</v>
      </c>
      <c r="B5" s="2">
        <f>2^64</f>
        <v>1.8446744073709552E+19</v>
      </c>
    </row>
    <row r="6" spans="1:4" x14ac:dyDescent="0.25">
      <c r="A6" s="10" t="s">
        <v>4</v>
      </c>
      <c r="B6" s="2">
        <f>B5/365.25/86400</f>
        <v>584542046090.62634</v>
      </c>
    </row>
    <row r="7" spans="1:4" x14ac:dyDescent="0.25">
      <c r="A7" s="10" t="s">
        <v>15</v>
      </c>
      <c r="B7" s="2">
        <v>4.354E+17</v>
      </c>
    </row>
    <row r="8" spans="1:4" x14ac:dyDescent="0.25">
      <c r="A8" s="10" t="s">
        <v>12</v>
      </c>
      <c r="B8" s="2">
        <v>1200000000000000</v>
      </c>
      <c r="D8" s="2"/>
    </row>
    <row r="9" spans="1:4" x14ac:dyDescent="0.25">
      <c r="A9" s="10" t="s">
        <v>14</v>
      </c>
      <c r="B9" s="2">
        <f>B7+B8</f>
        <v>4.366E+17</v>
      </c>
    </row>
    <row r="10" spans="1:4" x14ac:dyDescent="0.25">
      <c r="A10" s="16"/>
    </row>
    <row r="12" spans="1:4" x14ac:dyDescent="0.25">
      <c r="A12" s="16" t="s">
        <v>5</v>
      </c>
    </row>
    <row r="13" spans="1:4" x14ac:dyDescent="0.25">
      <c r="A13" s="10" t="s">
        <v>7</v>
      </c>
      <c r="B13" s="2">
        <f>B5</f>
        <v>1.8446744073709552E+19</v>
      </c>
    </row>
    <row r="14" spans="1:4" x14ac:dyDescent="0.25">
      <c r="A14" s="10" t="s">
        <v>6</v>
      </c>
      <c r="B14" s="2">
        <f>1000000000000000000</f>
        <v>1E+18</v>
      </c>
    </row>
    <row r="16" spans="1:4" x14ac:dyDescent="0.25">
      <c r="A16" s="16" t="s">
        <v>17</v>
      </c>
    </row>
    <row r="18" spans="1:7" x14ac:dyDescent="0.25">
      <c r="A18" s="16" t="s">
        <v>18</v>
      </c>
    </row>
    <row r="19" spans="1:7" x14ac:dyDescent="0.25">
      <c r="A19" s="10" t="s">
        <v>16</v>
      </c>
    </row>
    <row r="20" spans="1:7" x14ac:dyDescent="0.25">
      <c r="A20" s="17" t="s">
        <v>19</v>
      </c>
    </row>
    <row r="21" spans="1:7" x14ac:dyDescent="0.25">
      <c r="A21" s="10" t="s">
        <v>20</v>
      </c>
    </row>
    <row r="23" spans="1:7" x14ac:dyDescent="0.25">
      <c r="A23" s="10" t="s">
        <v>31</v>
      </c>
      <c r="B23" s="3">
        <f>B7/86400</f>
        <v>5039351851851.8516</v>
      </c>
    </row>
    <row r="24" spans="1:7" x14ac:dyDescent="0.25">
      <c r="A24" s="10" t="s">
        <v>21</v>
      </c>
      <c r="B24" s="4">
        <v>2444317.5</v>
      </c>
      <c r="D24" s="5"/>
      <c r="G24" s="5"/>
    </row>
    <row r="25" spans="1:7" x14ac:dyDescent="0.25">
      <c r="A25" s="10" t="s">
        <v>28</v>
      </c>
      <c r="B25" s="12">
        <f>B24*86400</f>
        <v>211189032000</v>
      </c>
      <c r="D25" s="5"/>
      <c r="G25" s="5"/>
    </row>
    <row r="26" spans="1:7" x14ac:dyDescent="0.25">
      <c r="A26" s="10" t="s">
        <v>24</v>
      </c>
      <c r="B26" s="13">
        <v>5050000000000</v>
      </c>
      <c r="F26" s="5"/>
    </row>
    <row r="27" spans="1:7" s="1" customFormat="1" x14ac:dyDescent="0.25">
      <c r="A27" s="16" t="s">
        <v>22</v>
      </c>
      <c r="B27" s="7">
        <f>B26*86400+ (B24*86400)</f>
        <v>4.36320211189032E+17</v>
      </c>
      <c r="F27" s="6"/>
    </row>
    <row r="28" spans="1:7" s="1" customFormat="1" x14ac:dyDescent="0.25">
      <c r="A28" s="16" t="s">
        <v>23</v>
      </c>
      <c r="B28" s="7">
        <f>B27/86400</f>
        <v>5050002444317.5</v>
      </c>
    </row>
    <row r="30" spans="1:7" x14ac:dyDescent="0.25">
      <c r="A30" s="10" t="s">
        <v>29</v>
      </c>
      <c r="B30" s="3">
        <f>B26/1461</f>
        <v>3456536618.7542777</v>
      </c>
      <c r="C30" s="9"/>
      <c r="F30" s="3"/>
    </row>
    <row r="31" spans="1:7" x14ac:dyDescent="0.25">
      <c r="A31" s="10" t="s">
        <v>30</v>
      </c>
      <c r="B31" s="3">
        <f>ROUND( (B30-TRUNC(B30)) * 365.25 * 4, 0)</f>
        <v>1102</v>
      </c>
      <c r="C31" s="9">
        <v>41640</v>
      </c>
    </row>
    <row r="32" spans="1:7" x14ac:dyDescent="0.25">
      <c r="A32" s="10" t="s">
        <v>55</v>
      </c>
      <c r="B32" s="3"/>
      <c r="C32" s="9"/>
    </row>
    <row r="33" spans="1:3" x14ac:dyDescent="0.25">
      <c r="A33" s="10" t="s">
        <v>56</v>
      </c>
      <c r="B33" s="3"/>
      <c r="C33" s="9"/>
    </row>
    <row r="34" spans="1:3" x14ac:dyDescent="0.25">
      <c r="A34" s="10" t="s">
        <v>57</v>
      </c>
      <c r="B34" s="3">
        <f>3*365</f>
        <v>1095</v>
      </c>
      <c r="C34" s="9"/>
    </row>
    <row r="35" spans="1:3" x14ac:dyDescent="0.25">
      <c r="A35" s="10" t="s">
        <v>25</v>
      </c>
      <c r="B35" s="8">
        <f>TRUNC(B30)*4+3+4714</f>
        <v>13826151189</v>
      </c>
    </row>
    <row r="36" spans="1:3" x14ac:dyDescent="0.25">
      <c r="A36" s="10" t="s">
        <v>26</v>
      </c>
      <c r="B36" s="11">
        <f>DATE(YEAR(C31), MONTH(C31), DAY(C31) + 0.5 -(B31-B34))</f>
        <v>41633</v>
      </c>
    </row>
    <row r="37" spans="1:3" x14ac:dyDescent="0.25">
      <c r="A37" s="10" t="s">
        <v>27</v>
      </c>
      <c r="B37" s="10">
        <f>IF(B31-TRUNC(B31) &gt; 0.5, 1.5 - (B31 - TRUNC(B31)), 0.5 - (B31 - TRUNC(B31)))*24</f>
        <v>12</v>
      </c>
    </row>
    <row r="40" spans="1:3" x14ac:dyDescent="0.25">
      <c r="A40" s="10" t="s">
        <v>8</v>
      </c>
    </row>
    <row r="41" spans="1:3" x14ac:dyDescent="0.25">
      <c r="A41" s="10" t="s">
        <v>9</v>
      </c>
      <c r="B41" s="2" t="s">
        <v>10</v>
      </c>
      <c r="C41" t="s">
        <v>11</v>
      </c>
    </row>
    <row r="43" spans="1:3" x14ac:dyDescent="0.25">
      <c r="A43" s="10" t="s">
        <v>13</v>
      </c>
    </row>
    <row r="44" spans="1:3" x14ac:dyDescent="0.25">
      <c r="A44" s="10">
        <f>86400*2305448-43200</f>
        <v>199190664000</v>
      </c>
      <c r="B44" s="10"/>
    </row>
    <row r="45" spans="1:3" ht="15.75" x14ac:dyDescent="0.3">
      <c r="A45" s="18">
        <f>2299160*86400</f>
        <v>198647424000</v>
      </c>
      <c r="B45" s="10">
        <f>582763200-488068800</f>
        <v>94694400</v>
      </c>
    </row>
    <row r="46" spans="1:3" x14ac:dyDescent="0.25">
      <c r="A46" s="10">
        <f>(86400*(366+2*365) + 1.422818) / (86400*(366+2*365))*1000000000000000000</f>
        <v>1.0000000150253659E+18</v>
      </c>
      <c r="B46" s="10">
        <f>(2*365+366)*86400</f>
        <v>94694400</v>
      </c>
    </row>
    <row r="47" spans="1:3" x14ac:dyDescent="0.25">
      <c r="A47" s="10">
        <f>9*86400</f>
        <v>777600</v>
      </c>
      <c r="B47" s="10"/>
    </row>
    <row r="48" spans="1:3" x14ac:dyDescent="0.25">
      <c r="A48" s="10">
        <f>86400*1461</f>
        <v>126230400</v>
      </c>
      <c r="B48" s="10">
        <f>8*3+32+32+64+24+128</f>
        <v>304</v>
      </c>
    </row>
    <row r="49" spans="1:5" x14ac:dyDescent="0.25">
      <c r="A49" s="10">
        <f>A48*8</f>
        <v>1009843200</v>
      </c>
      <c r="B49" s="10">
        <f>31536000/86400</f>
        <v>365</v>
      </c>
      <c r="D49" t="s">
        <v>58</v>
      </c>
      <c r="E49" t="s">
        <v>59</v>
      </c>
    </row>
    <row r="50" spans="1:5" x14ac:dyDescent="0.25">
      <c r="A50" s="10">
        <f>A48*250000</f>
        <v>31557600000000</v>
      </c>
      <c r="B50" s="10"/>
    </row>
    <row r="51" spans="1:5" x14ac:dyDescent="0.25">
      <c r="A51" s="10">
        <f>15*(86400*(366+2*365))</f>
        <v>1420416000</v>
      </c>
      <c r="B51" s="10">
        <f>400*365*86400</f>
        <v>12614400000</v>
      </c>
    </row>
    <row r="52" spans="1:5" x14ac:dyDescent="0.25">
      <c r="A52" s="10">
        <f>1461*86400</f>
        <v>126230400</v>
      </c>
      <c r="B52" s="10"/>
    </row>
    <row r="53" spans="1:5" x14ac:dyDescent="0.25">
      <c r="A53" s="10">
        <f>A48*2500000</f>
        <v>315576000000000</v>
      </c>
      <c r="B53" s="10">
        <f>A53</f>
        <v>315576000000000</v>
      </c>
    </row>
    <row r="54" spans="1:5" x14ac:dyDescent="0.25">
      <c r="A54" s="10">
        <f>929832010-582763200</f>
        <v>347068810</v>
      </c>
      <c r="B54" s="10"/>
    </row>
    <row r="55" spans="1:5" x14ac:dyDescent="0.25">
      <c r="A55" s="10">
        <f>(86400000000*(366+2*365)+1422818)</f>
        <v>94694401422818</v>
      </c>
      <c r="B55" s="10"/>
    </row>
    <row r="56" spans="1:5" x14ac:dyDescent="0.25">
      <c r="A56" s="10">
        <f>86400000000*(366+2*365)</f>
        <v>94694400000000</v>
      </c>
      <c r="B56" s="10"/>
    </row>
    <row r="57" spans="1:5" x14ac:dyDescent="0.25">
      <c r="A57" s="10">
        <f>(9*365+2*366)*86400</f>
        <v>347068800</v>
      </c>
      <c r="B57" s="10">
        <f>A54-A57</f>
        <v>10</v>
      </c>
    </row>
    <row r="58" spans="1:5" x14ac:dyDescent="0.25">
      <c r="A58" s="10">
        <v>1.422818E+18</v>
      </c>
      <c r="B58" s="8">
        <f>(76*365+24*366)*86400</f>
        <v>3155673600</v>
      </c>
    </row>
    <row r="59" spans="1:5" x14ac:dyDescent="0.25">
      <c r="A59" s="10">
        <f>86400*(366+2*365)</f>
        <v>94694400</v>
      </c>
      <c r="B59" s="10">
        <f>(300*365+100*366)*86400</f>
        <v>12623040000</v>
      </c>
    </row>
    <row r="60" spans="1:5" x14ac:dyDescent="0.25">
      <c r="A60" s="10">
        <f>A58/A59</f>
        <v>15025365808.326574</v>
      </c>
      <c r="B60" s="10"/>
    </row>
    <row r="61" spans="1:5" x14ac:dyDescent="0.25">
      <c r="A61" s="10">
        <f>488068800+(9*365+2*366)*86400</f>
        <v>835137600</v>
      </c>
      <c r="B61" s="10">
        <f>365.2425*86400</f>
        <v>31556952</v>
      </c>
    </row>
    <row r="62" spans="1:5" x14ac:dyDescent="0.25">
      <c r="A62" s="10">
        <f>94694400*15025365808</f>
        <v>1.4228179999690752E+18</v>
      </c>
      <c r="B62" s="10"/>
    </row>
    <row r="63" spans="1:5" x14ac:dyDescent="0.25">
      <c r="A63" s="10">
        <f>(A60+1)*A59</f>
        <v>1.4228180000946944E+18</v>
      </c>
      <c r="B63" s="10"/>
    </row>
    <row r="64" spans="1:5" x14ac:dyDescent="0.25">
      <c r="A64" s="10">
        <v>8.577182E+18</v>
      </c>
      <c r="B64" s="10">
        <f>365.25*86400</f>
        <v>31557600</v>
      </c>
    </row>
    <row r="65" spans="1:2" x14ac:dyDescent="0.25">
      <c r="A65" s="10">
        <f>86400*(2*366+9*365)</f>
        <v>347068800</v>
      </c>
      <c r="B65" s="10">
        <f>365*86400</f>
        <v>31536000</v>
      </c>
    </row>
    <row r="66" spans="1:2" x14ac:dyDescent="0.25">
      <c r="A66" s="10">
        <f>A64/A65</f>
        <v>24713203837.394775</v>
      </c>
      <c r="B66" s="10">
        <f>6*86400+43200</f>
        <v>561600</v>
      </c>
    </row>
    <row r="67" spans="1:2" x14ac:dyDescent="0.25">
      <c r="A67" s="10">
        <f>A65*A66</f>
        <v>8.577182E+18</v>
      </c>
    </row>
    <row r="68" spans="1:2" x14ac:dyDescent="0.25">
      <c r="B68" s="8">
        <f>1000000000-43200</f>
        <v>999956800</v>
      </c>
    </row>
    <row r="69" spans="1:2" x14ac:dyDescent="0.25">
      <c r="A69" s="10">
        <v>436320224</v>
      </c>
      <c r="B69" s="8"/>
    </row>
    <row r="70" spans="1:2" x14ac:dyDescent="0.25">
      <c r="A70" s="10">
        <v>436225636</v>
      </c>
      <c r="B70" s="8"/>
    </row>
    <row r="71" spans="1:2" x14ac:dyDescent="0.25">
      <c r="A71" s="10">
        <f>31556952*12</f>
        <v>378683424</v>
      </c>
      <c r="B71" s="8"/>
    </row>
    <row r="72" spans="1:2" x14ac:dyDescent="0.25">
      <c r="A72" s="10">
        <f>A69+A71</f>
        <v>815003648</v>
      </c>
      <c r="B72" s="8"/>
    </row>
    <row r="73" spans="1:2" x14ac:dyDescent="0.25">
      <c r="A73" s="10">
        <f>1461*86400</f>
        <v>126230400</v>
      </c>
      <c r="B73" s="8"/>
    </row>
    <row r="74" spans="1:2" x14ac:dyDescent="0.25">
      <c r="B74" s="8"/>
    </row>
    <row r="75" spans="1:2" x14ac:dyDescent="0.25">
      <c r="A75" s="10">
        <v>826151188</v>
      </c>
      <c r="B75" s="8"/>
    </row>
    <row r="76" spans="1:2" x14ac:dyDescent="0.25">
      <c r="A76" s="10">
        <v>4713</v>
      </c>
      <c r="B76" s="8"/>
    </row>
    <row r="77" spans="1:2" x14ac:dyDescent="0.25">
      <c r="A77" s="10">
        <f>A75-A76</f>
        <v>826146475</v>
      </c>
      <c r="B77" s="8"/>
    </row>
    <row r="78" spans="1:2" x14ac:dyDescent="0.25">
      <c r="B78" s="8"/>
    </row>
    <row r="79" spans="1:2" x14ac:dyDescent="0.25">
      <c r="B79" s="8"/>
    </row>
    <row r="80" spans="1:2" x14ac:dyDescent="0.25">
      <c r="B80" s="8"/>
    </row>
    <row r="81" spans="2:2" x14ac:dyDescent="0.25">
      <c r="B81" s="8"/>
    </row>
    <row r="82" spans="2:2" x14ac:dyDescent="0.25">
      <c r="B82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tabSelected="1" workbookViewId="0">
      <selection activeCell="E20" sqref="E20"/>
    </sheetView>
  </sheetViews>
  <sheetFormatPr defaultRowHeight="15" x14ac:dyDescent="0.25"/>
  <cols>
    <col min="1" max="7" width="19.7109375" customWidth="1"/>
    <col min="8" max="9" width="14.140625" customWidth="1"/>
    <col min="10" max="11" width="20" customWidth="1"/>
    <col min="12" max="13" width="14.7109375" customWidth="1"/>
    <col min="14" max="14" width="12" customWidth="1"/>
    <col min="15" max="15" width="16.28515625" customWidth="1"/>
    <col min="16" max="16" width="34.140625" customWidth="1"/>
    <col min="17" max="17" width="15.140625" customWidth="1"/>
    <col min="18" max="18" width="15.85546875" customWidth="1"/>
    <col min="19" max="19" width="19.5703125" customWidth="1"/>
    <col min="20" max="20" width="16.28515625" customWidth="1"/>
    <col min="21" max="21" width="9.140625" customWidth="1"/>
  </cols>
  <sheetData>
    <row r="1" spans="1:20" ht="18.75" x14ac:dyDescent="0.3">
      <c r="A1" s="14" t="s">
        <v>32</v>
      </c>
      <c r="B1" s="14"/>
      <c r="C1" s="14"/>
      <c r="D1" s="14"/>
      <c r="E1" s="14"/>
      <c r="F1" s="14"/>
      <c r="G1" s="14"/>
    </row>
    <row r="2" spans="1:20" x14ac:dyDescent="0.25">
      <c r="A2" t="s">
        <v>37</v>
      </c>
      <c r="H2" t="s">
        <v>33</v>
      </c>
      <c r="J2" t="s">
        <v>34</v>
      </c>
      <c r="L2" t="s">
        <v>35</v>
      </c>
      <c r="N2" t="s">
        <v>36</v>
      </c>
    </row>
    <row r="3" spans="1:20" x14ac:dyDescent="0.25">
      <c r="A3" t="s">
        <v>38</v>
      </c>
      <c r="J3" t="s">
        <v>39</v>
      </c>
      <c r="P3" t="s">
        <v>40</v>
      </c>
      <c r="Q3" t="s">
        <v>48</v>
      </c>
    </row>
    <row r="4" spans="1:20" x14ac:dyDescent="0.25">
      <c r="A4" t="s">
        <v>41</v>
      </c>
      <c r="J4" t="s">
        <v>39</v>
      </c>
      <c r="L4" t="s">
        <v>39</v>
      </c>
      <c r="P4" t="s">
        <v>42</v>
      </c>
      <c r="Q4" t="s">
        <v>49</v>
      </c>
    </row>
    <row r="5" spans="1:20" x14ac:dyDescent="0.25">
      <c r="A5" t="s">
        <v>43</v>
      </c>
      <c r="H5" t="s">
        <v>39</v>
      </c>
      <c r="J5" t="s">
        <v>39</v>
      </c>
      <c r="L5" t="s">
        <v>39</v>
      </c>
      <c r="P5" t="s">
        <v>46</v>
      </c>
      <c r="Q5" t="s">
        <v>50</v>
      </c>
    </row>
    <row r="6" spans="1:20" x14ac:dyDescent="0.25">
      <c r="A6" t="s">
        <v>44</v>
      </c>
      <c r="H6" t="s">
        <v>39</v>
      </c>
      <c r="J6" t="s">
        <v>39</v>
      </c>
      <c r="L6" t="s">
        <v>39</v>
      </c>
      <c r="N6" t="s">
        <v>39</v>
      </c>
      <c r="P6" t="s">
        <v>45</v>
      </c>
    </row>
    <row r="8" spans="1:20" x14ac:dyDescent="0.25">
      <c r="A8" t="s">
        <v>52</v>
      </c>
      <c r="H8" t="s">
        <v>34</v>
      </c>
      <c r="J8" t="s">
        <v>36</v>
      </c>
    </row>
    <row r="9" spans="1:20" x14ac:dyDescent="0.25">
      <c r="A9" t="s">
        <v>41</v>
      </c>
      <c r="H9" t="s">
        <v>39</v>
      </c>
      <c r="P9" t="s">
        <v>53</v>
      </c>
    </row>
    <row r="10" spans="1:20" x14ac:dyDescent="0.25">
      <c r="A10" t="s">
        <v>44</v>
      </c>
      <c r="H10" t="s">
        <v>39</v>
      </c>
      <c r="J10" t="s">
        <v>39</v>
      </c>
      <c r="P10" t="s">
        <v>45</v>
      </c>
    </row>
    <row r="12" spans="1:20" ht="18.75" x14ac:dyDescent="0.3">
      <c r="A12" s="14" t="s">
        <v>47</v>
      </c>
      <c r="B12" s="14"/>
      <c r="C12" s="14"/>
      <c r="D12" s="14"/>
      <c r="E12" s="14"/>
      <c r="F12" s="14"/>
      <c r="G12" s="14"/>
    </row>
    <row r="13" spans="1:20" x14ac:dyDescent="0.25">
      <c r="A13" t="s">
        <v>51</v>
      </c>
    </row>
    <row r="14" spans="1:20" x14ac:dyDescent="0.25">
      <c r="A14" t="s">
        <v>54</v>
      </c>
    </row>
    <row r="15" spans="1:20" x14ac:dyDescent="0.25">
      <c r="A15" t="s">
        <v>60</v>
      </c>
    </row>
    <row r="16" spans="1:20" x14ac:dyDescent="0.25">
      <c r="B16" t="s">
        <v>87</v>
      </c>
      <c r="D16" t="s">
        <v>88</v>
      </c>
      <c r="F16" t="s">
        <v>89</v>
      </c>
      <c r="H16" t="s">
        <v>34</v>
      </c>
      <c r="J16" t="s">
        <v>62</v>
      </c>
      <c r="L16" t="s">
        <v>66</v>
      </c>
      <c r="N16" t="s">
        <v>35</v>
      </c>
      <c r="P16" t="s">
        <v>70</v>
      </c>
      <c r="R16" t="s">
        <v>76</v>
      </c>
      <c r="T16" t="s">
        <v>36</v>
      </c>
    </row>
    <row r="17" spans="1:21" x14ac:dyDescent="0.25">
      <c r="A17" t="s">
        <v>38</v>
      </c>
      <c r="B17" t="s">
        <v>93</v>
      </c>
      <c r="C17" t="s">
        <v>87</v>
      </c>
      <c r="D17" t="s">
        <v>92</v>
      </c>
      <c r="E17" t="s">
        <v>88</v>
      </c>
      <c r="F17" t="s">
        <v>91</v>
      </c>
      <c r="G17" t="s">
        <v>89</v>
      </c>
      <c r="H17" s="19" t="s">
        <v>61</v>
      </c>
      <c r="I17" s="19" t="s">
        <v>71</v>
      </c>
      <c r="J17" t="s">
        <v>63</v>
      </c>
      <c r="K17" t="s">
        <v>62</v>
      </c>
      <c r="L17" t="s">
        <v>67</v>
      </c>
    </row>
    <row r="18" spans="1:21" x14ac:dyDescent="0.25">
      <c r="A18" t="s">
        <v>90</v>
      </c>
      <c r="B18" s="19" t="s">
        <v>61</v>
      </c>
      <c r="C18" s="19" t="s">
        <v>71</v>
      </c>
      <c r="D18" s="19" t="s">
        <v>69</v>
      </c>
      <c r="E18" s="19" t="s">
        <v>71</v>
      </c>
      <c r="F18" s="19" t="s">
        <v>69</v>
      </c>
      <c r="G18" s="19" t="s">
        <v>71</v>
      </c>
    </row>
    <row r="19" spans="1:21" x14ac:dyDescent="0.25">
      <c r="A19" t="s">
        <v>41</v>
      </c>
      <c r="H19" s="19" t="s">
        <v>64</v>
      </c>
      <c r="I19" s="19" t="s">
        <v>72</v>
      </c>
      <c r="J19" t="s">
        <v>65</v>
      </c>
      <c r="K19" t="s">
        <v>73</v>
      </c>
      <c r="L19" t="s">
        <v>68</v>
      </c>
      <c r="M19" t="s">
        <v>74</v>
      </c>
      <c r="N19" s="19" t="s">
        <v>69</v>
      </c>
      <c r="O19" s="19" t="s">
        <v>78</v>
      </c>
      <c r="P19" t="s">
        <v>63</v>
      </c>
      <c r="Q19" t="s">
        <v>75</v>
      </c>
    </row>
    <row r="20" spans="1:21" x14ac:dyDescent="0.25">
      <c r="A20" t="s">
        <v>83</v>
      </c>
      <c r="J20" t="s">
        <v>69</v>
      </c>
      <c r="K20" t="s">
        <v>78</v>
      </c>
      <c r="L20" t="s">
        <v>69</v>
      </c>
      <c r="M20" t="s">
        <v>78</v>
      </c>
    </row>
    <row r="21" spans="1:21" x14ac:dyDescent="0.25">
      <c r="A21" t="s">
        <v>43</v>
      </c>
      <c r="J21" s="19" t="s">
        <v>64</v>
      </c>
      <c r="K21" s="19" t="s">
        <v>77</v>
      </c>
      <c r="L21" s="19" t="s">
        <v>64</v>
      </c>
      <c r="M21" s="19" t="s">
        <v>77</v>
      </c>
      <c r="N21" s="19" t="s">
        <v>64</v>
      </c>
      <c r="O21" s="19" t="s">
        <v>77</v>
      </c>
      <c r="P21" t="s">
        <v>65</v>
      </c>
      <c r="Q21" t="s">
        <v>79</v>
      </c>
      <c r="R21" s="8" t="s">
        <v>68</v>
      </c>
      <c r="S21" t="s">
        <v>81</v>
      </c>
      <c r="T21" s="19" t="s">
        <v>69</v>
      </c>
      <c r="U21" s="19" t="s">
        <v>80</v>
      </c>
    </row>
    <row r="22" spans="1:21" x14ac:dyDescent="0.25">
      <c r="A22" t="s">
        <v>84</v>
      </c>
      <c r="P22" s="19" t="s">
        <v>69</v>
      </c>
      <c r="Q22" s="19" t="s">
        <v>80</v>
      </c>
      <c r="R22" s="20" t="s">
        <v>69</v>
      </c>
      <c r="S22" s="19" t="s">
        <v>80</v>
      </c>
      <c r="T22" s="19"/>
      <c r="U22" s="19"/>
    </row>
    <row r="23" spans="1:21" x14ac:dyDescent="0.25">
      <c r="A23" t="s">
        <v>44</v>
      </c>
      <c r="H23" s="19" t="s">
        <v>64</v>
      </c>
      <c r="I23" s="19"/>
      <c r="J23" s="19" t="s">
        <v>64</v>
      </c>
      <c r="K23" s="19"/>
      <c r="L23" s="19" t="s">
        <v>64</v>
      </c>
      <c r="M23" s="19"/>
      <c r="N23" s="19" t="s">
        <v>64</v>
      </c>
      <c r="O23" s="19"/>
      <c r="P23" s="19" t="s">
        <v>64</v>
      </c>
      <c r="Q23" s="19"/>
      <c r="R23" s="19" t="s">
        <v>64</v>
      </c>
      <c r="S23" s="19" t="s">
        <v>82</v>
      </c>
      <c r="T23" s="19" t="s">
        <v>64</v>
      </c>
    </row>
    <row r="26" spans="1:21" x14ac:dyDescent="0.25">
      <c r="A26" t="s">
        <v>85</v>
      </c>
    </row>
    <row r="27" spans="1:21" x14ac:dyDescent="0.25">
      <c r="A27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Data 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S. Dweck</dc:creator>
  <cp:lastModifiedBy>Jay</cp:lastModifiedBy>
  <dcterms:created xsi:type="dcterms:W3CDTF">2014-12-02T01:23:42Z</dcterms:created>
  <dcterms:modified xsi:type="dcterms:W3CDTF">2015-02-24T16:39:41Z</dcterms:modified>
</cp:coreProperties>
</file>