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Kumar Jain\Dropbox\My PC (LAPTOP-ES6563PO)\Desktop\SkilloVilla\Drone Delivery\"/>
    </mc:Choice>
  </mc:AlternateContent>
  <xr:revisionPtr revIDLastSave="0" documentId="13_ncr:1_{82EB270C-E087-4CB7-B1E6-3087061736A5}" xr6:coauthVersionLast="47" xr6:coauthVersionMax="47" xr10:uidLastSave="{00000000-0000-0000-0000-000000000000}"/>
  <bookViews>
    <workbookView xWindow="-108" yWindow="-108" windowWidth="23256" windowHeight="12456" xr2:uid="{2F56444A-443C-4F68-ABF5-2512E471B3C6}"/>
  </bookViews>
  <sheets>
    <sheet name="Land Delivery" sheetId="4" r:id="rId1"/>
    <sheet name="Drone" sheetId="3" r:id="rId2"/>
    <sheet name="Cost Analysis" sheetId="2" r:id="rId3"/>
    <sheet name="Sheet1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3" l="1"/>
  <c r="I20" i="3"/>
  <c r="I18" i="3"/>
  <c r="I16" i="3"/>
  <c r="E10" i="3"/>
  <c r="E9" i="3"/>
  <c r="D6" i="3"/>
  <c r="E6" i="3" s="1"/>
  <c r="D5" i="3"/>
  <c r="E5" i="3" s="1"/>
  <c r="H6" i="3"/>
  <c r="I6" i="3" s="1"/>
  <c r="I7" i="3" s="1"/>
  <c r="I11" i="3" s="1"/>
  <c r="I13" i="3" s="1"/>
  <c r="Q10" i="4"/>
  <c r="R8" i="4"/>
  <c r="S8" i="4" s="1"/>
  <c r="T8" i="4" s="1"/>
  <c r="U8" i="4" s="1"/>
  <c r="R7" i="4"/>
  <c r="S7" i="4" s="1"/>
  <c r="T7" i="4" s="1"/>
  <c r="U7" i="4" s="1"/>
  <c r="R6" i="4"/>
  <c r="S6" i="4" s="1"/>
  <c r="T6" i="4" s="1"/>
  <c r="U6" i="4" s="1"/>
  <c r="S5" i="4"/>
  <c r="T5" i="4" s="1"/>
  <c r="U5" i="4" s="1"/>
  <c r="R5" i="4"/>
  <c r="K15" i="4"/>
  <c r="H5" i="4"/>
  <c r="D10" i="4"/>
  <c r="D8" i="4"/>
  <c r="D9" i="4"/>
  <c r="C9" i="4"/>
  <c r="C8" i="4"/>
  <c r="J15" i="4" s="1"/>
  <c r="Q5" i="4"/>
  <c r="P5" i="4"/>
  <c r="O5" i="4"/>
  <c r="N5" i="4"/>
  <c r="M5" i="4"/>
  <c r="L5" i="4"/>
  <c r="K5" i="4"/>
  <c r="J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K16" i="4" s="1"/>
  <c r="L8" i="4"/>
  <c r="M8" i="4"/>
  <c r="M16" i="4" s="1"/>
  <c r="N8" i="4"/>
  <c r="N16" i="4" s="1"/>
  <c r="O8" i="4"/>
  <c r="P8" i="4"/>
  <c r="Q8" i="4"/>
  <c r="J16" i="4"/>
  <c r="I8" i="4"/>
  <c r="I16" i="4" s="1"/>
  <c r="I7" i="4"/>
  <c r="I6" i="4"/>
  <c r="I5" i="4"/>
  <c r="H16" i="4"/>
  <c r="H8" i="4"/>
  <c r="H7" i="4"/>
  <c r="H6" i="4"/>
  <c r="C25" i="4"/>
  <c r="B25" i="4"/>
  <c r="D24" i="4"/>
  <c r="D23" i="4"/>
  <c r="D22" i="4"/>
  <c r="D21" i="4"/>
  <c r="D20" i="4"/>
  <c r="D19" i="4"/>
  <c r="D33" i="4"/>
  <c r="C33" i="4"/>
  <c r="B33" i="4"/>
  <c r="D18" i="4"/>
  <c r="F32" i="4"/>
  <c r="G32" i="4" s="1"/>
  <c r="H32" i="4" s="1"/>
  <c r="D17" i="4"/>
  <c r="E31" i="4"/>
  <c r="E33" i="4" s="1"/>
  <c r="D16" i="4"/>
  <c r="E30" i="4"/>
  <c r="F30" i="4" s="1"/>
  <c r="G30" i="4" s="1"/>
  <c r="H30" i="4" s="1"/>
  <c r="D15" i="4"/>
  <c r="J9" i="1"/>
  <c r="J8" i="1"/>
  <c r="J7" i="1"/>
  <c r="K6" i="1"/>
  <c r="K5" i="1"/>
  <c r="I9" i="1"/>
  <c r="I8" i="1"/>
  <c r="I7" i="1"/>
  <c r="I6" i="1"/>
  <c r="I5" i="1"/>
  <c r="I4" i="1"/>
  <c r="K4" i="1"/>
  <c r="K3" i="1"/>
  <c r="D22" i="2"/>
  <c r="D21" i="2"/>
  <c r="D20" i="2"/>
  <c r="D19" i="2"/>
  <c r="D18" i="2"/>
  <c r="D17" i="2"/>
  <c r="D16" i="2"/>
  <c r="D15" i="2"/>
  <c r="D14" i="2"/>
  <c r="H9" i="2"/>
  <c r="H8" i="2"/>
  <c r="H10" i="2" s="1"/>
  <c r="G9" i="2"/>
  <c r="G8" i="2"/>
  <c r="H7" i="3" l="1"/>
  <c r="C11" i="3" s="1"/>
  <c r="U16" i="4"/>
  <c r="S16" i="4"/>
  <c r="R16" i="4"/>
  <c r="U15" i="4"/>
  <c r="R15" i="4"/>
  <c r="T15" i="4"/>
  <c r="S15" i="4"/>
  <c r="O16" i="4"/>
  <c r="L16" i="4"/>
  <c r="Q16" i="4"/>
  <c r="P16" i="4"/>
  <c r="I15" i="4"/>
  <c r="Q15" i="4"/>
  <c r="L15" i="4"/>
  <c r="M15" i="4"/>
  <c r="O15" i="4"/>
  <c r="H15" i="4"/>
  <c r="N15" i="4"/>
  <c r="P15" i="4"/>
  <c r="K9" i="4"/>
  <c r="O9" i="4"/>
  <c r="N9" i="4"/>
  <c r="M9" i="4"/>
  <c r="L9" i="4"/>
  <c r="F31" i="4"/>
  <c r="G31" i="4" s="1"/>
  <c r="H31" i="4" s="1"/>
  <c r="I9" i="4"/>
  <c r="Q9" i="4"/>
  <c r="P9" i="4"/>
  <c r="J9" i="4"/>
  <c r="T9" i="4"/>
  <c r="D25" i="4"/>
  <c r="R9" i="4"/>
  <c r="C10" i="4"/>
  <c r="H11" i="3" l="1"/>
  <c r="E11" i="3"/>
  <c r="E14" i="3" s="1"/>
  <c r="E16" i="3" s="1"/>
  <c r="T16" i="4"/>
  <c r="U9" i="4"/>
  <c r="F33" i="4"/>
  <c r="G33" i="4"/>
  <c r="S9" i="4"/>
  <c r="H33" i="4"/>
</calcChain>
</file>

<file path=xl/sharedStrings.xml><?xml version="1.0" encoding="utf-8"?>
<sst xmlns="http://schemas.openxmlformats.org/spreadsheetml/2006/main" count="129" uniqueCount="80">
  <si>
    <t>FY20</t>
  </si>
  <si>
    <t>FY21</t>
  </si>
  <si>
    <t>FY22</t>
  </si>
  <si>
    <t>FY23E</t>
  </si>
  <si>
    <t>FY24E</t>
  </si>
  <si>
    <t>FY25E</t>
  </si>
  <si>
    <t>Year</t>
  </si>
  <si>
    <t>Market Size (USD b)</t>
  </si>
  <si>
    <t>FY19</t>
  </si>
  <si>
    <t>Cost Analysis</t>
  </si>
  <si>
    <t>Cost of drone</t>
  </si>
  <si>
    <t>Battery</t>
  </si>
  <si>
    <t>Maintenance cost/month</t>
  </si>
  <si>
    <t>Delivery Partner</t>
  </si>
  <si>
    <t>Fixed</t>
  </si>
  <si>
    <t>Variable (per order)</t>
  </si>
  <si>
    <t>Delivery/month</t>
  </si>
  <si>
    <t>Min</t>
  </si>
  <si>
    <t>Max</t>
  </si>
  <si>
    <t>Revenue/order</t>
  </si>
  <si>
    <t>FY</t>
  </si>
  <si>
    <t>Avg monthly order</t>
  </si>
  <si>
    <t>KMs</t>
  </si>
  <si>
    <t>&lt;=3</t>
  </si>
  <si>
    <t xml:space="preserve">Distribution </t>
  </si>
  <si>
    <t>Days</t>
  </si>
  <si>
    <t>Mon</t>
  </si>
  <si>
    <t>Tue</t>
  </si>
  <si>
    <t>Wed</t>
  </si>
  <si>
    <t>Thu</t>
  </si>
  <si>
    <t>Fri</t>
  </si>
  <si>
    <t>Sat</t>
  </si>
  <si>
    <t>Sun</t>
  </si>
  <si>
    <t>Avg yearly order</t>
  </si>
  <si>
    <t xml:space="preserve">15-25% comission on total bill inclusive of taxes from resturants </t>
  </si>
  <si>
    <t>Battery (3 month)</t>
  </si>
  <si>
    <t>Remote pilot licence fee</t>
  </si>
  <si>
    <t>CAGR</t>
  </si>
  <si>
    <t>2023E</t>
  </si>
  <si>
    <t>2024E</t>
  </si>
  <si>
    <t>2025E</t>
  </si>
  <si>
    <t>2026E</t>
  </si>
  <si>
    <t>Order/year</t>
  </si>
  <si>
    <t>-</t>
  </si>
  <si>
    <t>YoY growth</t>
  </si>
  <si>
    <t>Revenue Yearly</t>
  </si>
  <si>
    <t>Assumption:</t>
  </si>
  <si>
    <t>Delivery fleet</t>
  </si>
  <si>
    <t>Growth Rate</t>
  </si>
  <si>
    <t>1. Growth rate remains same as CAGR for next 3 years. Post that it start to decline to grow at a constant rate.</t>
  </si>
  <si>
    <t>2. Growth rate for revenue per order remains same as CAGR i.e. 5%</t>
  </si>
  <si>
    <t>Company Stats</t>
  </si>
  <si>
    <t>New Variable Cost</t>
  </si>
  <si>
    <t>Monthly Payout - Delivery Partner</t>
  </si>
  <si>
    <t>Forecast</t>
  </si>
  <si>
    <t>Yearly Cost</t>
  </si>
  <si>
    <t>Delivery in an hour</t>
  </si>
  <si>
    <t>Operating hours</t>
  </si>
  <si>
    <t>No. of drone to be deployed</t>
  </si>
  <si>
    <t>Orders fulfilled in a day</t>
  </si>
  <si>
    <t>monthly orders</t>
  </si>
  <si>
    <t>Min order value</t>
  </si>
  <si>
    <t>Daily</t>
  </si>
  <si>
    <t>Monthly</t>
  </si>
  <si>
    <t>Revenue</t>
  </si>
  <si>
    <t>Fixed Cost</t>
  </si>
  <si>
    <t>Variable</t>
  </si>
  <si>
    <t>Variable Cost</t>
  </si>
  <si>
    <t>2. Pilot licence validity - 10 Yrs</t>
  </si>
  <si>
    <t>1. Life of a drone - 2 Yrs</t>
  </si>
  <si>
    <t xml:space="preserve">Assumptions: </t>
  </si>
  <si>
    <t>3. Working days as 28, two days for monthly maintenance</t>
  </si>
  <si>
    <t xml:space="preserve">Yearly Revenue </t>
  </si>
  <si>
    <t>Total Expense</t>
  </si>
  <si>
    <t>Cost / Drone</t>
  </si>
  <si>
    <t>4. Operating month - 9, excluding 3 months as rainy season</t>
  </si>
  <si>
    <t>Misc.</t>
  </si>
  <si>
    <t>Salary</t>
  </si>
  <si>
    <t>Deficit</t>
  </si>
  <si>
    <t>Monthly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</si>
</sst>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0\ &quot;m&quot;\ "/>
    <numFmt numFmtId="166" formatCode="0\ &quot;m&quot;\ "/>
    <numFmt numFmtId="167" formatCode="_ * #,##0.0_ ;_ * \-#,##0.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0" xfId="0" applyNumberFormat="1"/>
    <xf numFmtId="166" fontId="0" fillId="0" borderId="1" xfId="0" applyNumberFormat="1" applyBorder="1" applyAlignment="1">
      <alignment horizontal="center"/>
    </xf>
    <xf numFmtId="9" fontId="0" fillId="0" borderId="0" xfId="2" applyFont="1"/>
    <xf numFmtId="0" fontId="2" fillId="0" borderId="1" xfId="0" applyFont="1" applyBorder="1"/>
    <xf numFmtId="9" fontId="2" fillId="0" borderId="1" xfId="2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4" fontId="2" fillId="0" borderId="0" xfId="0" applyNumberFormat="1" applyFont="1"/>
    <xf numFmtId="0" fontId="0" fillId="0" borderId="1" xfId="0" applyBorder="1"/>
    <xf numFmtId="1" fontId="0" fillId="0" borderId="1" xfId="0" applyNumberFormat="1" applyBorder="1"/>
    <xf numFmtId="9" fontId="0" fillId="0" borderId="0" xfId="2" applyFont="1" applyFill="1" applyBorder="1"/>
    <xf numFmtId="9" fontId="2" fillId="0" borderId="1" xfId="2" applyFont="1" applyFill="1" applyBorder="1"/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/>
    <xf numFmtId="9" fontId="2" fillId="2" borderId="1" xfId="2" applyFont="1" applyFill="1" applyBorder="1"/>
    <xf numFmtId="0" fontId="2" fillId="3" borderId="1" xfId="0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0" fillId="0" borderId="1" xfId="0" applyNumberFormat="1" applyBorder="1"/>
    <xf numFmtId="0" fontId="2" fillId="4" borderId="1" xfId="0" applyFont="1" applyFill="1" applyBorder="1"/>
    <xf numFmtId="0" fontId="2" fillId="3" borderId="1" xfId="0" applyFont="1" applyFill="1" applyBorder="1" applyAlignment="1">
      <alignment horizontal="center"/>
    </xf>
    <xf numFmtId="9" fontId="2" fillId="0" borderId="0" xfId="2" applyFont="1"/>
    <xf numFmtId="164" fontId="2" fillId="0" borderId="3" xfId="0" applyNumberFormat="1" applyFont="1" applyBorder="1"/>
    <xf numFmtId="0" fontId="3" fillId="0" borderId="0" xfId="0" applyFont="1"/>
    <xf numFmtId="0" fontId="2" fillId="0" borderId="4" xfId="0" applyFont="1" applyBorder="1"/>
    <xf numFmtId="164" fontId="2" fillId="0" borderId="4" xfId="0" applyNumberFormat="1" applyFont="1" applyBorder="1"/>
    <xf numFmtId="167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Market Size (USD b)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FY23E</c:v>
                </c:pt>
                <c:pt idx="4">
                  <c:v>FY24E</c:v>
                </c:pt>
                <c:pt idx="5">
                  <c:v>FY25E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3.2</c:v>
                </c:pt>
                <c:pt idx="1">
                  <c:v>2.2999999999999998</c:v>
                </c:pt>
                <c:pt idx="2">
                  <c:v>5.0999999999999996</c:v>
                </c:pt>
                <c:pt idx="3">
                  <c:v>6.2</c:v>
                </c:pt>
                <c:pt idx="4">
                  <c:v>7.2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F-41D3-AEF4-FA756D525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5"/>
        <c:axId val="343062015"/>
        <c:axId val="343062847"/>
      </c:barChart>
      <c:catAx>
        <c:axId val="34306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2847"/>
        <c:crosses val="autoZero"/>
        <c:auto val="1"/>
        <c:lblAlgn val="ctr"/>
        <c:lblOffset val="100"/>
        <c:noMultiLvlLbl val="0"/>
      </c:catAx>
      <c:valAx>
        <c:axId val="343062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06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Sheet1!$G$3:$G$9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FY23E</c:v>
                </c:pt>
                <c:pt idx="5">
                  <c:v>FY24E</c:v>
                </c:pt>
                <c:pt idx="6">
                  <c:v>FY25E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191</c:v>
                </c:pt>
                <c:pt idx="1">
                  <c:v>403</c:v>
                </c:pt>
                <c:pt idx="2">
                  <c:v>239</c:v>
                </c:pt>
                <c:pt idx="3">
                  <c:v>535</c:v>
                </c:pt>
                <c:pt idx="4">
                  <c:v>659</c:v>
                </c:pt>
                <c:pt idx="5">
                  <c:v>769</c:v>
                </c:pt>
                <c:pt idx="6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2CD-80FB-C770BB07A6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39035615"/>
        <c:axId val="439032287"/>
      </c:barChart>
      <c:catAx>
        <c:axId val="4390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2287"/>
        <c:crosses val="autoZero"/>
        <c:auto val="1"/>
        <c:lblAlgn val="ctr"/>
        <c:lblOffset val="100"/>
        <c:noMultiLvlLbl val="0"/>
      </c:catAx>
      <c:valAx>
        <c:axId val="439032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0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45720</xdr:rowOff>
    </xdr:from>
    <xdr:to>
      <xdr:col>4</xdr:col>
      <xdr:colOff>563880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EAE2D-7621-4D0C-95EB-EA5E79646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12</xdr:row>
      <xdr:rowOff>114300</xdr:rowOff>
    </xdr:from>
    <xdr:to>
      <xdr:col>10</xdr:col>
      <xdr:colOff>571500</xdr:colOff>
      <xdr:row>23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9D5F0-B769-403E-AD51-085EF6F2C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8761-EC09-465C-9FA9-7BBB6ACCA307}">
  <dimension ref="A3:U37"/>
  <sheetViews>
    <sheetView tabSelected="1" zoomScale="90" zoomScaleNormal="90" workbookViewId="0">
      <selection activeCell="Q20" sqref="Q20"/>
    </sheetView>
  </sheetViews>
  <sheetFormatPr defaultRowHeight="14.4" x14ac:dyDescent="0.3"/>
  <cols>
    <col min="1" max="1" width="16.88671875" bestFit="1" customWidth="1"/>
    <col min="2" max="2" width="22" bestFit="1" customWidth="1"/>
    <col min="3" max="3" width="16.88671875" bestFit="1" customWidth="1"/>
    <col min="4" max="4" width="16.33203125" bestFit="1" customWidth="1"/>
    <col min="5" max="5" width="11.33203125" bestFit="1" customWidth="1"/>
    <col min="6" max="6" width="9.33203125" bestFit="1" customWidth="1"/>
    <col min="7" max="7" width="13" bestFit="1" customWidth="1"/>
    <col min="8" max="9" width="9.77734375" bestFit="1" customWidth="1"/>
    <col min="10" max="16" width="10.88671875" bestFit="1" customWidth="1"/>
    <col min="17" max="21" width="12.44140625" bestFit="1" customWidth="1"/>
  </cols>
  <sheetData>
    <row r="3" spans="1:21" x14ac:dyDescent="0.3">
      <c r="B3" s="41" t="s">
        <v>13</v>
      </c>
      <c r="C3" s="41"/>
      <c r="G3" s="1"/>
    </row>
    <row r="4" spans="1:21" x14ac:dyDescent="0.3">
      <c r="B4" s="11" t="s">
        <v>14</v>
      </c>
      <c r="C4" s="29">
        <v>4000</v>
      </c>
      <c r="G4" s="11" t="s">
        <v>47</v>
      </c>
      <c r="H4" s="5">
        <v>2013</v>
      </c>
      <c r="I4" s="5">
        <v>2014</v>
      </c>
      <c r="J4" s="5">
        <v>2015</v>
      </c>
      <c r="K4" s="5">
        <v>2016</v>
      </c>
      <c r="L4" s="5">
        <v>2017</v>
      </c>
      <c r="M4" s="5">
        <v>2018</v>
      </c>
      <c r="N4" s="5">
        <v>2019</v>
      </c>
      <c r="O4" s="5">
        <v>2020</v>
      </c>
      <c r="P4" s="5">
        <v>2021</v>
      </c>
      <c r="Q4" s="5">
        <v>2022</v>
      </c>
      <c r="R4" s="25" t="s">
        <v>38</v>
      </c>
      <c r="S4" s="25" t="s">
        <v>39</v>
      </c>
      <c r="T4" s="25" t="s">
        <v>40</v>
      </c>
      <c r="U4" s="25" t="s">
        <v>41</v>
      </c>
    </row>
    <row r="5" spans="1:21" x14ac:dyDescent="0.3">
      <c r="B5" s="11" t="s">
        <v>15</v>
      </c>
      <c r="C5" s="29">
        <v>55</v>
      </c>
      <c r="D5" s="32">
        <v>60</v>
      </c>
      <c r="G5" s="11">
        <v>350</v>
      </c>
      <c r="H5" s="19">
        <f>($C$15*1000000)/(45*$G5)</f>
        <v>12.698412698412698</v>
      </c>
      <c r="I5" s="19">
        <f>(($C$16*1000000)/(45*$G5))*0.9</f>
        <v>28.571428571428573</v>
      </c>
      <c r="J5" s="19">
        <f>(($C$17*1000000)/(45*$G5))*0.9</f>
        <v>42.857142857142861</v>
      </c>
      <c r="K5" s="19">
        <f>(($C$18*1000000)/(45*$G5))*0.9</f>
        <v>85.714285714285722</v>
      </c>
      <c r="L5" s="19">
        <f>(($C$19*1000000)/(45*$G5))*0.9</f>
        <v>114.28571428571429</v>
      </c>
      <c r="M5" s="19">
        <f>(($C$20*1000000)/(45*$G5))*0.9</f>
        <v>142.85714285714286</v>
      </c>
      <c r="N5" s="19">
        <f>(($C$21*1000000)/(45*$G5))*0.9</f>
        <v>171.42857142857144</v>
      </c>
      <c r="O5" s="19">
        <f>(($C$22*1000000)/(45*$G5))*0.9</f>
        <v>285.71428571428572</v>
      </c>
      <c r="P5" s="19">
        <f>(($C$23*1000000)/(45*$G5))*0.9</f>
        <v>342.85714285714289</v>
      </c>
      <c r="Q5" s="19">
        <f>(($C$24*1000000)/(45*$G5))*0.9</f>
        <v>428.57142857142861</v>
      </c>
      <c r="R5" s="23">
        <f>Q5*1.4*0.9</f>
        <v>540</v>
      </c>
      <c r="S5" s="23">
        <f t="shared" ref="S5:U5" si="0">R5*1.4*0.9</f>
        <v>680.4</v>
      </c>
      <c r="T5" s="23">
        <f t="shared" si="0"/>
        <v>857.30399999999997</v>
      </c>
      <c r="U5" s="23">
        <f t="shared" si="0"/>
        <v>1080.2030400000001</v>
      </c>
    </row>
    <row r="6" spans="1:21" x14ac:dyDescent="0.3">
      <c r="G6" s="11">
        <v>400</v>
      </c>
      <c r="H6" s="19">
        <f>($C$15*1000000)/(45*$G6)</f>
        <v>11.111111111111111</v>
      </c>
      <c r="I6" s="19">
        <f>(($C$16*1000000)/(45*$G6))*0.9</f>
        <v>25</v>
      </c>
      <c r="J6" s="19">
        <f>($C$17*1000000)/(45*$G6)</f>
        <v>41.666666666666664</v>
      </c>
      <c r="K6" s="19">
        <f>($C$18*1000000)/(45*$G6)</f>
        <v>83.333333333333329</v>
      </c>
      <c r="L6" s="19">
        <f>($C$19*1000000)/(45*$G6)</f>
        <v>111.11111111111111</v>
      </c>
      <c r="M6" s="19">
        <f>($C$20*1000000)/(45*$G6)</f>
        <v>138.88888888888889</v>
      </c>
      <c r="N6" s="19">
        <f>($C$21*1000000)/(45*$G6)</f>
        <v>166.66666666666666</v>
      </c>
      <c r="O6" s="19">
        <f>($C$22*1000000)/(45*$G6)</f>
        <v>277.77777777777777</v>
      </c>
      <c r="P6" s="19">
        <f>($C$23*1000000)/(45*$G6)</f>
        <v>333.33333333333331</v>
      </c>
      <c r="Q6" s="19">
        <f>($C$24*1000000)/(45*$G6)</f>
        <v>416.66666666666669</v>
      </c>
      <c r="R6" s="23">
        <f t="shared" ref="R6:U6" si="1">Q6*1.4*0.9</f>
        <v>525</v>
      </c>
      <c r="S6" s="23">
        <f t="shared" si="1"/>
        <v>661.5</v>
      </c>
      <c r="T6" s="23">
        <f t="shared" si="1"/>
        <v>833.4899999999999</v>
      </c>
      <c r="U6" s="23">
        <f t="shared" si="1"/>
        <v>1050.1973999999998</v>
      </c>
    </row>
    <row r="7" spans="1:21" x14ac:dyDescent="0.3">
      <c r="B7" s="1" t="s">
        <v>16</v>
      </c>
      <c r="D7" s="1" t="s">
        <v>52</v>
      </c>
      <c r="G7" s="11">
        <v>450</v>
      </c>
      <c r="H7" s="19">
        <f>($C$15*1000000)/(45*$G7)</f>
        <v>9.8765432098765427</v>
      </c>
      <c r="I7" s="19">
        <f>(($C$16*1000000)/(45*$G7))*0.9</f>
        <v>22.222222222222221</v>
      </c>
      <c r="J7" s="19">
        <f>($C$17*1000000)/(45*$G7)</f>
        <v>37.037037037037038</v>
      </c>
      <c r="K7" s="19">
        <f>($C$18*1000000)/(45*$G7)</f>
        <v>74.074074074074076</v>
      </c>
      <c r="L7" s="19">
        <f>($C$19*1000000)/(45*$G7)</f>
        <v>98.76543209876543</v>
      </c>
      <c r="M7" s="19">
        <f>($C$20*1000000)/(45*$G7)</f>
        <v>123.45679012345678</v>
      </c>
      <c r="N7" s="19">
        <f>($C$21*1000000)/(45*$G7)</f>
        <v>148.14814814814815</v>
      </c>
      <c r="O7" s="19">
        <f>($C$22*1000000)/(45*$G7)</f>
        <v>246.91358024691357</v>
      </c>
      <c r="P7" s="19">
        <f>($C$23*1000000)/(45*$G7)</f>
        <v>296.2962962962963</v>
      </c>
      <c r="Q7" s="19">
        <f>($C$24*1000000)/(45*$G7)</f>
        <v>370.37037037037038</v>
      </c>
      <c r="R7" s="23">
        <f t="shared" ref="R7:U7" si="2">Q7*1.4*0.9</f>
        <v>466.66666666666663</v>
      </c>
      <c r="S7" s="23">
        <f t="shared" si="2"/>
        <v>588</v>
      </c>
      <c r="T7" s="23">
        <f t="shared" si="2"/>
        <v>740.88</v>
      </c>
      <c r="U7" s="23">
        <f t="shared" si="2"/>
        <v>933.50879999999995</v>
      </c>
    </row>
    <row r="8" spans="1:21" x14ac:dyDescent="0.3">
      <c r="A8" s="11" t="s">
        <v>17</v>
      </c>
      <c r="B8" s="18">
        <v>350</v>
      </c>
      <c r="C8" s="31">
        <f>$C$5*B8+$C$4</f>
        <v>23250</v>
      </c>
      <c r="D8" s="31">
        <f>$D$5*B8+$C$4</f>
        <v>25000</v>
      </c>
      <c r="E8" s="3"/>
      <c r="G8" s="11">
        <v>500</v>
      </c>
      <c r="H8" s="19">
        <f>($C$15*1000000)/(45*$G8)</f>
        <v>8.8888888888888893</v>
      </c>
      <c r="I8" s="19">
        <f>(($C$16*1000000)/(45*$G8))*0.9</f>
        <v>20</v>
      </c>
      <c r="J8" s="19">
        <f>($C$17*1000000)/(45*$G8)</f>
        <v>33.333333333333336</v>
      </c>
      <c r="K8" s="19">
        <f>($C$18*1000000)/(45*$G8)</f>
        <v>66.666666666666671</v>
      </c>
      <c r="L8" s="19">
        <f>($C$19*1000000)/(45*$G8)</f>
        <v>88.888888888888886</v>
      </c>
      <c r="M8" s="19">
        <f>($C$20*1000000)/(45*$G8)</f>
        <v>111.11111111111111</v>
      </c>
      <c r="N8" s="19">
        <f>($C$21*1000000)/(45*$G8)</f>
        <v>133.33333333333334</v>
      </c>
      <c r="O8" s="19">
        <f>($C$22*1000000)/(45*$G8)</f>
        <v>222.22222222222223</v>
      </c>
      <c r="P8" s="19">
        <f>($C$23*1000000)/(45*$G8)</f>
        <v>266.66666666666669</v>
      </c>
      <c r="Q8" s="19">
        <f>($C$24*1000000)/(45*$G8)</f>
        <v>333.33333333333331</v>
      </c>
      <c r="R8" s="23">
        <f t="shared" ref="R8:U8" si="3">Q8*1.4*0.9</f>
        <v>420</v>
      </c>
      <c r="S8" s="23">
        <f t="shared" si="3"/>
        <v>529.20000000000005</v>
      </c>
      <c r="T8" s="23">
        <f t="shared" si="3"/>
        <v>666.79200000000003</v>
      </c>
      <c r="U8" s="23">
        <f t="shared" si="3"/>
        <v>840.15791999999999</v>
      </c>
    </row>
    <row r="9" spans="1:21" x14ac:dyDescent="0.3">
      <c r="A9" s="11" t="s">
        <v>18</v>
      </c>
      <c r="B9" s="18">
        <v>500</v>
      </c>
      <c r="C9" s="31">
        <f>$C$5*B9+$C$4</f>
        <v>31500</v>
      </c>
      <c r="D9" s="31">
        <f>$D$5*B9+$C$4</f>
        <v>34000</v>
      </c>
      <c r="E9" s="3"/>
      <c r="G9" s="11" t="s">
        <v>48</v>
      </c>
      <c r="H9" s="5" t="s">
        <v>43</v>
      </c>
      <c r="I9" s="21">
        <f t="shared" ref="I9:Q9" si="4">I5/H5 -1</f>
        <v>1.2500000000000004</v>
      </c>
      <c r="J9" s="21">
        <f t="shared" si="4"/>
        <v>0.5</v>
      </c>
      <c r="K9" s="21">
        <f t="shared" si="4"/>
        <v>1</v>
      </c>
      <c r="L9" s="21">
        <f t="shared" si="4"/>
        <v>0.33333333333333326</v>
      </c>
      <c r="M9" s="21">
        <f t="shared" si="4"/>
        <v>0.25</v>
      </c>
      <c r="N9" s="21">
        <f t="shared" si="4"/>
        <v>0.20000000000000018</v>
      </c>
      <c r="O9" s="21">
        <f t="shared" si="4"/>
        <v>0.66666666666666652</v>
      </c>
      <c r="P9" s="21">
        <f t="shared" si="4"/>
        <v>0.20000000000000018</v>
      </c>
      <c r="Q9" s="21">
        <f t="shared" si="4"/>
        <v>0.25</v>
      </c>
      <c r="R9" s="24">
        <f t="shared" ref="R9:U9" si="5">R5/Q5 -1</f>
        <v>0.25999999999999979</v>
      </c>
      <c r="S9" s="24">
        <f t="shared" si="5"/>
        <v>0.26</v>
      </c>
      <c r="T9" s="24">
        <f t="shared" si="5"/>
        <v>0.26</v>
      </c>
      <c r="U9" s="24">
        <f t="shared" si="5"/>
        <v>0.26000000000000023</v>
      </c>
    </row>
    <row r="10" spans="1:21" x14ac:dyDescent="0.3">
      <c r="C10" s="17">
        <f>AVERAGE(C8:C9)</f>
        <v>27375</v>
      </c>
      <c r="D10" s="17">
        <f>AVERAGE(D8:D9)</f>
        <v>29500</v>
      </c>
      <c r="Q10" s="34">
        <f>(Q5/I5)^(1/8) -1</f>
        <v>0.40285055200667408</v>
      </c>
    </row>
    <row r="11" spans="1:21" x14ac:dyDescent="0.3">
      <c r="I11" s="20"/>
      <c r="J11" s="20"/>
      <c r="K11" s="20"/>
      <c r="L11" s="20"/>
      <c r="M11" s="20"/>
      <c r="N11" s="20"/>
      <c r="O11" s="20"/>
      <c r="P11" s="20"/>
      <c r="Q11" s="20"/>
    </row>
    <row r="12" spans="1:21" x14ac:dyDescent="0.3">
      <c r="I12" s="20"/>
      <c r="J12" s="20"/>
      <c r="K12" s="20"/>
      <c r="L12" s="20"/>
      <c r="M12" s="20"/>
      <c r="N12" s="20"/>
      <c r="O12" s="20"/>
      <c r="P12" s="20"/>
      <c r="Q12" s="20"/>
    </row>
    <row r="13" spans="1:21" x14ac:dyDescent="0.3">
      <c r="A13" s="40" t="s">
        <v>51</v>
      </c>
      <c r="B13" s="40"/>
      <c r="C13" s="40"/>
      <c r="D13" s="40"/>
      <c r="G13" s="40" t="s">
        <v>53</v>
      </c>
      <c r="H13" s="40"/>
      <c r="I13" s="40"/>
    </row>
    <row r="14" spans="1:21" x14ac:dyDescent="0.3">
      <c r="A14" s="22" t="s">
        <v>20</v>
      </c>
      <c r="B14" s="22" t="s">
        <v>19</v>
      </c>
      <c r="C14" s="22" t="s">
        <v>21</v>
      </c>
      <c r="D14" s="22" t="s">
        <v>33</v>
      </c>
      <c r="G14" s="11" t="s">
        <v>47</v>
      </c>
      <c r="H14" s="5">
        <v>2013</v>
      </c>
      <c r="I14" s="5">
        <v>2014</v>
      </c>
      <c r="J14" s="5">
        <v>2015</v>
      </c>
      <c r="K14" s="5">
        <v>2016</v>
      </c>
      <c r="L14" s="5">
        <v>2017</v>
      </c>
      <c r="M14" s="5">
        <v>2018</v>
      </c>
      <c r="N14" s="5">
        <v>2019</v>
      </c>
      <c r="O14" s="5">
        <v>2020</v>
      </c>
      <c r="P14" s="5">
        <v>2021</v>
      </c>
      <c r="Q14" s="5">
        <v>2022</v>
      </c>
      <c r="R14" s="25" t="s">
        <v>38</v>
      </c>
      <c r="S14" s="25" t="s">
        <v>39</v>
      </c>
      <c r="T14" s="25" t="s">
        <v>40</v>
      </c>
      <c r="U14" s="25" t="s">
        <v>41</v>
      </c>
    </row>
    <row r="15" spans="1:21" x14ac:dyDescent="0.3">
      <c r="A15" s="5">
        <v>2013</v>
      </c>
      <c r="B15" s="6">
        <v>45</v>
      </c>
      <c r="C15" s="7">
        <v>0.2</v>
      </c>
      <c r="D15" s="9">
        <f>C15*12</f>
        <v>2.4000000000000004</v>
      </c>
      <c r="E15" s="2"/>
      <c r="G15" s="11" t="s">
        <v>17</v>
      </c>
      <c r="H15" s="29">
        <f t="shared" ref="H15:Q15" si="6">H5*$C$8</f>
        <v>295238.09523809521</v>
      </c>
      <c r="I15" s="29">
        <f t="shared" si="6"/>
        <v>664285.71428571432</v>
      </c>
      <c r="J15" s="29">
        <f t="shared" si="6"/>
        <v>996428.57142857148</v>
      </c>
      <c r="K15" s="29">
        <f>K5*$C$8</f>
        <v>1992857.142857143</v>
      </c>
      <c r="L15" s="29">
        <f t="shared" si="6"/>
        <v>2657142.8571428573</v>
      </c>
      <c r="M15" s="29">
        <f t="shared" si="6"/>
        <v>3321428.5714285714</v>
      </c>
      <c r="N15" s="29">
        <f t="shared" si="6"/>
        <v>3985714.2857142859</v>
      </c>
      <c r="O15" s="29">
        <f t="shared" si="6"/>
        <v>6642857.1428571427</v>
      </c>
      <c r="P15" s="29">
        <f t="shared" si="6"/>
        <v>7971428.5714285718</v>
      </c>
      <c r="Q15" s="29">
        <f t="shared" si="6"/>
        <v>9964285.7142857146</v>
      </c>
      <c r="R15" s="30">
        <f>R5*$D$8</f>
        <v>13500000</v>
      </c>
      <c r="S15" s="30">
        <f>S5*$D$8</f>
        <v>17010000</v>
      </c>
      <c r="T15" s="30">
        <f>T5*$D$8</f>
        <v>21432600</v>
      </c>
      <c r="U15" s="30">
        <f>U5*$D$8</f>
        <v>27005076.000000004</v>
      </c>
    </row>
    <row r="16" spans="1:21" x14ac:dyDescent="0.3">
      <c r="A16" s="5">
        <v>2014</v>
      </c>
      <c r="B16" s="6">
        <v>52</v>
      </c>
      <c r="C16" s="7">
        <v>0.5</v>
      </c>
      <c r="D16" s="9">
        <f t="shared" ref="D16:D22" si="7">C16*12</f>
        <v>6</v>
      </c>
      <c r="E16" s="10"/>
      <c r="G16" s="11" t="s">
        <v>18</v>
      </c>
      <c r="H16" s="29">
        <f t="shared" ref="H16:Q16" si="8">H8*$C$9</f>
        <v>280000</v>
      </c>
      <c r="I16" s="29">
        <f t="shared" si="8"/>
        <v>630000</v>
      </c>
      <c r="J16" s="29">
        <f t="shared" si="8"/>
        <v>1050000</v>
      </c>
      <c r="K16" s="29">
        <f t="shared" si="8"/>
        <v>2100000</v>
      </c>
      <c r="L16" s="29">
        <f t="shared" si="8"/>
        <v>2800000</v>
      </c>
      <c r="M16" s="29">
        <f t="shared" si="8"/>
        <v>3500000</v>
      </c>
      <c r="N16" s="29">
        <f t="shared" si="8"/>
        <v>4200000</v>
      </c>
      <c r="O16" s="29">
        <f t="shared" si="8"/>
        <v>7000000</v>
      </c>
      <c r="P16" s="29">
        <f t="shared" si="8"/>
        <v>8400000</v>
      </c>
      <c r="Q16" s="29">
        <f t="shared" si="8"/>
        <v>10500000</v>
      </c>
      <c r="R16" s="30">
        <f>R8*$D$9</f>
        <v>14280000</v>
      </c>
      <c r="S16" s="30">
        <f t="shared" ref="S16:U16" si="9">S8*$D$9</f>
        <v>17992800</v>
      </c>
      <c r="T16" s="30">
        <f t="shared" si="9"/>
        <v>22670928</v>
      </c>
      <c r="U16" s="30">
        <f t="shared" si="9"/>
        <v>28565369.280000001</v>
      </c>
    </row>
    <row r="17" spans="1:21" x14ac:dyDescent="0.3">
      <c r="A17" s="5">
        <v>2015</v>
      </c>
      <c r="B17" s="6">
        <v>55</v>
      </c>
      <c r="C17" s="7">
        <v>0.75</v>
      </c>
      <c r="D17" s="9">
        <f t="shared" si="7"/>
        <v>9</v>
      </c>
      <c r="E17" s="10"/>
    </row>
    <row r="18" spans="1:21" x14ac:dyDescent="0.3">
      <c r="A18" s="5">
        <v>2016</v>
      </c>
      <c r="B18" s="6">
        <v>59</v>
      </c>
      <c r="C18" s="7">
        <v>1.5</v>
      </c>
      <c r="D18" s="9">
        <f t="shared" si="7"/>
        <v>18</v>
      </c>
      <c r="E18" s="10"/>
    </row>
    <row r="19" spans="1:21" x14ac:dyDescent="0.3">
      <c r="A19" s="5">
        <v>2017</v>
      </c>
      <c r="B19" s="6">
        <v>56</v>
      </c>
      <c r="C19" s="7">
        <v>2</v>
      </c>
      <c r="D19" s="9">
        <f t="shared" si="7"/>
        <v>24</v>
      </c>
      <c r="E19" s="10"/>
      <c r="R19" s="2"/>
      <c r="S19" s="2"/>
      <c r="T19" s="2"/>
      <c r="U19" s="2"/>
    </row>
    <row r="20" spans="1:21" x14ac:dyDescent="0.3">
      <c r="A20" s="5">
        <v>2018</v>
      </c>
      <c r="B20" s="6">
        <v>62</v>
      </c>
      <c r="C20" s="7">
        <v>2.5</v>
      </c>
      <c r="D20" s="9">
        <f t="shared" si="7"/>
        <v>30</v>
      </c>
      <c r="E20" s="10"/>
    </row>
    <row r="21" spans="1:21" x14ac:dyDescent="0.3">
      <c r="A21" s="5">
        <v>2019</v>
      </c>
      <c r="B21" s="6">
        <v>63</v>
      </c>
      <c r="C21" s="7">
        <v>3</v>
      </c>
      <c r="D21" s="9">
        <f t="shared" si="7"/>
        <v>36</v>
      </c>
      <c r="E21" s="10"/>
    </row>
    <row r="22" spans="1:21" x14ac:dyDescent="0.3">
      <c r="A22" s="5">
        <v>2020</v>
      </c>
      <c r="B22" s="6">
        <v>64</v>
      </c>
      <c r="C22" s="7">
        <v>5</v>
      </c>
      <c r="D22" s="9">
        <f t="shared" si="7"/>
        <v>60</v>
      </c>
      <c r="E22" s="10"/>
    </row>
    <row r="23" spans="1:21" x14ac:dyDescent="0.3">
      <c r="A23" s="5">
        <v>2021</v>
      </c>
      <c r="B23" s="6">
        <v>65</v>
      </c>
      <c r="C23" s="7">
        <v>6</v>
      </c>
      <c r="D23" s="9">
        <f>C23*12</f>
        <v>72</v>
      </c>
      <c r="E23" s="10"/>
    </row>
    <row r="24" spans="1:21" x14ac:dyDescent="0.3">
      <c r="A24" s="5">
        <v>2022</v>
      </c>
      <c r="B24" s="6">
        <v>69</v>
      </c>
      <c r="C24" s="7">
        <v>7.5</v>
      </c>
      <c r="D24" s="9">
        <f>C24*12</f>
        <v>90</v>
      </c>
      <c r="E24" s="10"/>
    </row>
    <row r="25" spans="1:21" x14ac:dyDescent="0.3">
      <c r="A25" s="5" t="s">
        <v>37</v>
      </c>
      <c r="B25" s="12">
        <f>(B24/B15)^(1/9) -1</f>
        <v>4.8639677959457561E-2</v>
      </c>
      <c r="C25" s="12">
        <f>(C24/C15)^(1/9) -1</f>
        <v>0.49586487026339854</v>
      </c>
      <c r="D25" s="12">
        <f>(D24/D15)^(1/9) -1</f>
        <v>0.49586487026339832</v>
      </c>
    </row>
    <row r="28" spans="1:21" x14ac:dyDescent="0.3">
      <c r="A28" s="1" t="s">
        <v>54</v>
      </c>
    </row>
    <row r="29" spans="1:21" x14ac:dyDescent="0.3">
      <c r="A29" s="5" t="s">
        <v>20</v>
      </c>
      <c r="B29" s="5">
        <v>2019</v>
      </c>
      <c r="C29" s="5">
        <v>2020</v>
      </c>
      <c r="D29" s="5">
        <v>2022</v>
      </c>
      <c r="E29" s="25" t="s">
        <v>38</v>
      </c>
      <c r="F29" s="25" t="s">
        <v>39</v>
      </c>
      <c r="G29" s="25" t="s">
        <v>40</v>
      </c>
      <c r="H29" s="25" t="s">
        <v>41</v>
      </c>
    </row>
    <row r="30" spans="1:21" x14ac:dyDescent="0.3">
      <c r="A30" s="5" t="s">
        <v>21</v>
      </c>
      <c r="B30" s="9">
        <v>3</v>
      </c>
      <c r="C30" s="9">
        <v>5</v>
      </c>
      <c r="D30" s="9">
        <v>7.5</v>
      </c>
      <c r="E30" s="26">
        <f>D30*1.5</f>
        <v>11.25</v>
      </c>
      <c r="F30" s="26">
        <f t="shared" ref="F30:G31" si="10">E30*1.5</f>
        <v>16.875</v>
      </c>
      <c r="G30" s="26">
        <f t="shared" si="10"/>
        <v>25.3125</v>
      </c>
      <c r="H30" s="26">
        <f>G30*1.35</f>
        <v>34.171875</v>
      </c>
    </row>
    <row r="31" spans="1:21" x14ac:dyDescent="0.3">
      <c r="A31" s="5" t="s">
        <v>33</v>
      </c>
      <c r="B31" s="9">
        <v>36</v>
      </c>
      <c r="C31" s="9">
        <v>60</v>
      </c>
      <c r="D31" s="9">
        <v>90</v>
      </c>
      <c r="E31" s="26">
        <f>D31*1.5</f>
        <v>135</v>
      </c>
      <c r="F31" s="26">
        <f t="shared" si="10"/>
        <v>202.5</v>
      </c>
      <c r="G31" s="26">
        <f t="shared" si="10"/>
        <v>303.75</v>
      </c>
      <c r="H31" s="26">
        <f>G31*1.35</f>
        <v>410.0625</v>
      </c>
    </row>
    <row r="32" spans="1:21" x14ac:dyDescent="0.3">
      <c r="A32" s="5" t="s">
        <v>19</v>
      </c>
      <c r="B32" s="6">
        <v>63</v>
      </c>
      <c r="C32" s="6">
        <v>64</v>
      </c>
      <c r="D32" s="6">
        <v>65</v>
      </c>
      <c r="E32" s="27">
        <v>69</v>
      </c>
      <c r="F32" s="28">
        <f>E32*1.05</f>
        <v>72.45</v>
      </c>
      <c r="G32" s="28">
        <f t="shared" ref="G32:H32" si="11">F32*1.05</f>
        <v>76.072500000000005</v>
      </c>
      <c r="H32" s="28">
        <f t="shared" si="11"/>
        <v>79.876125000000002</v>
      </c>
    </row>
    <row r="33" spans="1:8" x14ac:dyDescent="0.3">
      <c r="A33" s="5" t="s">
        <v>45</v>
      </c>
      <c r="B33" s="9">
        <f>B31*B32</f>
        <v>2268</v>
      </c>
      <c r="C33" s="9">
        <f t="shared" ref="C33:H33" si="12">C31*C32</f>
        <v>3840</v>
      </c>
      <c r="D33" s="9">
        <f t="shared" si="12"/>
        <v>5850</v>
      </c>
      <c r="E33" s="26">
        <f t="shared" si="12"/>
        <v>9315</v>
      </c>
      <c r="F33" s="26">
        <f t="shared" si="12"/>
        <v>14671.125</v>
      </c>
      <c r="G33" s="26">
        <f t="shared" si="12"/>
        <v>23107.021875000002</v>
      </c>
      <c r="H33" s="26">
        <f t="shared" si="12"/>
        <v>32754.203507812501</v>
      </c>
    </row>
    <row r="35" spans="1:8" x14ac:dyDescent="0.3">
      <c r="A35" s="15" t="s">
        <v>46</v>
      </c>
    </row>
    <row r="36" spans="1:8" x14ac:dyDescent="0.3">
      <c r="A36" s="16" t="s">
        <v>49</v>
      </c>
    </row>
    <row r="37" spans="1:8" x14ac:dyDescent="0.3">
      <c r="A37" s="16" t="s">
        <v>50</v>
      </c>
    </row>
  </sheetData>
  <mergeCells count="3">
    <mergeCell ref="A13:D13"/>
    <mergeCell ref="B3:C3"/>
    <mergeCell ref="G13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C98E-2B5F-413B-9D6F-F586A1DEF428}">
  <dimension ref="B2:N37"/>
  <sheetViews>
    <sheetView topLeftCell="A8" workbookViewId="0">
      <selection activeCell="B33" sqref="B33"/>
    </sheetView>
  </sheetViews>
  <sheetFormatPr defaultRowHeight="14.4" x14ac:dyDescent="0.3"/>
  <cols>
    <col min="2" max="2" width="22" bestFit="1" customWidth="1"/>
    <col min="3" max="3" width="16.88671875" bestFit="1" customWidth="1"/>
    <col min="4" max="4" width="14.88671875" bestFit="1" customWidth="1"/>
    <col min="5" max="5" width="11.5546875" bestFit="1" customWidth="1"/>
    <col min="7" max="7" width="19.88671875" bestFit="1" customWidth="1"/>
    <col min="8" max="8" width="13.88671875" bestFit="1" customWidth="1"/>
    <col min="9" max="9" width="16.88671875" bestFit="1" customWidth="1"/>
    <col min="10" max="10" width="9.77734375" bestFit="1" customWidth="1"/>
    <col min="11" max="11" width="9.88671875" bestFit="1" customWidth="1"/>
    <col min="12" max="12" width="24.33203125" bestFit="1" customWidth="1"/>
    <col min="13" max="13" width="11.33203125" bestFit="1" customWidth="1"/>
    <col min="14" max="14" width="9.88671875" bestFit="1" customWidth="1"/>
  </cols>
  <sheetData>
    <row r="2" spans="2:14" x14ac:dyDescent="0.3">
      <c r="L2" t="s">
        <v>58</v>
      </c>
      <c r="M2" s="1">
        <v>15</v>
      </c>
    </row>
    <row r="3" spans="2:14" x14ac:dyDescent="0.3">
      <c r="H3" s="4" t="s">
        <v>62</v>
      </c>
      <c r="I3" s="4" t="s">
        <v>63</v>
      </c>
    </row>
    <row r="4" spans="2:14" x14ac:dyDescent="0.3">
      <c r="B4" s="1" t="s">
        <v>65</v>
      </c>
      <c r="E4" s="1" t="s">
        <v>55</v>
      </c>
      <c r="G4" t="s">
        <v>56</v>
      </c>
      <c r="H4">
        <v>3</v>
      </c>
      <c r="L4" t="s">
        <v>77</v>
      </c>
      <c r="M4">
        <v>5000</v>
      </c>
      <c r="N4" t="s">
        <v>14</v>
      </c>
    </row>
    <row r="5" spans="2:14" x14ac:dyDescent="0.3">
      <c r="B5" t="s">
        <v>10</v>
      </c>
      <c r="C5" s="3">
        <v>130000</v>
      </c>
      <c r="D5" s="3">
        <f>C5*$M$2</f>
        <v>1950000</v>
      </c>
      <c r="E5" s="3">
        <f>D5/2</f>
        <v>975000</v>
      </c>
      <c r="G5" t="s">
        <v>57</v>
      </c>
      <c r="H5">
        <v>7</v>
      </c>
      <c r="M5">
        <v>60</v>
      </c>
      <c r="N5" t="s">
        <v>66</v>
      </c>
    </row>
    <row r="6" spans="2:14" x14ac:dyDescent="0.3">
      <c r="B6" t="s">
        <v>36</v>
      </c>
      <c r="C6" s="3">
        <v>30000</v>
      </c>
      <c r="D6" s="3">
        <f>C6*$M$2</f>
        <v>450000</v>
      </c>
      <c r="E6" s="3">
        <f>D6/10</f>
        <v>45000</v>
      </c>
      <c r="G6" t="s">
        <v>59</v>
      </c>
      <c r="H6">
        <f>H5*H4</f>
        <v>21</v>
      </c>
      <c r="I6">
        <f>M2*H6</f>
        <v>315</v>
      </c>
    </row>
    <row r="7" spans="2:14" x14ac:dyDescent="0.3">
      <c r="G7" t="s">
        <v>60</v>
      </c>
      <c r="H7">
        <f>H6*28</f>
        <v>588</v>
      </c>
      <c r="I7">
        <f>I6*28</f>
        <v>8820</v>
      </c>
    </row>
    <row r="8" spans="2:14" x14ac:dyDescent="0.3">
      <c r="B8" s="1" t="s">
        <v>67</v>
      </c>
      <c r="M8" s="2"/>
    </row>
    <row r="9" spans="2:14" x14ac:dyDescent="0.3">
      <c r="B9" t="s">
        <v>12</v>
      </c>
      <c r="C9" s="2">
        <v>6500</v>
      </c>
      <c r="E9" s="3">
        <f>C9*12</f>
        <v>78000</v>
      </c>
    </row>
    <row r="10" spans="2:14" x14ac:dyDescent="0.3">
      <c r="B10" t="s">
        <v>35</v>
      </c>
      <c r="C10" s="2">
        <v>13000</v>
      </c>
      <c r="E10" s="3">
        <f>C10*4*$M$2</f>
        <v>780000</v>
      </c>
      <c r="G10" t="s">
        <v>61</v>
      </c>
      <c r="H10">
        <v>399</v>
      </c>
    </row>
    <row r="11" spans="2:14" x14ac:dyDescent="0.3">
      <c r="B11" t="s">
        <v>76</v>
      </c>
      <c r="C11" s="2">
        <f>M4*M2+M5*H7</f>
        <v>110280</v>
      </c>
      <c r="E11" s="3">
        <f>C11*12</f>
        <v>1323360</v>
      </c>
      <c r="G11" t="s">
        <v>64</v>
      </c>
      <c r="H11" s="2">
        <f>H7*$H$10</f>
        <v>234612</v>
      </c>
      <c r="I11" s="2">
        <f>I7*$H$10</f>
        <v>3519180</v>
      </c>
    </row>
    <row r="13" spans="2:14" ht="15" thickBot="1" x14ac:dyDescent="0.35">
      <c r="H13" s="4" t="s">
        <v>72</v>
      </c>
      <c r="I13" s="35">
        <f>I11*9</f>
        <v>31672620</v>
      </c>
    </row>
    <row r="14" spans="2:14" ht="15.6" thickTop="1" thickBot="1" x14ac:dyDescent="0.35">
      <c r="D14" s="1" t="s">
        <v>74</v>
      </c>
      <c r="E14" s="35">
        <f>E10+E9+E6+E5+E11</f>
        <v>3201360</v>
      </c>
    </row>
    <row r="15" spans="2:14" ht="15" thickTop="1" x14ac:dyDescent="0.3">
      <c r="D15" s="3"/>
    </row>
    <row r="16" spans="2:14" ht="15" thickBot="1" x14ac:dyDescent="0.35">
      <c r="D16" s="1" t="s">
        <v>73</v>
      </c>
      <c r="E16" s="35">
        <f>E14*$M$2</f>
        <v>48020400</v>
      </c>
      <c r="H16" s="37" t="s">
        <v>78</v>
      </c>
      <c r="I16" s="38">
        <f>I13-E16</f>
        <v>-16347780</v>
      </c>
    </row>
    <row r="17" spans="2:9" ht="15" thickTop="1" x14ac:dyDescent="0.3"/>
    <row r="18" spans="2:9" ht="15" thickBot="1" x14ac:dyDescent="0.35">
      <c r="H18" s="37" t="s">
        <v>79</v>
      </c>
      <c r="I18" s="38">
        <f>I16/12</f>
        <v>-1362315</v>
      </c>
    </row>
    <row r="20" spans="2:9" x14ac:dyDescent="0.3">
      <c r="I20" s="39">
        <f>I18/1000000</f>
        <v>-1.3623149999999999</v>
      </c>
    </row>
    <row r="22" spans="2:9" x14ac:dyDescent="0.3">
      <c r="B22" s="36" t="s">
        <v>70</v>
      </c>
    </row>
    <row r="23" spans="2:9" x14ac:dyDescent="0.3">
      <c r="B23" t="s">
        <v>69</v>
      </c>
    </row>
    <row r="24" spans="2:9" x14ac:dyDescent="0.3">
      <c r="B24" t="s">
        <v>68</v>
      </c>
    </row>
    <row r="25" spans="2:9" x14ac:dyDescent="0.3">
      <c r="B25" t="s">
        <v>71</v>
      </c>
    </row>
    <row r="26" spans="2:9" x14ac:dyDescent="0.3">
      <c r="B26" t="s">
        <v>75</v>
      </c>
    </row>
    <row r="29" spans="2:9" x14ac:dyDescent="0.3">
      <c r="B29" s="5" t="s">
        <v>20</v>
      </c>
      <c r="C29" s="5">
        <v>2019</v>
      </c>
      <c r="D29" s="5">
        <v>2020</v>
      </c>
      <c r="E29" s="5">
        <v>2022</v>
      </c>
      <c r="F29" s="33" t="s">
        <v>38</v>
      </c>
      <c r="G29" s="33" t="s">
        <v>39</v>
      </c>
      <c r="H29" s="33" t="s">
        <v>40</v>
      </c>
      <c r="I29" s="33" t="s">
        <v>41</v>
      </c>
    </row>
    <row r="30" spans="2:9" x14ac:dyDescent="0.3">
      <c r="B30" s="5" t="s">
        <v>21</v>
      </c>
      <c r="C30" s="9">
        <v>3</v>
      </c>
      <c r="D30" s="9">
        <v>5</v>
      </c>
      <c r="E30" s="9">
        <v>7.5</v>
      </c>
      <c r="F30" s="26">
        <f>11.25 +I20</f>
        <v>9.8876849999999994</v>
      </c>
      <c r="G30" s="26"/>
      <c r="H30" s="26"/>
      <c r="I30" s="26"/>
    </row>
    <row r="31" spans="2:9" x14ac:dyDescent="0.3">
      <c r="B31" s="5" t="s">
        <v>33</v>
      </c>
      <c r="C31" s="9">
        <v>36</v>
      </c>
      <c r="D31" s="9">
        <v>60</v>
      </c>
      <c r="E31" s="9">
        <v>90</v>
      </c>
      <c r="F31" s="26">
        <v>135</v>
      </c>
      <c r="G31" s="26"/>
      <c r="H31" s="26"/>
      <c r="I31" s="26"/>
    </row>
    <row r="32" spans="2:9" x14ac:dyDescent="0.3">
      <c r="B32" s="5" t="s">
        <v>19</v>
      </c>
      <c r="C32" s="6">
        <v>63</v>
      </c>
      <c r="D32" s="6">
        <v>64</v>
      </c>
      <c r="E32" s="6">
        <v>65</v>
      </c>
      <c r="F32" s="27">
        <v>69</v>
      </c>
      <c r="G32" s="28"/>
      <c r="H32" s="28"/>
      <c r="I32" s="28"/>
    </row>
    <row r="33" spans="2:9" x14ac:dyDescent="0.3">
      <c r="B33" s="5" t="s">
        <v>45</v>
      </c>
      <c r="C33" s="9">
        <v>2268</v>
      </c>
      <c r="D33" s="9">
        <v>3840</v>
      </c>
      <c r="E33" s="9">
        <v>5850</v>
      </c>
      <c r="F33" s="26">
        <v>9315</v>
      </c>
      <c r="G33" s="26"/>
      <c r="H33" s="26"/>
      <c r="I33" s="26"/>
    </row>
    <row r="35" spans="2:9" x14ac:dyDescent="0.3">
      <c r="B35" s="15" t="s">
        <v>46</v>
      </c>
    </row>
    <row r="36" spans="2:9" x14ac:dyDescent="0.3">
      <c r="B36" s="16" t="s">
        <v>49</v>
      </c>
    </row>
    <row r="37" spans="2:9" x14ac:dyDescent="0.3">
      <c r="B37" s="16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5287-4924-43BC-AB14-C9BC77C57B26}">
  <dimension ref="A1:R22"/>
  <sheetViews>
    <sheetView workbookViewId="0">
      <selection activeCell="K1" sqref="K1"/>
    </sheetView>
  </sheetViews>
  <sheetFormatPr defaultRowHeight="14.4" x14ac:dyDescent="0.3"/>
  <cols>
    <col min="2" max="2" width="22.21875" bestFit="1" customWidth="1"/>
    <col min="3" max="3" width="16.88671875" bestFit="1" customWidth="1"/>
    <col min="4" max="4" width="14.88671875" bestFit="1" customWidth="1"/>
    <col min="6" max="6" width="16.88671875" bestFit="1" customWidth="1"/>
    <col min="7" max="7" width="9.88671875" bestFit="1" customWidth="1"/>
    <col min="11" max="11" width="11.21875" bestFit="1" customWidth="1"/>
  </cols>
  <sheetData>
    <row r="1" spans="1:18" x14ac:dyDescent="0.3">
      <c r="F1" t="s">
        <v>34</v>
      </c>
    </row>
    <row r="2" spans="1:18" x14ac:dyDescent="0.3">
      <c r="B2" s="1" t="s">
        <v>9</v>
      </c>
    </row>
    <row r="3" spans="1:18" x14ac:dyDescent="0.3">
      <c r="F3" s="1" t="s">
        <v>13</v>
      </c>
    </row>
    <row r="4" spans="1:18" x14ac:dyDescent="0.3">
      <c r="B4" t="s">
        <v>10</v>
      </c>
      <c r="C4" s="2">
        <v>130000</v>
      </c>
      <c r="F4" t="s">
        <v>14</v>
      </c>
      <c r="G4" s="2">
        <v>4000</v>
      </c>
      <c r="K4" s="1" t="s">
        <v>22</v>
      </c>
      <c r="L4" s="4" t="s">
        <v>23</v>
      </c>
      <c r="M4" s="4">
        <v>4</v>
      </c>
      <c r="N4" s="4">
        <v>5</v>
      </c>
      <c r="O4" s="4">
        <v>6</v>
      </c>
      <c r="P4" s="4">
        <v>7</v>
      </c>
      <c r="Q4" s="4">
        <v>8</v>
      </c>
      <c r="R4" s="4">
        <v>9</v>
      </c>
    </row>
    <row r="5" spans="1:18" x14ac:dyDescent="0.3">
      <c r="B5" t="s">
        <v>12</v>
      </c>
      <c r="C5" s="2">
        <v>6500</v>
      </c>
      <c r="F5" t="s">
        <v>15</v>
      </c>
      <c r="G5" s="2">
        <v>55</v>
      </c>
      <c r="K5" s="1" t="s">
        <v>24</v>
      </c>
      <c r="L5" s="8">
        <v>0.4</v>
      </c>
      <c r="M5" s="8">
        <v>0.35</v>
      </c>
      <c r="N5" s="8">
        <v>0.2</v>
      </c>
      <c r="O5" s="8">
        <v>0.05</v>
      </c>
      <c r="P5" s="8">
        <v>0</v>
      </c>
      <c r="Q5" s="8">
        <v>0</v>
      </c>
      <c r="R5" s="8">
        <v>0</v>
      </c>
    </row>
    <row r="6" spans="1:18" x14ac:dyDescent="0.3">
      <c r="B6" t="s">
        <v>11</v>
      </c>
      <c r="C6" s="2">
        <v>13000</v>
      </c>
    </row>
    <row r="7" spans="1:18" x14ac:dyDescent="0.3">
      <c r="F7" s="1" t="s">
        <v>16</v>
      </c>
    </row>
    <row r="8" spans="1:18" x14ac:dyDescent="0.3">
      <c r="E8" s="1" t="s">
        <v>17</v>
      </c>
      <c r="F8">
        <v>350</v>
      </c>
      <c r="G8" s="2">
        <f>$G$5*F8</f>
        <v>19250</v>
      </c>
      <c r="H8" s="3">
        <f>G8+$G$4</f>
        <v>23250</v>
      </c>
      <c r="K8" s="1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  <c r="R8" s="4" t="s">
        <v>32</v>
      </c>
    </row>
    <row r="9" spans="1:18" x14ac:dyDescent="0.3">
      <c r="E9" s="1" t="s">
        <v>18</v>
      </c>
      <c r="F9">
        <v>500</v>
      </c>
      <c r="G9" s="2">
        <f>$G$5*F9</f>
        <v>27500</v>
      </c>
      <c r="H9" s="3">
        <f>G9+$G$4</f>
        <v>31500</v>
      </c>
      <c r="K9" s="1" t="s">
        <v>24</v>
      </c>
      <c r="L9" s="8">
        <v>0.12</v>
      </c>
      <c r="M9" s="8">
        <v>0.12</v>
      </c>
      <c r="N9" s="8">
        <v>0.13</v>
      </c>
      <c r="O9" s="8">
        <v>0.13</v>
      </c>
      <c r="P9" s="8">
        <v>0.14000000000000001</v>
      </c>
      <c r="Q9" s="8">
        <v>0.17</v>
      </c>
      <c r="R9" s="8">
        <v>0.19</v>
      </c>
    </row>
    <row r="10" spans="1:18" x14ac:dyDescent="0.3">
      <c r="H10" s="3">
        <f>AVERAGE(H8:H9)</f>
        <v>27375</v>
      </c>
    </row>
    <row r="13" spans="1:18" x14ac:dyDescent="0.3">
      <c r="A13" s="5" t="s">
        <v>20</v>
      </c>
      <c r="B13" s="5" t="s">
        <v>19</v>
      </c>
      <c r="C13" s="5" t="s">
        <v>21</v>
      </c>
      <c r="D13" s="5" t="s">
        <v>33</v>
      </c>
    </row>
    <row r="14" spans="1:18" x14ac:dyDescent="0.3">
      <c r="A14" s="6">
        <v>2013</v>
      </c>
      <c r="B14" s="6">
        <v>45</v>
      </c>
      <c r="C14" s="7">
        <v>0.2</v>
      </c>
      <c r="D14" s="9">
        <f>C14*12</f>
        <v>2.4000000000000004</v>
      </c>
    </row>
    <row r="15" spans="1:18" x14ac:dyDescent="0.3">
      <c r="A15" s="6">
        <v>2014</v>
      </c>
      <c r="B15" s="6">
        <v>52</v>
      </c>
      <c r="C15" s="7">
        <v>0.5</v>
      </c>
      <c r="D15" s="9">
        <f t="shared" ref="D15:D22" si="0">C15*12</f>
        <v>6</v>
      </c>
    </row>
    <row r="16" spans="1:18" x14ac:dyDescent="0.3">
      <c r="A16" s="6">
        <v>2015</v>
      </c>
      <c r="B16" s="6">
        <v>55</v>
      </c>
      <c r="C16" s="7">
        <v>0.75</v>
      </c>
      <c r="D16" s="9">
        <f t="shared" si="0"/>
        <v>9</v>
      </c>
    </row>
    <row r="17" spans="1:4" x14ac:dyDescent="0.3">
      <c r="A17" s="6">
        <v>2016</v>
      </c>
      <c r="B17" s="6">
        <v>59</v>
      </c>
      <c r="C17" s="7">
        <v>1.5</v>
      </c>
      <c r="D17" s="9">
        <f t="shared" si="0"/>
        <v>18</v>
      </c>
    </row>
    <row r="18" spans="1:4" x14ac:dyDescent="0.3">
      <c r="A18" s="6">
        <v>2017</v>
      </c>
      <c r="B18" s="6">
        <v>56</v>
      </c>
      <c r="C18" s="7">
        <v>2</v>
      </c>
      <c r="D18" s="9">
        <f t="shared" si="0"/>
        <v>24</v>
      </c>
    </row>
    <row r="19" spans="1:4" x14ac:dyDescent="0.3">
      <c r="A19" s="6">
        <v>2018</v>
      </c>
      <c r="B19" s="6">
        <v>62</v>
      </c>
      <c r="C19" s="7">
        <v>2.5</v>
      </c>
      <c r="D19" s="9">
        <f t="shared" si="0"/>
        <v>30</v>
      </c>
    </row>
    <row r="20" spans="1:4" x14ac:dyDescent="0.3">
      <c r="A20" s="6">
        <v>2019</v>
      </c>
      <c r="B20" s="6">
        <v>63</v>
      </c>
      <c r="C20" s="7">
        <v>3</v>
      </c>
      <c r="D20" s="9">
        <f t="shared" si="0"/>
        <v>36</v>
      </c>
    </row>
    <row r="21" spans="1:4" x14ac:dyDescent="0.3">
      <c r="A21" s="6">
        <v>2020</v>
      </c>
      <c r="B21" s="6">
        <v>64</v>
      </c>
      <c r="C21" s="7">
        <v>5</v>
      </c>
      <c r="D21" s="9">
        <f t="shared" si="0"/>
        <v>60</v>
      </c>
    </row>
    <row r="22" spans="1:4" x14ac:dyDescent="0.3">
      <c r="A22" s="6">
        <v>2022</v>
      </c>
      <c r="B22" s="6">
        <v>69</v>
      </c>
      <c r="C22" s="7">
        <v>7.5</v>
      </c>
      <c r="D22" s="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0E49-C5C1-49B0-BAD2-39F6C685E512}">
  <dimension ref="B2:M9"/>
  <sheetViews>
    <sheetView workbookViewId="0">
      <selection activeCell="J7" sqref="J7"/>
    </sheetView>
  </sheetViews>
  <sheetFormatPr defaultRowHeight="14.4" x14ac:dyDescent="0.3"/>
  <sheetData>
    <row r="2" spans="2:13" x14ac:dyDescent="0.3">
      <c r="B2" s="1" t="s">
        <v>6</v>
      </c>
      <c r="C2" s="1" t="s">
        <v>7</v>
      </c>
      <c r="G2" s="1" t="s">
        <v>6</v>
      </c>
      <c r="H2" s="1" t="s">
        <v>42</v>
      </c>
      <c r="I2" s="1" t="s">
        <v>44</v>
      </c>
    </row>
    <row r="3" spans="2:13" x14ac:dyDescent="0.3">
      <c r="B3" t="s">
        <v>0</v>
      </c>
      <c r="C3">
        <v>3.2</v>
      </c>
      <c r="G3" t="s">
        <v>8</v>
      </c>
      <c r="H3">
        <v>191</v>
      </c>
      <c r="I3" s="13" t="s">
        <v>43</v>
      </c>
      <c r="J3">
        <v>36</v>
      </c>
      <c r="K3" s="10">
        <f>J3/H3</f>
        <v>0.18848167539267016</v>
      </c>
    </row>
    <row r="4" spans="2:13" x14ac:dyDescent="0.3">
      <c r="B4" t="s">
        <v>1</v>
      </c>
      <c r="C4">
        <v>2.2999999999999998</v>
      </c>
      <c r="G4" t="s">
        <v>0</v>
      </c>
      <c r="H4">
        <v>403</v>
      </c>
      <c r="I4" s="10">
        <f>H4/H3-1</f>
        <v>1.1099476439790577</v>
      </c>
      <c r="J4">
        <v>60</v>
      </c>
      <c r="K4" s="10">
        <f>J4/H4</f>
        <v>0.14888337468982629</v>
      </c>
    </row>
    <row r="5" spans="2:13" x14ac:dyDescent="0.3">
      <c r="B5" t="s">
        <v>2</v>
      </c>
      <c r="C5">
        <v>5.0999999999999996</v>
      </c>
      <c r="G5" t="s">
        <v>1</v>
      </c>
      <c r="H5">
        <v>239</v>
      </c>
      <c r="I5" s="10">
        <f t="shared" ref="I5:I9" si="0">H5/H4-1</f>
        <v>-0.40694789081885852</v>
      </c>
      <c r="J5">
        <v>72</v>
      </c>
      <c r="K5" s="10">
        <f t="shared" ref="K5:K6" si="1">J5/H5</f>
        <v>0.30125523012552302</v>
      </c>
    </row>
    <row r="6" spans="2:13" x14ac:dyDescent="0.3">
      <c r="B6" t="s">
        <v>3</v>
      </c>
      <c r="C6">
        <v>6.2</v>
      </c>
      <c r="G6" t="s">
        <v>2</v>
      </c>
      <c r="H6">
        <v>535</v>
      </c>
      <c r="I6" s="10">
        <f t="shared" si="0"/>
        <v>1.2384937238493725</v>
      </c>
      <c r="J6">
        <v>90</v>
      </c>
      <c r="K6" s="10">
        <f t="shared" si="1"/>
        <v>0.16822429906542055</v>
      </c>
    </row>
    <row r="7" spans="2:13" x14ac:dyDescent="0.3">
      <c r="B7" t="s">
        <v>4</v>
      </c>
      <c r="C7">
        <v>7.2</v>
      </c>
      <c r="G7" t="s">
        <v>3</v>
      </c>
      <c r="H7">
        <v>659</v>
      </c>
      <c r="I7" s="10">
        <f t="shared" si="0"/>
        <v>0.23177570093457933</v>
      </c>
      <c r="J7" s="14">
        <f>J6*(1+I7)</f>
        <v>110.85981308411213</v>
      </c>
      <c r="M7">
        <v>1.8</v>
      </c>
    </row>
    <row r="8" spans="2:13" x14ac:dyDescent="0.3">
      <c r="B8" t="s">
        <v>5</v>
      </c>
      <c r="C8">
        <v>8.8000000000000007</v>
      </c>
      <c r="G8" t="s">
        <v>4</v>
      </c>
      <c r="H8">
        <v>769</v>
      </c>
      <c r="I8" s="10">
        <f t="shared" si="0"/>
        <v>0.16691957511380884</v>
      </c>
      <c r="J8" s="14">
        <f t="shared" ref="J8:J9" si="2">J7*(1+I8)</f>
        <v>129.36448598130841</v>
      </c>
    </row>
    <row r="9" spans="2:13" x14ac:dyDescent="0.3">
      <c r="G9" t="s">
        <v>5</v>
      </c>
      <c r="H9">
        <v>939</v>
      </c>
      <c r="I9" s="10">
        <f t="shared" si="0"/>
        <v>0.22106631989596881</v>
      </c>
      <c r="J9" s="14">
        <f t="shared" si="2"/>
        <v>157.96261682242991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Land Delivery</vt:lpstr>
      <vt:lpstr>Drone</vt:lpstr>
      <vt:lpstr>Cost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Kumar Jain</dc:creator>
  <cp:lastModifiedBy>Jay Jain</cp:lastModifiedBy>
  <dcterms:created xsi:type="dcterms:W3CDTF">2023-06-02T11:12:32Z</dcterms:created>
  <dcterms:modified xsi:type="dcterms:W3CDTF">2024-02-19T13:26:44Z</dcterms:modified>
</cp:coreProperties>
</file>