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dc-my.sharepoint.com/personal/whe_tdc_dk/Documents/Projekter/Partner konfiguratorer/Udstyrsaftaler/"/>
    </mc:Choice>
  </mc:AlternateContent>
  <xr:revisionPtr revIDLastSave="0" documentId="8_{082BBD63-BCAF-4CAE-9739-CF1E9BEBAFD5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Ark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7" i="1" l="1"/>
  <c r="L44" i="1"/>
  <c r="L51" i="1"/>
  <c r="L58" i="1"/>
  <c r="L57" i="1"/>
  <c r="L54" i="1"/>
  <c r="L18" i="1"/>
  <c r="L19" i="1"/>
  <c r="L20" i="1"/>
  <c r="L21" i="1"/>
  <c r="L22" i="1"/>
  <c r="L17" i="1"/>
  <c r="L11" i="1"/>
  <c r="L12" i="1"/>
  <c r="L13" i="1"/>
  <c r="L14" i="1"/>
  <c r="L10" i="1"/>
  <c r="F46" i="1"/>
  <c r="F39" i="1"/>
  <c r="F32" i="1"/>
  <c r="F14" i="1"/>
  <c r="F13" i="1"/>
  <c r="F12" i="1"/>
  <c r="F11" i="1"/>
  <c r="F10" i="1"/>
  <c r="F8" i="1"/>
  <c r="F7" i="1"/>
  <c r="F6" i="1"/>
  <c r="F5" i="1"/>
  <c r="F4" i="1"/>
  <c r="F57" i="1"/>
  <c r="F54" i="1"/>
  <c r="D46" i="1"/>
  <c r="D39" i="1"/>
  <c r="F58" i="1"/>
  <c r="D20" i="1"/>
  <c r="D57" i="1"/>
  <c r="D22" i="1"/>
  <c r="D21" i="1"/>
  <c r="D19" i="1"/>
  <c r="D18" i="1"/>
  <c r="D17" i="1"/>
  <c r="D58" i="1"/>
  <c r="D54" i="1"/>
  <c r="D32" i="1"/>
  <c r="D14" i="1"/>
  <c r="D13" i="1"/>
  <c r="D12" i="1"/>
  <c r="D11" i="1"/>
  <c r="D10" i="1"/>
  <c r="D4" i="1" l="1"/>
  <c r="D5" i="1"/>
  <c r="L6" i="1"/>
  <c r="L7" i="1"/>
  <c r="L8" i="1"/>
  <c r="L5" i="1"/>
  <c r="L4" i="1"/>
  <c r="D8" i="1"/>
  <c r="D7" i="1"/>
  <c r="D6" i="1"/>
</calcChain>
</file>

<file path=xl/sharedStrings.xml><?xml version="1.0" encoding="utf-8"?>
<sst xmlns="http://schemas.openxmlformats.org/spreadsheetml/2006/main" count="125" uniqueCount="65">
  <si>
    <t>DATA</t>
  </si>
  <si>
    <t xml:space="preserve">Salgspris udstyrsaftale pr. måned i 36 mdr. </t>
  </si>
  <si>
    <t>Salgspris til konfigurator</t>
  </si>
  <si>
    <t>Tekst til One konfigurator</t>
  </si>
  <si>
    <t>Tekst til Omstilling - produktkategori</t>
  </si>
  <si>
    <t>Tekst til Omstilling - produkt navn/model</t>
  </si>
  <si>
    <t>Varenr</t>
  </si>
  <si>
    <t>Leverandør</t>
  </si>
  <si>
    <t>Varebeskrivelse</t>
  </si>
  <si>
    <t>Kostpris</t>
  </si>
  <si>
    <t>Normal vejl salgspris</t>
  </si>
  <si>
    <t>dB</t>
  </si>
  <si>
    <t>Headsets</t>
  </si>
  <si>
    <t>Plantronics Voyager Focus UC B825 - Uden Bordlader</t>
  </si>
  <si>
    <t>Ergotel</t>
  </si>
  <si>
    <r>
      <t xml:space="preserve">Udvidet garanti i 36 mdr. </t>
    </r>
    <r>
      <rPr>
        <b/>
        <i/>
        <sz val="11"/>
        <color theme="1"/>
        <rFont val="Calibri"/>
        <family val="2"/>
        <scheme val="minor"/>
      </rPr>
      <t>(Der er tillagt 50,-kr i kostprisen for udvidet garanti).</t>
    </r>
  </si>
  <si>
    <t>Plantronics Savi W8210A Mono DECT</t>
  </si>
  <si>
    <t>iStore</t>
  </si>
  <si>
    <r>
      <t xml:space="preserve">Udvidet garanti i 36 mdr. </t>
    </r>
    <r>
      <rPr>
        <b/>
        <i/>
        <sz val="11"/>
        <color theme="1"/>
        <rFont val="Calibri"/>
        <family val="2"/>
        <scheme val="minor"/>
      </rPr>
      <t>(OBS: Sælger dækker selv år 3 for garanti).</t>
    </r>
  </si>
  <si>
    <t>Jabra Pro 925 (bord + mobil)</t>
  </si>
  <si>
    <t>20:20 Brightstar</t>
  </si>
  <si>
    <t xml:space="preserve">Udvidet garanti i 36 mdr. (Ekstra garanti er tillagt kosprisen). </t>
  </si>
  <si>
    <t>Jabra Engage 75 Mono (bord + mobil + PC))</t>
  </si>
  <si>
    <t>Jabra Engage 75 Stereo (bord + mobil + PC)</t>
  </si>
  <si>
    <t>Jabra Evolve 65 Mono MS UC m. ladestand</t>
  </si>
  <si>
    <r>
      <t xml:space="preserve">Udvidet garanti i 36 mdr. </t>
    </r>
    <r>
      <rPr>
        <b/>
        <i/>
        <sz val="11"/>
        <color theme="1"/>
        <rFont val="Calibri"/>
        <family val="2"/>
        <scheme val="minor"/>
      </rPr>
      <t>(OBS: Sælger dækker selv år 3)</t>
    </r>
  </si>
  <si>
    <t>Jabra Evolve 75E UC in-ear</t>
  </si>
  <si>
    <t>IP Fastnet udstyr</t>
  </si>
  <si>
    <t>LG 8815E</t>
  </si>
  <si>
    <r>
      <t>Ombytningsret i 36 mdr. ved defekt. (Defekt som er indenfor reklamationsret). </t>
    </r>
    <r>
      <rPr>
        <b/>
        <i/>
        <sz val="11"/>
        <color theme="1"/>
        <rFont val="Calibri"/>
        <family val="2"/>
        <scheme val="minor"/>
      </rPr>
      <t>(OBS: Sælger dækker selv år 3)</t>
    </r>
  </si>
  <si>
    <t>LG 8830E</t>
  </si>
  <si>
    <t>LG 8840E</t>
  </si>
  <si>
    <t>EHS Adaptor Ericsson LG-88xx</t>
  </si>
  <si>
    <r>
      <t>Ombytningsret i 36 mdr. ved defekt. (Indenfor reklamtionsretten).</t>
    </r>
    <r>
      <rPr>
        <b/>
        <i/>
        <sz val="11"/>
        <color theme="1"/>
        <rFont val="Calibri"/>
        <family val="2"/>
        <scheme val="minor"/>
      </rPr>
      <t> (OBS: Sælger dækker selv ved defekt).</t>
    </r>
  </si>
  <si>
    <t>LG 8830 sidepanel LED (DSS12 STG DSS LED)</t>
  </si>
  <si>
    <t>Ata boks Cisco</t>
  </si>
  <si>
    <t>Smartphone bundle</t>
  </si>
  <si>
    <t>HW Model</t>
  </si>
  <si>
    <t>Sony Xperia XA3</t>
  </si>
  <si>
    <t>Forsikring</t>
  </si>
  <si>
    <t>Panzer (iStore)</t>
  </si>
  <si>
    <t>Cover Puro</t>
  </si>
  <si>
    <t>Kan ikke skaffes. Anden model bliver aktuel</t>
  </si>
  <si>
    <t>Bundle</t>
  </si>
  <si>
    <t>Samsung A6 (2018) inkl. AllRisk, cover og beskyttelsesglas</t>
  </si>
  <si>
    <t>Huawei P Smart 2019 inkl. AllRisk, cover og beskyttelsesglas</t>
  </si>
  <si>
    <t>Huawei P20 Lite inkl. AllRisk, cover og beskyttelsesglas</t>
  </si>
  <si>
    <t>Cover PURO</t>
  </si>
  <si>
    <t>Feature phones</t>
  </si>
  <si>
    <t>Doro PhoneEasy 530x</t>
  </si>
  <si>
    <t>IMM</t>
  </si>
  <si>
    <r>
      <t xml:space="preserve">Ombytningsret i 36 mdr. ved defekt. Dog max. 1 ombytning pr. aftaleår(Defekt som er indenfor reklamationsret). </t>
    </r>
    <r>
      <rPr>
        <b/>
        <sz val="11"/>
        <color theme="1"/>
        <rFont val="Calibri"/>
        <family val="2"/>
        <scheme val="minor"/>
      </rPr>
      <t>(OBS: Sælger dækker selv år 3)</t>
    </r>
  </si>
  <si>
    <t>Mobilt bredbånd</t>
  </si>
  <si>
    <t>Zyxel WAH7706 4G Cat6 Router</t>
  </si>
  <si>
    <t>Huawei B525 4G MBB router</t>
  </si>
  <si>
    <t>Zyxel</t>
  </si>
  <si>
    <t>Huawei 4G wifi router</t>
  </si>
  <si>
    <t>DORO Mobil telefon</t>
  </si>
  <si>
    <t>Jabra/Plantronics/Sennheiser Trådløst Office headset</t>
  </si>
  <si>
    <t>Jabra/Plantronics/Sennheiser BT headset</t>
  </si>
  <si>
    <t>Plantronics Voyager Legend (mobil)</t>
  </si>
  <si>
    <t>Plantronics Voyager 5200 UC (mobil + PC)</t>
  </si>
  <si>
    <t>Plantronics Voyager 4210 UC (mobil + PC)</t>
  </si>
  <si>
    <t>AllRisk Bundling</t>
  </si>
  <si>
    <t>TILGÅR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</si>
</sst>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2" fontId="0" fillId="4" borderId="1" xfId="0" applyNumberFormat="1" applyFill="1" applyBorder="1"/>
    <xf numFmtId="2" fontId="0" fillId="3" borderId="1" xfId="0" applyNumberFormat="1" applyFill="1" applyBorder="1"/>
    <xf numFmtId="2" fontId="0" fillId="0" borderId="1" xfId="0" applyNumberFormat="1" applyBorder="1"/>
    <xf numFmtId="0" fontId="0" fillId="6" borderId="1" xfId="0" applyFill="1" applyBorder="1"/>
    <xf numFmtId="2" fontId="0" fillId="6" borderId="1" xfId="0" applyNumberFormat="1" applyFill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3" fontId="0" fillId="0" borderId="20" xfId="0" applyNumberFormat="1" applyBorder="1"/>
    <xf numFmtId="2" fontId="0" fillId="0" borderId="20" xfId="0" applyNumberFormat="1" applyBorder="1"/>
    <xf numFmtId="4" fontId="0" fillId="4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2" fontId="1" fillId="0" borderId="1" xfId="0" applyNumberFormat="1" applyFont="1" applyBorder="1"/>
    <xf numFmtId="2" fontId="1" fillId="5" borderId="1" xfId="0" applyNumberFormat="1" applyFont="1" applyFill="1" applyBorder="1"/>
    <xf numFmtId="4" fontId="1" fillId="5" borderId="1" xfId="0" applyNumberFormat="1" applyFont="1" applyFill="1" applyBorder="1"/>
    <xf numFmtId="2" fontId="0" fillId="5" borderId="1" xfId="0" applyNumberFormat="1" applyFill="1" applyBorder="1"/>
    <xf numFmtId="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" fontId="1" fillId="5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1" fillId="3" borderId="8" xfId="0" applyNumberFormat="1" applyFon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2" fontId="1" fillId="0" borderId="8" xfId="0" applyNumberFormat="1" applyFont="1" applyBorder="1" applyAlignment="1">
      <alignment horizontal="center" wrapText="1"/>
    </xf>
    <xf numFmtId="2" fontId="1" fillId="0" borderId="22" xfId="0" applyNumberFormat="1" applyFont="1" applyBorder="1" applyAlignment="1">
      <alignment horizontal="center"/>
    </xf>
    <xf numFmtId="2" fontId="1" fillId="8" borderId="8" xfId="0" applyNumberFormat="1" applyFont="1" applyFill="1" applyBorder="1" applyAlignment="1">
      <alignment horizontal="left" vertical="center" wrapText="1"/>
    </xf>
    <xf numFmtId="2" fontId="1" fillId="8" borderId="8" xfId="0" applyNumberFormat="1" applyFont="1" applyFill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left" vertical="top" wrapText="1"/>
    </xf>
    <xf numFmtId="2" fontId="1" fillId="8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1" fillId="6" borderId="14" xfId="0" applyFont="1" applyFill="1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1" fillId="6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1" fillId="5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6" borderId="22" xfId="0" applyFont="1" applyFill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2" fontId="1" fillId="9" borderId="1" xfId="0" applyNumberFormat="1" applyFont="1" applyFill="1" applyBorder="1" applyAlignment="1">
      <alignment horizontal="center" vertical="center"/>
    </xf>
    <xf numFmtId="2" fontId="1" fillId="9" borderId="22" xfId="0" applyNumberFormat="1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wrapText="1"/>
    </xf>
    <xf numFmtId="0" fontId="4" fillId="7" borderId="7" xfId="0" applyFont="1" applyFill="1" applyBorder="1" applyAlignment="1">
      <alignment horizontal="center" wrapText="1"/>
    </xf>
    <xf numFmtId="0" fontId="0" fillId="2" borderId="22" xfId="0" applyFill="1" applyBorder="1" applyAlignment="1">
      <alignment vertical="center"/>
    </xf>
    <xf numFmtId="0" fontId="1" fillId="0" borderId="22" xfId="0" applyFont="1" applyBorder="1"/>
    <xf numFmtId="2" fontId="0" fillId="0" borderId="22" xfId="0" applyNumberFormat="1" applyBorder="1"/>
    <xf numFmtId="2" fontId="1" fillId="0" borderId="22" xfId="0" applyNumberFormat="1" applyFont="1" applyBorder="1"/>
    <xf numFmtId="0" fontId="0" fillId="6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/>
    </xf>
    <xf numFmtId="0" fontId="0" fillId="6" borderId="22" xfId="0" applyFill="1" applyBorder="1" applyAlignment="1">
      <alignment vertical="center"/>
    </xf>
    <xf numFmtId="0" fontId="0" fillId="6" borderId="22" xfId="0" applyFill="1" applyBorder="1" applyAlignment="1">
      <alignment horizontal="left" vertical="center"/>
    </xf>
    <xf numFmtId="0" fontId="0" fillId="6" borderId="22" xfId="0" applyFill="1" applyBorder="1"/>
    <xf numFmtId="0" fontId="1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left" vertical="center" wrapText="1"/>
    </xf>
    <xf numFmtId="2" fontId="0" fillId="4" borderId="22" xfId="0" applyNumberFormat="1" applyFill="1" applyBorder="1"/>
    <xf numFmtId="2" fontId="1" fillId="0" borderId="20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2" fontId="1" fillId="9" borderId="20" xfId="0" applyNumberFormat="1" applyFont="1" applyFill="1" applyBorder="1" applyAlignment="1">
      <alignment horizontal="center" vertical="center" wrapText="1"/>
    </xf>
    <xf numFmtId="2" fontId="1" fillId="9" borderId="11" xfId="0" applyNumberFormat="1" applyFont="1" applyFill="1" applyBorder="1" applyAlignment="1">
      <alignment horizontal="center" vertical="center" wrapText="1"/>
    </xf>
    <xf numFmtId="2" fontId="1" fillId="9" borderId="21" xfId="0" applyNumberFormat="1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2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lther Herløv Larsen" id="{7ADF54A6-D45B-441A-B11D-1B8B1C7317CC}" userId="S::WHE@tdc.dk::88502a22-83c8-427b-b44b-597f381755ca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tabSelected="1" zoomScale="90" zoomScaleNormal="9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D54" sqref="D54"/>
    </sheetView>
  </sheetViews>
  <sheetFormatPr defaultRowHeight="15" x14ac:dyDescent="0.25"/>
  <cols>
    <col min="1" max="1" width="53.42578125" customWidth="1"/>
    <col min="2" max="2" width="23.85546875" customWidth="1"/>
    <col min="3" max="3" width="24" style="36" customWidth="1"/>
    <col min="4" max="4" width="45.28515625" style="36" customWidth="1"/>
    <col min="5" max="5" width="35.28515625" style="36" customWidth="1"/>
    <col min="6" max="6" width="60.5703125" style="36" customWidth="1"/>
    <col min="8" max="8" width="20.42578125" customWidth="1"/>
    <col min="9" max="9" width="68.5703125" customWidth="1"/>
    <col min="10" max="10" width="25.140625" customWidth="1"/>
    <col min="11" max="11" width="22.140625" customWidth="1"/>
    <col min="12" max="12" width="13.85546875" customWidth="1"/>
    <col min="15" max="15" width="19.5703125" customWidth="1"/>
  </cols>
  <sheetData>
    <row r="1" spans="1:12" ht="42.75" thickBot="1" x14ac:dyDescent="0.4">
      <c r="A1" s="43" t="s">
        <v>0</v>
      </c>
      <c r="B1" s="44" t="s">
        <v>1</v>
      </c>
      <c r="C1" s="44" t="s">
        <v>2</v>
      </c>
      <c r="D1" s="107" t="s">
        <v>3</v>
      </c>
      <c r="E1" s="108" t="s">
        <v>4</v>
      </c>
      <c r="F1" s="108" t="s">
        <v>5</v>
      </c>
      <c r="G1" s="45" t="s">
        <v>6</v>
      </c>
      <c r="H1" s="45" t="s">
        <v>7</v>
      </c>
      <c r="I1" s="44" t="s">
        <v>8</v>
      </c>
      <c r="J1" s="44" t="s">
        <v>9</v>
      </c>
      <c r="K1" s="44" t="s">
        <v>10</v>
      </c>
      <c r="L1" s="46" t="s">
        <v>11</v>
      </c>
    </row>
    <row r="2" spans="1:12" ht="15.75" thickBot="1" x14ac:dyDescent="0.3">
      <c r="A2" s="9"/>
      <c r="B2" s="29"/>
      <c r="C2" s="11"/>
      <c r="D2" s="10"/>
      <c r="E2" s="10"/>
      <c r="F2" s="10"/>
      <c r="G2" s="10"/>
      <c r="H2" s="10"/>
      <c r="I2" s="11"/>
      <c r="J2" s="11"/>
      <c r="K2" s="11"/>
      <c r="L2" s="12"/>
    </row>
    <row r="3" spans="1:12" x14ac:dyDescent="0.25">
      <c r="A3" s="16" t="s">
        <v>12</v>
      </c>
      <c r="B3" s="30"/>
      <c r="C3" s="14"/>
      <c r="D3" s="13"/>
      <c r="E3" s="13"/>
      <c r="F3" s="13"/>
      <c r="G3" s="13"/>
      <c r="H3" s="13"/>
      <c r="I3" s="14"/>
      <c r="J3" s="14"/>
      <c r="K3" s="14"/>
      <c r="L3" s="15"/>
    </row>
    <row r="4" spans="1:12" ht="30" x14ac:dyDescent="0.25">
      <c r="A4" s="68" t="s">
        <v>13</v>
      </c>
      <c r="B4" s="52">
        <v>65</v>
      </c>
      <c r="C4" s="105">
        <v>65</v>
      </c>
      <c r="D4" s="49" t="str">
        <f>"Professionelt office headset Focus UC B825 (Mobil + PC) - Pris pr. stk. pr. md. "&amp;C4&amp;",-"</f>
        <v>Professionelt office headset Focus UC B825 (Mobil + PC) - Pris pr. stk. pr. md. 65,-</v>
      </c>
      <c r="E4" s="50" t="s">
        <v>58</v>
      </c>
      <c r="F4" s="49" t="str">
        <f>"Plantronics Focus UC B825 (Mobil + PC) - Pris pr. stk. pr. md. "&amp;C4&amp;",- *"</f>
        <v>Plantronics Focus UC B825 (Mobil + PC) - Pris pr. stk. pr. md. 65,- *</v>
      </c>
      <c r="G4" s="88">
        <v>24856</v>
      </c>
      <c r="H4" s="88" t="s">
        <v>14</v>
      </c>
      <c r="I4" s="100" t="s">
        <v>15</v>
      </c>
      <c r="J4" s="4">
        <v>1008.71</v>
      </c>
      <c r="K4" s="6">
        <v>1899</v>
      </c>
      <c r="L4" s="22">
        <f>(36*C4)-J4</f>
        <v>1331.29</v>
      </c>
    </row>
    <row r="5" spans="1:12" ht="30" x14ac:dyDescent="0.25">
      <c r="A5" s="68" t="s">
        <v>16</v>
      </c>
      <c r="B5" s="52">
        <v>99</v>
      </c>
      <c r="C5" s="105">
        <v>99</v>
      </c>
      <c r="D5" s="49" t="str">
        <f>"Professionelt office headset Savi W8210A Mono (Mobil + Bord+ PC) - Pris pr. stk. pr. md. "&amp;C5&amp;",-"</f>
        <v>Professionelt office headset Savi W8210A Mono (Mobil + Bord+ PC) - Pris pr. stk. pr. md. 99,-</v>
      </c>
      <c r="E5" s="50" t="s">
        <v>58</v>
      </c>
      <c r="F5" s="49" t="str">
        <f>"Plantronics Savi W8210A Mono (Mobil + Bord+ PC) - Pris pr. stk. pr. md. "&amp;C5&amp;",- *"</f>
        <v>Plantronics Savi W8210A Mono (Mobil + Bord+ PC) - Pris pr. stk. pr. md. 99,- *</v>
      </c>
      <c r="G5" s="88">
        <v>29165</v>
      </c>
      <c r="H5" s="88" t="s">
        <v>14</v>
      </c>
      <c r="I5" s="100" t="s">
        <v>15</v>
      </c>
      <c r="J5" s="4">
        <v>1592.39</v>
      </c>
      <c r="K5" s="6">
        <v>2999</v>
      </c>
      <c r="L5" s="22">
        <f>(36*C5)-J5</f>
        <v>1971.61</v>
      </c>
    </row>
    <row r="6" spans="1:12" ht="30" x14ac:dyDescent="0.25">
      <c r="A6" s="68" t="s">
        <v>60</v>
      </c>
      <c r="B6" s="52">
        <v>25</v>
      </c>
      <c r="C6" s="105">
        <v>25</v>
      </c>
      <c r="D6" s="49" t="str">
        <f>"Bluetooth headset Voyager Legend (mobil) - Pris pr. stk. pr. md. "&amp;C6&amp;",-"</f>
        <v>Bluetooth headset Voyager Legend (mobil) - Pris pr. stk. pr. md. 25,-</v>
      </c>
      <c r="E6" s="50" t="s">
        <v>59</v>
      </c>
      <c r="F6" s="49" t="str">
        <f>"Plantronics Voyager Legend (mobil) - Pris pr. stk. pr. md. "&amp;C6&amp;",- *"</f>
        <v>Plantronics Voyager Legend (mobil) - Pris pr. stk. pr. md. 25,- *</v>
      </c>
      <c r="G6" s="88">
        <v>7010</v>
      </c>
      <c r="H6" s="88" t="s">
        <v>17</v>
      </c>
      <c r="I6" s="100" t="s">
        <v>18</v>
      </c>
      <c r="J6" s="4">
        <v>327</v>
      </c>
      <c r="K6" s="6">
        <v>660</v>
      </c>
      <c r="L6" s="22">
        <f>(36*C6)-J6</f>
        <v>573</v>
      </c>
    </row>
    <row r="7" spans="1:12" ht="30" x14ac:dyDescent="0.25">
      <c r="A7" s="68" t="s">
        <v>61</v>
      </c>
      <c r="B7" s="52">
        <v>50</v>
      </c>
      <c r="C7" s="105">
        <v>50</v>
      </c>
      <c r="D7" s="49" t="str">
        <f>"Bluetooth headset Voyager 5200 UC (mobil + PC) - Pris pr. stk. pr. md. "&amp;C7&amp;",-"</f>
        <v>Bluetooth headset Voyager 5200 UC (mobil + PC) - Pris pr. stk. pr. md. 50,-</v>
      </c>
      <c r="E7" s="50" t="s">
        <v>59</v>
      </c>
      <c r="F7" s="49" t="str">
        <f>"Plantronics Voyager 5200 UC (mobil + PC) - Pris pr. stk. pr. md. "&amp;C7&amp;",- *"</f>
        <v>Plantronics Voyager 5200 UC (mobil + PC) - Pris pr. stk. pr. md. 50,- *</v>
      </c>
      <c r="G7" s="88">
        <v>25947</v>
      </c>
      <c r="H7" s="88" t="s">
        <v>14</v>
      </c>
      <c r="I7" s="100" t="s">
        <v>15</v>
      </c>
      <c r="J7" s="4">
        <v>767.3</v>
      </c>
      <c r="K7" s="6">
        <v>1299</v>
      </c>
      <c r="L7" s="22">
        <f>(36*C7)-J7</f>
        <v>1032.7</v>
      </c>
    </row>
    <row r="8" spans="1:12" ht="30" x14ac:dyDescent="0.25">
      <c r="A8" s="68" t="s">
        <v>62</v>
      </c>
      <c r="B8" s="52">
        <v>50</v>
      </c>
      <c r="C8" s="105">
        <v>50</v>
      </c>
      <c r="D8" s="49" t="str">
        <f>"Bluetooth headset Voyager 4210 UC (mobil + PC) - Pris pr. stk. pr. md. "&amp;C8&amp;",-"</f>
        <v>Bluetooth headset Voyager 4210 UC (mobil + PC) - Pris pr. stk. pr. md. 50,-</v>
      </c>
      <c r="E8" s="50" t="s">
        <v>59</v>
      </c>
      <c r="F8" s="49" t="str">
        <f>"Plantronics Voyager 4210 UC (mobil + PC) - Pris pr. stk. pr. md. "&amp;C8&amp;",- *"</f>
        <v>Plantronics Voyager 4210 UC (mobil + PC) - Pris pr. stk. pr. md. 50,- *</v>
      </c>
      <c r="G8" s="88">
        <v>29218</v>
      </c>
      <c r="H8" s="88" t="s">
        <v>14</v>
      </c>
      <c r="I8" s="100" t="s">
        <v>15</v>
      </c>
      <c r="J8" s="4">
        <v>780.02</v>
      </c>
      <c r="K8" s="6">
        <v>1359</v>
      </c>
      <c r="L8" s="22">
        <f>(36*C8)-J8</f>
        <v>1019.98</v>
      </c>
    </row>
    <row r="9" spans="1:12" x14ac:dyDescent="0.25">
      <c r="A9" s="69"/>
      <c r="B9" s="53"/>
      <c r="C9" s="53"/>
      <c r="D9" s="37"/>
      <c r="E9" s="37"/>
      <c r="F9" s="37"/>
      <c r="G9" s="97"/>
      <c r="H9" s="89"/>
      <c r="I9" s="102"/>
      <c r="J9" s="5"/>
      <c r="K9" s="5"/>
      <c r="L9" s="5"/>
    </row>
    <row r="10" spans="1:12" ht="30" x14ac:dyDescent="0.25">
      <c r="A10" s="68" t="s">
        <v>19</v>
      </c>
      <c r="B10" s="52">
        <v>65</v>
      </c>
      <c r="C10" s="105">
        <v>65</v>
      </c>
      <c r="D10" s="49" t="str">
        <f>"Professionelt Office Headset Jabra Pro 925 (Bord + Mobil) - Pris pr. stk pr. md. "&amp;C10&amp;",-"</f>
        <v>Professionelt Office Headset Jabra Pro 925 (Bord + Mobil) - Pris pr. stk pr. md. 65,-</v>
      </c>
      <c r="E10" s="50" t="s">
        <v>58</v>
      </c>
      <c r="F10" s="49" t="str">
        <f>"Jabra Pro 925 (Bord + Mobil) - Pris pr. stk pr. md. "&amp;C10&amp;",- *"</f>
        <v>Jabra Pro 925 (Bord + Mobil) - Pris pr. stk pr. md. 65,- *</v>
      </c>
      <c r="G10" s="88">
        <v>22365</v>
      </c>
      <c r="H10" s="88" t="s">
        <v>20</v>
      </c>
      <c r="I10" s="83" t="s">
        <v>21</v>
      </c>
      <c r="J10" s="4">
        <v>1075</v>
      </c>
      <c r="K10" s="6">
        <v>1699</v>
      </c>
      <c r="L10" s="22">
        <f>(36*C10)-J10</f>
        <v>1265</v>
      </c>
    </row>
    <row r="11" spans="1:12" ht="30" x14ac:dyDescent="0.25">
      <c r="A11" s="68" t="s">
        <v>22</v>
      </c>
      <c r="B11" s="52">
        <v>99</v>
      </c>
      <c r="C11" s="105">
        <v>99</v>
      </c>
      <c r="D11" s="49" t="str">
        <f>"Professionelt Office Headset Jabra Engage 75 Mono (Bord + Mobil + PC) - Pris pr. stk pr. md. "&amp;C11&amp;",-"</f>
        <v>Professionelt Office Headset Jabra Engage 75 Mono (Bord + Mobil + PC) - Pris pr. stk pr. md. 99,-</v>
      </c>
      <c r="E11" s="50" t="s">
        <v>58</v>
      </c>
      <c r="F11" s="49" t="str">
        <f>"Jabra Engage 75 Mono (Bord + Mobil + PC) - Pris pr. stk pr. md. "&amp;C11&amp;",- *"</f>
        <v>Jabra Engage 75 Mono (Bord + Mobil + PC) - Pris pr. stk pr. md. 99,- *</v>
      </c>
      <c r="G11" s="88">
        <v>28489</v>
      </c>
      <c r="H11" s="88" t="s">
        <v>20</v>
      </c>
      <c r="I11" s="83" t="s">
        <v>21</v>
      </c>
      <c r="J11" s="4">
        <v>1665.85</v>
      </c>
      <c r="K11" s="6">
        <v>2799</v>
      </c>
      <c r="L11" s="22">
        <f t="shared" ref="L11:L14" si="0">(36*C11)-J11</f>
        <v>1898.15</v>
      </c>
    </row>
    <row r="12" spans="1:12" ht="45" x14ac:dyDescent="0.25">
      <c r="A12" s="68" t="s">
        <v>23</v>
      </c>
      <c r="B12" s="52">
        <v>105</v>
      </c>
      <c r="C12" s="105">
        <v>105</v>
      </c>
      <c r="D12" s="49" t="str">
        <f>"Professionelt Office Headset Jabra Engage 75 Stereo (Bord + Mobil+PC) - Pris pr. stk pr. md. "&amp;C12&amp;",-"</f>
        <v>Professionelt Office Headset Jabra Engage 75 Stereo (Bord + Mobil+PC) - Pris pr. stk pr. md. 105,-</v>
      </c>
      <c r="E12" s="50" t="s">
        <v>58</v>
      </c>
      <c r="F12" s="49" t="str">
        <f>"Jabra Engage 75 Stereo (Bord + Mobil+PC) - Pris pr. stk pr. md. "&amp;C12&amp;",- *"</f>
        <v>Jabra Engage 75 Stereo (Bord + Mobil+PC) - Pris pr. stk pr. md. 105,- *</v>
      </c>
      <c r="G12" s="88">
        <v>28463</v>
      </c>
      <c r="H12" s="88" t="s">
        <v>20</v>
      </c>
      <c r="I12" s="83" t="s">
        <v>21</v>
      </c>
      <c r="J12" s="4">
        <v>1753.76</v>
      </c>
      <c r="K12" s="6">
        <v>2899</v>
      </c>
      <c r="L12" s="22">
        <f t="shared" si="0"/>
        <v>2026.24</v>
      </c>
    </row>
    <row r="13" spans="1:12" ht="45" x14ac:dyDescent="0.25">
      <c r="A13" s="68" t="s">
        <v>24</v>
      </c>
      <c r="B13" s="52">
        <v>55</v>
      </c>
      <c r="C13" s="105">
        <v>55</v>
      </c>
      <c r="D13" s="49" t="str">
        <f>"Proffesionelt Bluetooth headset Jabra Evolve 65 Mono MS UC m. ladestand - Pris pr. stk pr. md. "&amp;C13&amp;",-"</f>
        <v>Proffesionelt Bluetooth headset Jabra Evolve 65 Mono MS UC m. ladestand - Pris pr. stk pr. md. 55,-</v>
      </c>
      <c r="E13" s="50" t="s">
        <v>59</v>
      </c>
      <c r="F13" s="49" t="str">
        <f>"Jabra Evolve 65 Mono MS UC m. ladestand - Pris pr. stk pr. md. "&amp;C13&amp;",- *"</f>
        <v>Jabra Evolve 65 Mono MS UC m. ladestand - Pris pr. stk pr. md. 55,- *</v>
      </c>
      <c r="G13" s="88">
        <v>27503</v>
      </c>
      <c r="H13" s="88" t="s">
        <v>20</v>
      </c>
      <c r="I13" s="83" t="s">
        <v>25</v>
      </c>
      <c r="J13" s="4">
        <v>901.06</v>
      </c>
      <c r="K13" s="6">
        <v>1499</v>
      </c>
      <c r="L13" s="22">
        <f t="shared" si="0"/>
        <v>1078.94</v>
      </c>
    </row>
    <row r="14" spans="1:12" ht="45.75" thickBot="1" x14ac:dyDescent="0.3">
      <c r="A14" s="70" t="s">
        <v>26</v>
      </c>
      <c r="B14" s="52">
        <v>55</v>
      </c>
      <c r="C14" s="105">
        <v>55</v>
      </c>
      <c r="D14" s="49" t="str">
        <f>"Proffesionelt Bluetooth headset Jabra Evolve 75e Mono UC in -ear (M. ANC). - Pris pr. stk pr. md. "&amp;C14&amp;",-"</f>
        <v>Proffesionelt Bluetooth headset Jabra Evolve 75e Mono UC in -ear (M. ANC). - Pris pr. stk pr. md. 55,-</v>
      </c>
      <c r="E14" s="50" t="s">
        <v>59</v>
      </c>
      <c r="F14" s="49" t="str">
        <f>"Jabra Evolve 75e Mono UC in -ear (M. ANC). - Pris pr. stk pr. md. "&amp;C14&amp;",- *"</f>
        <v>Jabra Evolve 75e Mono UC in -ear (M. ANC). - Pris pr. stk pr. md. 55,- *</v>
      </c>
      <c r="G14" s="88">
        <v>28339</v>
      </c>
      <c r="H14" s="88" t="s">
        <v>20</v>
      </c>
      <c r="I14" s="83" t="s">
        <v>25</v>
      </c>
      <c r="J14" s="4">
        <v>1029</v>
      </c>
      <c r="K14" s="6">
        <v>1499</v>
      </c>
      <c r="L14" s="22">
        <f t="shared" si="0"/>
        <v>951</v>
      </c>
    </row>
    <row r="15" spans="1:12" ht="15.75" thickBot="1" x14ac:dyDescent="0.3">
      <c r="A15" s="71"/>
      <c r="B15" s="54"/>
      <c r="C15" s="54"/>
      <c r="D15" s="38"/>
      <c r="E15" s="38"/>
      <c r="F15" s="38"/>
      <c r="G15" s="88"/>
      <c r="H15" s="90"/>
      <c r="I15" s="83"/>
      <c r="J15" s="6"/>
      <c r="K15" s="6"/>
      <c r="L15" s="6"/>
    </row>
    <row r="16" spans="1:12" x14ac:dyDescent="0.25">
      <c r="A16" s="72" t="s">
        <v>27</v>
      </c>
      <c r="B16" s="55"/>
      <c r="C16" s="55"/>
      <c r="D16" s="39"/>
      <c r="E16" s="39"/>
      <c r="F16" s="39"/>
      <c r="G16" s="98"/>
      <c r="H16" s="91"/>
      <c r="I16" s="82"/>
      <c r="J16" s="8"/>
      <c r="K16" s="8"/>
      <c r="L16" s="8"/>
    </row>
    <row r="17" spans="1:12" ht="45" x14ac:dyDescent="0.25">
      <c r="A17" s="68" t="s">
        <v>28</v>
      </c>
      <c r="B17" s="56">
        <v>39</v>
      </c>
      <c r="C17" s="105">
        <v>39</v>
      </c>
      <c r="D17" s="51" t="str">
        <f>"E * IP Bordapparat m. 8 progamerbare genvejstaster- samt 5 linjer i displayet. - Pris pr. stk pr. md. "&amp;C17&amp;",-"</f>
        <v>E * IP Bordapparat m. 8 progamerbare genvejstaster- samt 5 linjer i displayet. - Pris pr. stk pr. md. 39,-</v>
      </c>
      <c r="E17" s="40"/>
      <c r="F17" s="47"/>
      <c r="G17" s="88">
        <v>22399</v>
      </c>
      <c r="H17" s="88" t="s">
        <v>17</v>
      </c>
      <c r="I17" s="100" t="s">
        <v>29</v>
      </c>
      <c r="J17" s="4">
        <v>328.77</v>
      </c>
      <c r="K17" s="6">
        <v>699</v>
      </c>
      <c r="L17" s="22">
        <f t="shared" ref="L17:L22" si="1">(36*C17)-J17</f>
        <v>1075.23</v>
      </c>
    </row>
    <row r="18" spans="1:12" ht="45" x14ac:dyDescent="0.25">
      <c r="A18" s="68" t="s">
        <v>30</v>
      </c>
      <c r="B18" s="56">
        <v>49</v>
      </c>
      <c r="C18" s="105">
        <v>49</v>
      </c>
      <c r="D18" s="51" t="str">
        <f>"E * IP Bordapparat m. 24 progamerbare genvejstaster -samt 4 linjer i displayet. - Pris pr. stk pr. md. "&amp;C18&amp;",-"</f>
        <v>E * IP Bordapparat m. 24 progamerbare genvejstaster -samt 4 linjer i displayet. - Pris pr. stk pr. md. 49,-</v>
      </c>
      <c r="E18" s="40"/>
      <c r="F18" s="47"/>
      <c r="G18" s="88">
        <v>22398</v>
      </c>
      <c r="H18" s="88" t="s">
        <v>17</v>
      </c>
      <c r="I18" s="100" t="s">
        <v>29</v>
      </c>
      <c r="J18" s="4">
        <v>623.57000000000005</v>
      </c>
      <c r="K18" s="6">
        <v>1359</v>
      </c>
      <c r="L18" s="22">
        <f t="shared" si="1"/>
        <v>1140.4299999999998</v>
      </c>
    </row>
    <row r="19" spans="1:12" ht="45" x14ac:dyDescent="0.25">
      <c r="A19" s="68" t="s">
        <v>31</v>
      </c>
      <c r="B19" s="56">
        <v>55</v>
      </c>
      <c r="C19" s="105">
        <v>55</v>
      </c>
      <c r="D19" s="51" t="str">
        <f>"E * IP Bordapparat m. 3 programerbare genvejstaster -samt 9 linjer i displayet. - Pris pr. stk pr. md. "&amp;C19&amp;",-"</f>
        <v>E * IP Bordapparat m. 3 programerbare genvejstaster -samt 9 linjer i displayet. - Pris pr. stk pr. md. 55,-</v>
      </c>
      <c r="E19" s="40"/>
      <c r="F19" s="47"/>
      <c r="G19" s="88">
        <v>24122</v>
      </c>
      <c r="H19" s="88" t="s">
        <v>17</v>
      </c>
      <c r="I19" s="100" t="s">
        <v>29</v>
      </c>
      <c r="J19" s="4">
        <v>713.28</v>
      </c>
      <c r="K19" s="6">
        <v>1599</v>
      </c>
      <c r="L19" s="22">
        <f t="shared" si="1"/>
        <v>1266.72</v>
      </c>
    </row>
    <row r="20" spans="1:12" ht="30" x14ac:dyDescent="0.25">
      <c r="A20" s="68" t="s">
        <v>32</v>
      </c>
      <c r="B20" s="56">
        <v>25</v>
      </c>
      <c r="C20" s="105">
        <v>25</v>
      </c>
      <c r="D20" s="51" t="str">
        <f>"EHS Adaptor Ericsson LG-88xx (rørløfter) *. - Pris pr. stk pr. md. "&amp;C20&amp;",-"</f>
        <v>EHS Adaptor Ericsson LG-88xx (rørløfter) *. - Pris pr. stk pr. md. 25,-</v>
      </c>
      <c r="E20" s="40"/>
      <c r="F20" s="47"/>
      <c r="G20" s="88">
        <v>22520</v>
      </c>
      <c r="H20" s="88"/>
      <c r="I20" s="100" t="s">
        <v>33</v>
      </c>
      <c r="J20" s="4">
        <v>282</v>
      </c>
      <c r="K20" s="6">
        <v>449</v>
      </c>
      <c r="L20" s="22">
        <f t="shared" si="1"/>
        <v>618</v>
      </c>
    </row>
    <row r="21" spans="1:12" ht="30" x14ac:dyDescent="0.25">
      <c r="A21" s="73" t="s">
        <v>34</v>
      </c>
      <c r="B21" s="56">
        <v>19</v>
      </c>
      <c r="C21" s="105">
        <v>19</v>
      </c>
      <c r="D21" s="51" t="str">
        <f>"LG 8830 sidepanel LED * (DSS12 STG DSS LED) m. 12 genvejstaster. - Pris pr. stk pr. md. "&amp;C21&amp;",-"</f>
        <v>LG 8830 sidepanel LED * (DSS12 STG DSS LED) m. 12 genvejstaster. - Pris pr. stk pr. md. 19,-</v>
      </c>
      <c r="E21" s="40"/>
      <c r="F21" s="47"/>
      <c r="G21" s="88">
        <v>16006</v>
      </c>
      <c r="H21" s="88" t="s">
        <v>17</v>
      </c>
      <c r="I21" s="100" t="s">
        <v>29</v>
      </c>
      <c r="J21" s="19">
        <v>153.94</v>
      </c>
      <c r="K21" s="6">
        <v>449.2</v>
      </c>
      <c r="L21" s="22">
        <f t="shared" si="1"/>
        <v>530.05999999999995</v>
      </c>
    </row>
    <row r="22" spans="1:12" ht="30.75" thickBot="1" x14ac:dyDescent="0.3">
      <c r="A22" s="70" t="s">
        <v>35</v>
      </c>
      <c r="B22" s="56">
        <v>25</v>
      </c>
      <c r="C22" s="105">
        <v>25</v>
      </c>
      <c r="D22" s="51" t="str">
        <f>"Ata boks Cisco * til bredbåndstelefoni - Pris pr. stk pr. md. "&amp;C22&amp;",-"</f>
        <v>Ata boks Cisco * til bredbåndstelefoni - Pris pr. stk pr. md. 25,-</v>
      </c>
      <c r="E22" s="40"/>
      <c r="F22" s="47"/>
      <c r="G22" s="88">
        <v>21841</v>
      </c>
      <c r="H22" s="88" t="s">
        <v>17</v>
      </c>
      <c r="I22" s="100" t="s">
        <v>29</v>
      </c>
      <c r="J22" s="20">
        <v>195.85</v>
      </c>
      <c r="K22" s="6">
        <v>599</v>
      </c>
      <c r="L22" s="22">
        <f t="shared" si="1"/>
        <v>704.15</v>
      </c>
    </row>
    <row r="23" spans="1:12" ht="15.75" thickBot="1" x14ac:dyDescent="0.3">
      <c r="A23" s="74"/>
      <c r="B23" s="57"/>
      <c r="C23" s="57"/>
      <c r="D23" s="41"/>
      <c r="E23" s="41"/>
      <c r="F23" s="41"/>
      <c r="G23" s="99"/>
      <c r="H23" s="92"/>
      <c r="I23" s="103"/>
      <c r="J23" s="17"/>
      <c r="K23" s="17"/>
      <c r="L23" s="18"/>
    </row>
    <row r="24" spans="1:12" x14ac:dyDescent="0.25">
      <c r="A24" s="75" t="s">
        <v>36</v>
      </c>
      <c r="B24" s="55"/>
      <c r="C24" s="55"/>
      <c r="D24" s="32"/>
      <c r="E24" s="32"/>
      <c r="F24" s="32"/>
      <c r="G24" s="64"/>
      <c r="H24" s="93"/>
      <c r="I24" s="82"/>
      <c r="J24" s="7"/>
      <c r="K24" s="7"/>
      <c r="L24" s="8"/>
    </row>
    <row r="25" spans="1:12" x14ac:dyDescent="0.25">
      <c r="A25" s="76" t="s">
        <v>37</v>
      </c>
      <c r="B25" s="54"/>
      <c r="C25" s="54"/>
      <c r="D25" s="31"/>
      <c r="E25" s="31"/>
      <c r="F25" s="31"/>
      <c r="G25" s="58"/>
      <c r="H25" s="88" t="s">
        <v>17</v>
      </c>
      <c r="I25" s="104" t="s">
        <v>38</v>
      </c>
      <c r="J25" s="1"/>
      <c r="K25" s="1"/>
      <c r="L25" s="6"/>
    </row>
    <row r="26" spans="1:12" x14ac:dyDescent="0.25">
      <c r="A26" s="76" t="s">
        <v>39</v>
      </c>
      <c r="B26" s="54"/>
      <c r="C26" s="54"/>
      <c r="D26" s="31"/>
      <c r="E26" s="31"/>
      <c r="F26" s="31"/>
      <c r="G26" s="58"/>
      <c r="H26" s="94"/>
      <c r="I26" s="83" t="s">
        <v>64</v>
      </c>
      <c r="J26" s="1"/>
      <c r="K26" s="1"/>
      <c r="L26" s="6"/>
    </row>
    <row r="27" spans="1:12" x14ac:dyDescent="0.25">
      <c r="A27" s="76" t="s">
        <v>40</v>
      </c>
      <c r="B27" s="54"/>
      <c r="C27" s="54"/>
      <c r="D27" s="31"/>
      <c r="E27" s="31"/>
      <c r="F27" s="31"/>
      <c r="G27" s="58"/>
      <c r="H27" s="88" t="s">
        <v>17</v>
      </c>
      <c r="I27" s="83"/>
      <c r="J27" s="4">
        <v>70</v>
      </c>
      <c r="K27" s="1"/>
      <c r="L27" s="6"/>
    </row>
    <row r="28" spans="1:12" x14ac:dyDescent="0.25">
      <c r="A28" s="76" t="s">
        <v>41</v>
      </c>
      <c r="B28" s="54"/>
      <c r="C28" s="54"/>
      <c r="D28" s="31"/>
      <c r="E28" s="31"/>
      <c r="F28" s="31"/>
      <c r="G28" s="58"/>
      <c r="H28" s="88" t="s">
        <v>17</v>
      </c>
      <c r="I28" s="83" t="s">
        <v>42</v>
      </c>
      <c r="J28" s="4">
        <v>25</v>
      </c>
      <c r="K28" s="2"/>
      <c r="L28" s="6"/>
    </row>
    <row r="29" spans="1:12" x14ac:dyDescent="0.25">
      <c r="A29" s="77"/>
      <c r="B29" s="58"/>
      <c r="C29" s="58"/>
      <c r="D29" s="27"/>
      <c r="E29" s="27"/>
      <c r="F29" s="27"/>
      <c r="G29" s="58"/>
      <c r="H29" s="94"/>
      <c r="I29" s="83"/>
      <c r="J29" s="1"/>
      <c r="K29" s="1"/>
      <c r="L29" s="1"/>
    </row>
    <row r="30" spans="1:12" x14ac:dyDescent="0.25">
      <c r="A30" s="78" t="s">
        <v>43</v>
      </c>
      <c r="B30" s="59"/>
      <c r="C30" s="59"/>
      <c r="D30" s="33"/>
      <c r="E30" s="33"/>
      <c r="F30" s="33"/>
      <c r="G30" s="59"/>
      <c r="H30" s="95"/>
      <c r="I30" s="84"/>
      <c r="J30" s="21"/>
      <c r="K30" s="21"/>
      <c r="L30" s="21"/>
    </row>
    <row r="31" spans="1:12" x14ac:dyDescent="0.25">
      <c r="A31" s="77"/>
      <c r="B31" s="58"/>
      <c r="C31" s="58"/>
      <c r="D31" s="27"/>
      <c r="E31" s="27"/>
      <c r="F31" s="27"/>
      <c r="G31" s="58"/>
      <c r="H31" s="94"/>
      <c r="I31" s="83"/>
      <c r="J31" s="1"/>
      <c r="K31" s="1"/>
      <c r="L31" s="1"/>
    </row>
    <row r="32" spans="1:12" ht="30" customHeight="1" x14ac:dyDescent="0.25">
      <c r="A32" s="76" t="s">
        <v>37</v>
      </c>
      <c r="B32" s="121">
        <v>99</v>
      </c>
      <c r="C32" s="124">
        <v>99</v>
      </c>
      <c r="D32" s="127" t="str">
        <f>"Galaxy A6 (2018) smartphone inkl. 3 årig AllRisk forsikring, cover og beskyttelsesglas. Se de medfølgende vilkår for AllRisk forsikring. Pris pr. måned pr. stk. "&amp;C32 &amp;",-"</f>
        <v>Galaxy A6 (2018) smartphone inkl. 3 årig AllRisk forsikring, cover og beskyttelsesglas. Se de medfølgende vilkår for AllRisk forsikring. Pris pr. måned pr. stk. 99,-</v>
      </c>
      <c r="E32" s="130" t="s">
        <v>63</v>
      </c>
      <c r="F32" s="127" t="str">
        <f>"Samsung Galaxy A6 (2018) smartphone inkl. 3 årig AllRisk forsikring, cover og beskyttelsesglas. Se de medfølgende vilkår for AllRisk forsikring. Pris pr. måned pr. stk. "&amp;C32 &amp;",-"</f>
        <v>Samsung Galaxy A6 (2018) smartphone inkl. 3 årig AllRisk forsikring, cover og beskyttelsesglas. Se de medfølgende vilkår for AllRisk forsikring. Pris pr. måned pr. stk. 99,-</v>
      </c>
      <c r="G32" s="58">
        <v>28493</v>
      </c>
      <c r="H32" s="88" t="s">
        <v>17</v>
      </c>
      <c r="I32" s="104" t="s">
        <v>44</v>
      </c>
      <c r="J32" s="19">
        <v>1547</v>
      </c>
      <c r="K32" s="3">
        <v>2160</v>
      </c>
      <c r="L32" s="1"/>
    </row>
    <row r="33" spans="1:12" x14ac:dyDescent="0.25">
      <c r="A33" s="76" t="s">
        <v>39</v>
      </c>
      <c r="B33" s="122"/>
      <c r="C33" s="125"/>
      <c r="D33" s="128"/>
      <c r="E33" s="131"/>
      <c r="F33" s="128"/>
      <c r="G33" s="58"/>
      <c r="H33" s="94"/>
      <c r="I33" s="83"/>
      <c r="J33" s="19">
        <v>350</v>
      </c>
      <c r="K33" s="3">
        <v>490</v>
      </c>
      <c r="L33" s="1"/>
    </row>
    <row r="34" spans="1:12" x14ac:dyDescent="0.25">
      <c r="A34" s="76" t="s">
        <v>40</v>
      </c>
      <c r="B34" s="122"/>
      <c r="C34" s="125"/>
      <c r="D34" s="128"/>
      <c r="E34" s="131"/>
      <c r="F34" s="128"/>
      <c r="G34" s="58">
        <v>28555</v>
      </c>
      <c r="H34" s="88" t="s">
        <v>17</v>
      </c>
      <c r="I34" s="83"/>
      <c r="J34" s="19">
        <v>52</v>
      </c>
      <c r="K34" s="3">
        <v>160</v>
      </c>
      <c r="L34" s="1"/>
    </row>
    <row r="35" spans="1:12" x14ac:dyDescent="0.25">
      <c r="A35" s="76" t="s">
        <v>41</v>
      </c>
      <c r="B35" s="123"/>
      <c r="C35" s="126"/>
      <c r="D35" s="129"/>
      <c r="E35" s="132"/>
      <c r="F35" s="129"/>
      <c r="G35" s="58">
        <v>28553</v>
      </c>
      <c r="H35" s="88" t="s">
        <v>17</v>
      </c>
      <c r="I35" s="83"/>
      <c r="J35" s="19">
        <v>37</v>
      </c>
      <c r="K35" s="3">
        <v>119</v>
      </c>
      <c r="L35" s="1"/>
    </row>
    <row r="36" spans="1:12" x14ac:dyDescent="0.25">
      <c r="A36" s="77"/>
      <c r="B36" s="58"/>
      <c r="C36" s="58"/>
      <c r="D36" s="27"/>
      <c r="E36" s="27"/>
      <c r="F36" s="27"/>
      <c r="G36" s="58"/>
      <c r="H36" s="94"/>
      <c r="I36" s="83"/>
      <c r="J36" s="1"/>
      <c r="K36" s="1"/>
      <c r="L36" s="1"/>
    </row>
    <row r="37" spans="1:12" x14ac:dyDescent="0.25">
      <c r="A37" s="78" t="s">
        <v>43</v>
      </c>
      <c r="B37" s="60"/>
      <c r="C37" s="60"/>
      <c r="D37" s="34"/>
      <c r="E37" s="34"/>
      <c r="F37" s="34"/>
      <c r="G37" s="59"/>
      <c r="H37" s="95"/>
      <c r="I37" s="84"/>
      <c r="J37" s="24">
        <v>1986</v>
      </c>
      <c r="K37" s="26">
        <v>2929</v>
      </c>
      <c r="L37" s="23">
        <f>(36*C32)-J37</f>
        <v>1578</v>
      </c>
    </row>
    <row r="38" spans="1:12" x14ac:dyDescent="0.25">
      <c r="A38" s="77"/>
      <c r="B38" s="61"/>
      <c r="C38" s="61"/>
      <c r="D38" s="28"/>
      <c r="E38" s="28"/>
      <c r="F38" s="28"/>
      <c r="G38" s="58"/>
      <c r="H38" s="94"/>
      <c r="I38" s="83"/>
      <c r="J38" s="1"/>
      <c r="K38" s="1"/>
      <c r="L38" s="1"/>
    </row>
    <row r="39" spans="1:12" ht="15" customHeight="1" x14ac:dyDescent="0.25">
      <c r="A39" s="76" t="s">
        <v>37</v>
      </c>
      <c r="B39" s="121">
        <v>79</v>
      </c>
      <c r="C39" s="124">
        <v>79</v>
      </c>
      <c r="D39" s="127" t="str">
        <f>"Huawei P-Smart (2019) smartphone inkl. 3 årig AllRisk forsikring, cover og beskyttelsesglas. Se de medfølgende vilkår for AllRisk forsikring. Pris pr. stk pr. md. "&amp;C39&amp;",-"</f>
        <v>Huawei P-Smart (2019) smartphone inkl. 3 årig AllRisk forsikring, cover og beskyttelsesglas. Se de medfølgende vilkår for AllRisk forsikring. Pris pr. stk pr. md. 79,-</v>
      </c>
      <c r="E39" s="130" t="s">
        <v>63</v>
      </c>
      <c r="F39" s="127" t="str">
        <f>"Huawei P-Smart (2019) smartphone inkl. 3 årig AllRisk forsikring, cover og beskyttelsesglas. Se de medfølgende vilkår for AllRisk forsikring. Pris pr. stk pr. md. "&amp;C39&amp;",-"</f>
        <v>Huawei P-Smart (2019) smartphone inkl. 3 årig AllRisk forsikring, cover og beskyttelsesglas. Se de medfølgende vilkår for AllRisk forsikring. Pris pr. stk pr. md. 79,-</v>
      </c>
      <c r="G39" s="58">
        <v>29258</v>
      </c>
      <c r="H39" s="94"/>
      <c r="I39" s="104" t="s">
        <v>45</v>
      </c>
      <c r="J39" s="19">
        <v>1048</v>
      </c>
      <c r="K39" s="3">
        <v>1519</v>
      </c>
      <c r="L39" s="1"/>
    </row>
    <row r="40" spans="1:12" x14ac:dyDescent="0.25">
      <c r="A40" s="76" t="s">
        <v>39</v>
      </c>
      <c r="B40" s="122"/>
      <c r="C40" s="125"/>
      <c r="D40" s="128"/>
      <c r="E40" s="131"/>
      <c r="F40" s="128"/>
      <c r="G40" s="58"/>
      <c r="H40" s="94"/>
      <c r="I40" s="83"/>
      <c r="J40" s="19">
        <v>246</v>
      </c>
      <c r="K40" s="3">
        <v>345</v>
      </c>
      <c r="L40" s="1"/>
    </row>
    <row r="41" spans="1:12" x14ac:dyDescent="0.25">
      <c r="A41" s="76" t="s">
        <v>40</v>
      </c>
      <c r="B41" s="122"/>
      <c r="C41" s="125"/>
      <c r="D41" s="128"/>
      <c r="E41" s="131"/>
      <c r="F41" s="128"/>
      <c r="G41" s="58">
        <v>29290</v>
      </c>
      <c r="H41" s="94"/>
      <c r="I41" s="83"/>
      <c r="J41" s="19">
        <v>52</v>
      </c>
      <c r="K41" s="3">
        <v>160</v>
      </c>
      <c r="L41" s="1"/>
    </row>
    <row r="42" spans="1:12" x14ac:dyDescent="0.25">
      <c r="A42" s="76" t="s">
        <v>41</v>
      </c>
      <c r="B42" s="123"/>
      <c r="C42" s="126"/>
      <c r="D42" s="129"/>
      <c r="E42" s="132"/>
      <c r="F42" s="129"/>
      <c r="G42" s="58">
        <v>29289</v>
      </c>
      <c r="H42" s="94"/>
      <c r="I42" s="83"/>
      <c r="J42" s="19">
        <v>37</v>
      </c>
      <c r="K42" s="3">
        <v>119</v>
      </c>
      <c r="L42" s="1"/>
    </row>
    <row r="43" spans="1:12" x14ac:dyDescent="0.25">
      <c r="A43" s="77"/>
      <c r="B43" s="61"/>
      <c r="C43" s="61"/>
      <c r="D43" s="28"/>
      <c r="E43" s="28"/>
      <c r="F43" s="28"/>
      <c r="G43" s="58"/>
      <c r="H43" s="94"/>
      <c r="I43" s="83"/>
      <c r="J43" s="1"/>
      <c r="K43" s="1"/>
      <c r="L43" s="1"/>
    </row>
    <row r="44" spans="1:12" x14ac:dyDescent="0.25">
      <c r="A44" s="78" t="s">
        <v>43</v>
      </c>
      <c r="B44" s="62"/>
      <c r="C44" s="62"/>
      <c r="D44" s="35"/>
      <c r="E44" s="35"/>
      <c r="F44" s="35"/>
      <c r="G44" s="59"/>
      <c r="H44" s="95"/>
      <c r="I44" s="84"/>
      <c r="J44" s="23">
        <v>1383</v>
      </c>
      <c r="K44" s="25">
        <v>2143</v>
      </c>
      <c r="L44" s="23">
        <f>(36*C39)-J44</f>
        <v>1461</v>
      </c>
    </row>
    <row r="45" spans="1:12" x14ac:dyDescent="0.25">
      <c r="A45" s="77"/>
      <c r="B45" s="61"/>
      <c r="C45" s="61"/>
      <c r="D45" s="28"/>
      <c r="E45" s="28"/>
      <c r="F45" s="28"/>
      <c r="G45" s="58"/>
      <c r="H45" s="94"/>
      <c r="I45" s="83"/>
      <c r="J45" s="1"/>
      <c r="K45" s="1"/>
      <c r="L45" s="1"/>
    </row>
    <row r="46" spans="1:12" x14ac:dyDescent="0.25">
      <c r="A46" s="76" t="s">
        <v>37</v>
      </c>
      <c r="B46" s="121">
        <v>99</v>
      </c>
      <c r="C46" s="124">
        <v>99</v>
      </c>
      <c r="D46" s="127" t="str">
        <f>"Huawei P20 Lite smartphone inkl. 3 årig AllRisk forsikring, cover og beskyttelsesglas. Se de medfølgende vilkår for AllRisk forsikring. Pris pr. stk pr. md. "&amp;C46&amp;",-"</f>
        <v>Huawei P20 Lite smartphone inkl. 3 årig AllRisk forsikring, cover og beskyttelsesglas. Se de medfølgende vilkår for AllRisk forsikring. Pris pr. stk pr. md. 99,-</v>
      </c>
      <c r="E46" s="130" t="s">
        <v>63</v>
      </c>
      <c r="F46" s="127" t="str">
        <f>"Huawei P20 Lite smartphone inkl. 3 årig AllRisk forsikring, cover og beskyttelsesglas. Se de medfølgende vilkår for AllRisk forsikring. Pris pr. stk pr. md. "&amp;C46&amp;",-"</f>
        <v>Huawei P20 Lite smartphone inkl. 3 årig AllRisk forsikring, cover og beskyttelsesglas. Se de medfølgende vilkår for AllRisk forsikring. Pris pr. stk pr. md. 99,-</v>
      </c>
      <c r="G46" s="58">
        <v>28428</v>
      </c>
      <c r="H46" s="88" t="s">
        <v>17</v>
      </c>
      <c r="I46" s="104" t="s">
        <v>46</v>
      </c>
      <c r="J46" s="19">
        <v>1324</v>
      </c>
      <c r="K46" s="3">
        <v>2240</v>
      </c>
      <c r="L46" s="1"/>
    </row>
    <row r="47" spans="1:12" x14ac:dyDescent="0.25">
      <c r="A47" s="76" t="s">
        <v>39</v>
      </c>
      <c r="B47" s="122"/>
      <c r="C47" s="125"/>
      <c r="D47" s="128"/>
      <c r="E47" s="131"/>
      <c r="F47" s="128"/>
      <c r="G47" s="58"/>
      <c r="H47" s="94"/>
      <c r="I47" s="83"/>
      <c r="J47" s="19">
        <v>363</v>
      </c>
      <c r="K47" s="3">
        <v>508</v>
      </c>
      <c r="L47" s="1"/>
    </row>
    <row r="48" spans="1:12" x14ac:dyDescent="0.25">
      <c r="A48" s="76" t="s">
        <v>40</v>
      </c>
      <c r="B48" s="122"/>
      <c r="C48" s="125"/>
      <c r="D48" s="128"/>
      <c r="E48" s="131"/>
      <c r="F48" s="128"/>
      <c r="G48" s="58">
        <v>28483</v>
      </c>
      <c r="H48" s="88" t="s">
        <v>17</v>
      </c>
      <c r="I48" s="83"/>
      <c r="J48" s="19">
        <v>86</v>
      </c>
      <c r="K48" s="3">
        <v>199</v>
      </c>
      <c r="L48" s="1"/>
    </row>
    <row r="49" spans="1:12" x14ac:dyDescent="0.25">
      <c r="A49" s="76" t="s">
        <v>47</v>
      </c>
      <c r="B49" s="123"/>
      <c r="C49" s="126"/>
      <c r="D49" s="129"/>
      <c r="E49" s="132"/>
      <c r="F49" s="129"/>
      <c r="G49" s="58">
        <v>28479</v>
      </c>
      <c r="H49" s="88" t="s">
        <v>17</v>
      </c>
      <c r="I49" s="83"/>
      <c r="J49" s="19">
        <v>37</v>
      </c>
      <c r="K49" s="3">
        <v>119</v>
      </c>
      <c r="L49" s="1"/>
    </row>
    <row r="50" spans="1:12" x14ac:dyDescent="0.25">
      <c r="A50" s="79"/>
      <c r="B50" s="61"/>
      <c r="C50" s="61"/>
      <c r="D50" s="28"/>
      <c r="E50" s="28"/>
      <c r="F50" s="28"/>
      <c r="G50" s="58"/>
      <c r="H50" s="94"/>
      <c r="I50" s="83"/>
      <c r="J50" s="1"/>
      <c r="K50" s="1"/>
      <c r="L50" s="1"/>
    </row>
    <row r="51" spans="1:12" ht="15.75" thickBot="1" x14ac:dyDescent="0.3">
      <c r="A51" s="80" t="s">
        <v>43</v>
      </c>
      <c r="B51" s="62"/>
      <c r="C51" s="62"/>
      <c r="D51" s="35"/>
      <c r="E51" s="35"/>
      <c r="F51" s="35"/>
      <c r="G51" s="59"/>
      <c r="H51" s="95"/>
      <c r="I51" s="84"/>
      <c r="J51" s="23">
        <v>1810</v>
      </c>
      <c r="K51" s="25">
        <v>3066</v>
      </c>
      <c r="L51" s="23">
        <f>(36*C46)-J51</f>
        <v>1754</v>
      </c>
    </row>
    <row r="52" spans="1:12" x14ac:dyDescent="0.25">
      <c r="A52" s="81"/>
      <c r="B52" s="63"/>
      <c r="C52" s="63"/>
      <c r="G52" s="63"/>
      <c r="H52" s="81"/>
      <c r="I52" s="85"/>
    </row>
    <row r="53" spans="1:12" x14ac:dyDescent="0.25">
      <c r="A53" s="65" t="s">
        <v>48</v>
      </c>
      <c r="B53" s="113"/>
      <c r="C53" s="113"/>
      <c r="D53" s="114"/>
      <c r="E53" s="114"/>
      <c r="F53" s="114"/>
      <c r="G53" s="113"/>
      <c r="H53" s="115"/>
      <c r="I53" s="116"/>
      <c r="J53" s="117"/>
      <c r="K53" s="117"/>
      <c r="L53" s="117"/>
    </row>
    <row r="54" spans="1:12" x14ac:dyDescent="0.25">
      <c r="A54" s="118" t="s">
        <v>49</v>
      </c>
      <c r="B54" s="67">
        <v>55</v>
      </c>
      <c r="C54" s="106">
        <v>55</v>
      </c>
      <c r="D54" s="48" t="str">
        <f>"PhoneEasy 530x. Pris pr. stk. pr. md. "&amp;C54&amp;",-"</f>
        <v>PhoneEasy 530x. Pris pr. stk. pr. md. 55,-</v>
      </c>
      <c r="E54" s="48" t="s">
        <v>57</v>
      </c>
      <c r="F54" s="48" t="str">
        <f>"PhoneEasy 530x. Pris pr. stk. pr. md. "&amp;C54&amp;",-"</f>
        <v>PhoneEasy 530x. Pris pr. stk. pr. md. 55,-</v>
      </c>
      <c r="G54" s="96">
        <v>24487</v>
      </c>
      <c r="H54" s="96" t="s">
        <v>50</v>
      </c>
      <c r="I54" s="119" t="s">
        <v>25</v>
      </c>
      <c r="J54" s="120">
        <v>567</v>
      </c>
      <c r="K54" s="111">
        <v>799</v>
      </c>
      <c r="L54" s="112">
        <f t="shared" ref="L54" si="2">(36*C54)-J54</f>
        <v>1413</v>
      </c>
    </row>
    <row r="55" spans="1:12" ht="45" x14ac:dyDescent="0.25">
      <c r="A55" s="81"/>
      <c r="B55" s="63"/>
      <c r="C55" s="63"/>
      <c r="G55" s="63"/>
      <c r="H55" s="81"/>
      <c r="I55" s="101" t="s">
        <v>51</v>
      </c>
    </row>
    <row r="56" spans="1:12" x14ac:dyDescent="0.25">
      <c r="A56" s="65" t="s">
        <v>52</v>
      </c>
      <c r="B56" s="65"/>
      <c r="C56" s="65"/>
      <c r="D56" s="42"/>
      <c r="E56" s="42"/>
      <c r="F56" s="42"/>
      <c r="G56" s="65"/>
      <c r="H56" s="65"/>
      <c r="I56" s="86"/>
      <c r="J56" s="42"/>
      <c r="K56" s="42"/>
      <c r="L56" s="42"/>
    </row>
    <row r="57" spans="1:12" x14ac:dyDescent="0.25">
      <c r="A57" s="109" t="s">
        <v>53</v>
      </c>
      <c r="B57" s="66">
        <v>45</v>
      </c>
      <c r="C57" s="106">
        <v>45</v>
      </c>
      <c r="D57" s="110" t="str">
        <f>"Zyxel WAH7706 * 4G Cat6 Router. Pris pr. stk. pr. md. "&amp;C57&amp;",-"</f>
        <v>Zyxel WAH7706 * 4G Cat6 Router. Pris pr. stk. pr. md. 45,-</v>
      </c>
      <c r="E57" s="48" t="s">
        <v>55</v>
      </c>
      <c r="F57" s="110" t="str">
        <f>"WAH7706 4G Cat6 Router. Pris pr. stk. pr. md. "&amp;C57&amp;",- *"</f>
        <v>WAH7706 4G Cat6 Router. Pris pr. stk. pr. md. 45,- *</v>
      </c>
      <c r="G57" s="96">
        <v>28758</v>
      </c>
      <c r="H57" s="96" t="s">
        <v>17</v>
      </c>
      <c r="I57" s="87" t="s">
        <v>25</v>
      </c>
      <c r="J57" s="111">
        <v>487</v>
      </c>
      <c r="K57" s="111">
        <v>899</v>
      </c>
      <c r="L57" s="112">
        <f t="shared" ref="L57:L58" si="3">(36*C57)-J57</f>
        <v>1133</v>
      </c>
    </row>
    <row r="58" spans="1:12" x14ac:dyDescent="0.25">
      <c r="A58" s="109" t="s">
        <v>54</v>
      </c>
      <c r="B58" s="66">
        <v>55</v>
      </c>
      <c r="C58" s="106">
        <v>55</v>
      </c>
      <c r="D58" s="110" t="str">
        <f>"B525 4G MBB router. Pris pr. stk. pr. md. "&amp;C58&amp;",-"</f>
        <v>B525 4G MBB router. Pris pr. stk. pr. md. 55,-</v>
      </c>
      <c r="E58" s="48" t="s">
        <v>56</v>
      </c>
      <c r="F58" s="110" t="str">
        <f>"B525 4G MBB router. Pris pr. stk. pr. md. "&amp;C58&amp;",-"</f>
        <v>B525 4G MBB router. Pris pr. stk. pr. md. 55,-</v>
      </c>
      <c r="G58" s="96">
        <v>27740</v>
      </c>
      <c r="H58" s="96" t="s">
        <v>17</v>
      </c>
      <c r="I58" s="87" t="s">
        <v>25</v>
      </c>
      <c r="J58" s="111">
        <v>748</v>
      </c>
      <c r="K58" s="111">
        <v>1400</v>
      </c>
      <c r="L58" s="112">
        <f t="shared" si="3"/>
        <v>1232</v>
      </c>
    </row>
  </sheetData>
  <sheetProtection algorithmName="SHA-512" hashValue="T3yjyuWUOMlkHL31NOvUS2urS6SeYyb9ukvAKOVu+v+FSqLpucI+SxV83oKL87gbRZjLgGACNWZ2k5fP6Zey5w==" saltValue="v8MYmaqnrDV5kiTWF4d57g==" spinCount="100000" sheet="1" objects="1" scenarios="1"/>
  <protectedRanges>
    <protectedRange sqref="C4:C8 C10:C14 C17:C22 C32:C35 C39:C42 C46:C49 C54 C57:C58" name="Pris input"/>
  </protectedRanges>
  <mergeCells count="15">
    <mergeCell ref="F39:F42"/>
    <mergeCell ref="F32:F35"/>
    <mergeCell ref="F46:F49"/>
    <mergeCell ref="E32:E35"/>
    <mergeCell ref="E39:E42"/>
    <mergeCell ref="E46:E49"/>
    <mergeCell ref="B46:B49"/>
    <mergeCell ref="C46:C49"/>
    <mergeCell ref="D46:D49"/>
    <mergeCell ref="D32:D35"/>
    <mergeCell ref="B32:B35"/>
    <mergeCell ref="C32:C35"/>
    <mergeCell ref="D39:D42"/>
    <mergeCell ref="B39:B42"/>
    <mergeCell ref="C39:C42"/>
  </mergeCells>
  <conditionalFormatting sqref="C4">
    <cfRule type="expression" dxfId="21" priority="38">
      <formula>C4&gt;=B4</formula>
    </cfRule>
  </conditionalFormatting>
  <conditionalFormatting sqref="C5">
    <cfRule type="expression" dxfId="20" priority="21">
      <formula>C5&gt;=B5</formula>
    </cfRule>
  </conditionalFormatting>
  <conditionalFormatting sqref="C6">
    <cfRule type="expression" dxfId="19" priority="20">
      <formula>C6&gt;=B6</formula>
    </cfRule>
  </conditionalFormatting>
  <conditionalFormatting sqref="C7">
    <cfRule type="expression" dxfId="18" priority="19">
      <formula>C7&gt;=B7</formula>
    </cfRule>
  </conditionalFormatting>
  <conditionalFormatting sqref="C8">
    <cfRule type="expression" dxfId="17" priority="18">
      <formula>C8&gt;=B8</formula>
    </cfRule>
  </conditionalFormatting>
  <conditionalFormatting sqref="C10">
    <cfRule type="expression" dxfId="16" priority="17">
      <formula>C10&gt;=B10</formula>
    </cfRule>
  </conditionalFormatting>
  <conditionalFormatting sqref="C11">
    <cfRule type="expression" dxfId="15" priority="16">
      <formula>C11&gt;=B11</formula>
    </cfRule>
  </conditionalFormatting>
  <conditionalFormatting sqref="C12">
    <cfRule type="expression" dxfId="14" priority="15">
      <formula>C12&gt;=B12</formula>
    </cfRule>
  </conditionalFormatting>
  <conditionalFormatting sqref="C13">
    <cfRule type="expression" dxfId="13" priority="14">
      <formula>C13&gt;=B13</formula>
    </cfRule>
  </conditionalFormatting>
  <conditionalFormatting sqref="C14">
    <cfRule type="expression" dxfId="12" priority="13">
      <formula>C14&gt;=B14</formula>
    </cfRule>
  </conditionalFormatting>
  <conditionalFormatting sqref="C17">
    <cfRule type="expression" dxfId="11" priority="12">
      <formula>C17&gt;=B17</formula>
    </cfRule>
  </conditionalFormatting>
  <conditionalFormatting sqref="C18">
    <cfRule type="expression" dxfId="10" priority="11">
      <formula>C18&gt;=B18</formula>
    </cfRule>
  </conditionalFormatting>
  <conditionalFormatting sqref="C19">
    <cfRule type="expression" dxfId="9" priority="10">
      <formula>C19&gt;=B19</formula>
    </cfRule>
  </conditionalFormatting>
  <conditionalFormatting sqref="C20">
    <cfRule type="expression" dxfId="8" priority="9">
      <formula>C20&gt;=B20</formula>
    </cfRule>
  </conditionalFormatting>
  <conditionalFormatting sqref="C21">
    <cfRule type="expression" dxfId="7" priority="8">
      <formula>C21&gt;=B21</formula>
    </cfRule>
  </conditionalFormatting>
  <conditionalFormatting sqref="C22">
    <cfRule type="expression" dxfId="6" priority="7">
      <formula>C22&gt;=B22</formula>
    </cfRule>
  </conditionalFormatting>
  <conditionalFormatting sqref="C32">
    <cfRule type="expression" dxfId="5" priority="6">
      <formula>C32&gt;=B32</formula>
    </cfRule>
  </conditionalFormatting>
  <conditionalFormatting sqref="C39">
    <cfRule type="expression" dxfId="4" priority="5">
      <formula>C39&gt;=B39</formula>
    </cfRule>
  </conditionalFormatting>
  <conditionalFormatting sqref="C46">
    <cfRule type="expression" dxfId="3" priority="4">
      <formula>C46&gt;=B46</formula>
    </cfRule>
  </conditionalFormatting>
  <conditionalFormatting sqref="C54">
    <cfRule type="expression" dxfId="2" priority="3">
      <formula>C54&gt;=B54</formula>
    </cfRule>
  </conditionalFormatting>
  <conditionalFormatting sqref="C57">
    <cfRule type="expression" dxfId="1" priority="2">
      <formula>C57&gt;=B57</formula>
    </cfRule>
  </conditionalFormatting>
  <conditionalFormatting sqref="C58">
    <cfRule type="expression" dxfId="0" priority="1">
      <formula>C58&gt;=B58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Walther Herløv Larsen</cp:lastModifiedBy>
  <cp:revision/>
  <dcterms:created xsi:type="dcterms:W3CDTF">2019-02-08T10:30:44Z</dcterms:created>
  <dcterms:modified xsi:type="dcterms:W3CDTF">2019-04-11T08:09:14Z</dcterms:modified>
  <cp:category/>
  <cp:contentStatus/>
</cp:coreProperties>
</file>