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trlProps/ctrlProp1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895" windowHeight="9945" tabRatio="634" activeTab="11"/>
  </bookViews>
  <sheets>
    <sheet name="血战计算器" sheetId="1" r:id="rId1"/>
    <sheet name="加成系数" sheetId="2" state="hidden" r:id="rId2"/>
    <sheet name="队伍表" sheetId="3" state="hidden" r:id="rId3"/>
    <sheet name="武功表" sheetId="4" state="hidden" r:id="rId4"/>
    <sheet name="洗髓计算器" sheetId="5" r:id="rId5"/>
    <sheet name="弟子经验计算器" sheetId="6" r:id="rId6"/>
    <sheet name="属性预测计算器" sheetId="7" r:id="rId7"/>
    <sheet name="各类数据统计" sheetId="8" r:id="rId8"/>
    <sheet name="弟子基础属性" sheetId="9" r:id="rId9"/>
    <sheet name="弟子觉醒属性" sheetId="10" r:id="rId10"/>
    <sheet name="血战等级" sheetId="11" r:id="rId11"/>
    <sheet name="存元宝" sheetId="12" r:id="rId12"/>
  </sheets>
  <definedNames>
    <definedName name="_xlnm._FilterDatabase" localSheetId="8" hidden="1">弟子基础属性!$A$2:$T$2</definedName>
    <definedName name="_xlnm._FilterDatabase" localSheetId="1" hidden="1">加成系数!$A$1:$E$50</definedName>
    <definedName name="_xlnm._FilterDatabase" localSheetId="3" hidden="1">武功表!$A$1:$I$41</definedName>
    <definedName name="_xlnm._FilterDatabase" localSheetId="10" hidden="1">血战等级!$A$1:$E$111</definedName>
    <definedName name="_xlnm.Criteria" localSheetId="1">加成系数!$J$2:$M$2</definedName>
    <definedName name="楚留香">队伍表!$O$2:$O$9</definedName>
    <definedName name="弟子位">血战计算器!#REF!</definedName>
    <definedName name="东方不败">队伍表!$AJ$2:$AJ$9</definedName>
    <definedName name="独孤求败">队伍表!$K$2:$K$9</definedName>
    <definedName name="段誉">队伍表!$Q$2:$Q$9</definedName>
    <definedName name="郭靖">队伍表!$B$2:$B$9</definedName>
    <definedName name="郭襄">队伍表!$N$2:$N$9</definedName>
    <definedName name="洪七公">队伍表!$V$2:$V$9</definedName>
    <definedName name="花无缺">队伍表!$AO$2:$AO$9</definedName>
    <definedName name="黄蓉">队伍表!$S$2:$S$9</definedName>
    <definedName name="黄药师">队伍表!$AG$2:$AG$9</definedName>
    <definedName name="加成类型">加成系数!$B$1:$E$1</definedName>
    <definedName name="金毛狮王">队伍表!$AQ$2:$AQ$9</definedName>
    <definedName name="李秋水">队伍表!$AL$2:$AL$9</definedName>
    <definedName name="怜星">队伍表!$AS$2:$AS$9</definedName>
    <definedName name="林朝英">队伍表!$R$2:$R$9</definedName>
    <definedName name="令狐冲">队伍表!$E$2:$E$9</definedName>
    <definedName name="欧阳锋">队伍表!$AH$2:$AH$9</definedName>
    <definedName name="青翼蝠王">队伍表!$AR$2:$AR$9</definedName>
    <definedName name="上官金虹">队伍表!$AK$2:$AK$9</definedName>
    <definedName name="神雕">队伍表!$M$2:$M$9</definedName>
    <definedName name="天山童姥">队伍表!$AM$2:$AM$9</definedName>
    <definedName name="王语嫣">队伍表!$AD$2:$AD$9</definedName>
    <definedName name="王重阳1星">队伍表!$AF$2:$AF$9</definedName>
    <definedName name="王重阳2星">队伍表!$T$2:$T$9</definedName>
    <definedName name="无崖子">队伍表!$AA$2:$AA$9</definedName>
    <definedName name="西门吹雪">队伍表!$P$2:$P$9</definedName>
    <definedName name="萧峰">队伍表!$A$2:$A$9</definedName>
    <definedName name="小龙女">队伍表!$X$2:$X$9</definedName>
    <definedName name="小鱼儿">队伍表!$AN$2:$AN$9</definedName>
    <definedName name="虚竹">队伍表!$AE$2:$AE$9</definedName>
    <definedName name="选择区">#REF!</definedName>
    <definedName name="杨过12星">队伍表!$W$2:$W$9</definedName>
    <definedName name="杨过3星">队伍表!$C$2:$C$9</definedName>
    <definedName name="邀月">队伍表!$Y$2:$Y$9</definedName>
    <definedName name="叶孤城">队伍表!$L$2:$L$9</definedName>
    <definedName name="一灯">队伍表!$U$2:$U$9</definedName>
    <definedName name="张三丰">队伍表!$Z$2:$Z$9</definedName>
    <definedName name="张无忌">队伍表!$D$2:$D$9</definedName>
    <definedName name="周伯通">队伍表!$AI$2:$AI$9</definedName>
    <definedName name="紫衫龙王">队伍表!$AP$2:$AP$9</definedName>
    <definedName name="总队伍">加成系数!$A$2:$A$50</definedName>
  </definedNames>
  <calcPr calcId="144525"/>
</workbook>
</file>

<file path=xl/comments1.xml><?xml version="1.0" encoding="utf-8"?>
<comments xmlns="http://schemas.openxmlformats.org/spreadsheetml/2006/main">
  <authors>
    <author>谢林涛</author>
    <author>Tyrone327</author>
  </authors>
  <commentList>
    <comment ref="V9" authorId="0">
      <text>
        <r>
          <rPr>
            <sz val="9"/>
            <color indexed="81"/>
            <rFont val="宋体"/>
            <charset val="134"/>
          </rPr>
          <t xml:space="preserve">想要使用其他武功，可以自行在基础属性表中修改天赋武功，并在隐藏的武功表中添加该武功即可
</t>
        </r>
      </text>
    </comment>
    <comment ref="F30" authorId="1">
      <text>
        <r>
          <rPr>
            <sz val="9"/>
            <color indexed="81"/>
            <rFont val="宋体"/>
            <charset val="134"/>
          </rPr>
          <t xml:space="preserve">1、目前已添加萧远山、十一郎、西门吹雪的特效在“特殊弟子”栏中；2、自身具有透击以及携带透击拓本的弟子请在“特殊功效”栏中选择；3、“总伤害”为平砍总伤害，技能伤害参考上面。——具体操作见下方。
</t>
        </r>
      </text>
    </comment>
    <comment ref="H30" authorId="1">
      <text>
        <r>
          <rPr>
            <sz val="9"/>
            <color indexed="81"/>
            <rFont val="宋体"/>
            <charset val="134"/>
          </rPr>
          <t xml:space="preserve">此项数值只为十一郎的技能等级，当下方为其他弟子时，不用在意</t>
        </r>
      </text>
    </comment>
  </commentList>
</comments>
</file>

<file path=xl/comments2.xml><?xml version="1.0" encoding="utf-8"?>
<comments xmlns="http://schemas.openxmlformats.org/spreadsheetml/2006/main">
  <authors>
    <author>小马哥</author>
  </authors>
  <commentList>
    <comment ref="C3" authorId="0">
      <text>
        <r>
          <rPr>
            <sz val="9"/>
            <color indexed="81"/>
            <rFont val="宋体"/>
            <charset val="134"/>
          </rPr>
          <t xml:space="preserve">加攻公式：我方面板攻击*5%+阿青等级*2
</t>
        </r>
      </text>
    </comment>
    <comment ref="C7" authorId="0">
      <text>
        <r>
          <rPr>
            <sz val="9"/>
            <color indexed="81"/>
            <rFont val="宋体"/>
            <charset val="134"/>
          </rPr>
          <t xml:space="preserve">加伤特效：在破防的情况下，伤害*1.18，不破防伤害仍为1 
</t>
        </r>
      </text>
    </comment>
    <comment ref="C19" authorId="0">
      <text>
        <r>
          <rPr>
            <sz val="9"/>
            <color indexed="81"/>
            <rFont val="宋体"/>
            <charset val="134"/>
          </rPr>
          <t xml:space="preserve">裸防大于等于总属性的三分之一，才会有王重阳的加成效果，并非一定要攻防2:1
</t>
        </r>
      </text>
    </comment>
    <comment ref="C20" authorId="0">
      <text>
        <r>
          <rPr>
            <sz val="9"/>
            <color indexed="81"/>
            <rFont val="宋体"/>
            <charset val="134"/>
          </rPr>
          <t xml:space="preserve">在被破防的情况下，所受伤害为原伤害*0.82，不被破防仍为1
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每一刀都是先减掉对方防御，再对敌方造成伤害，包括第一刀。减防上限为40%
</t>
        </r>
      </text>
    </comment>
    <comment ref="C29" authorId="0">
      <text>
        <r>
          <rPr>
            <sz val="9"/>
            <color indexed="81"/>
            <rFont val="宋体"/>
            <charset val="134"/>
          </rPr>
          <t xml:space="preserve">减防公式：对方面板防御*8%+语嫣等级*3</t>
        </r>
      </text>
    </comment>
    <comment ref="C32" authorId="0">
      <text>
        <r>
          <rPr>
            <sz val="9"/>
            <color indexed="81"/>
            <rFont val="宋体"/>
            <charset val="134"/>
          </rPr>
          <t xml:space="preserve">第一刀的攻击：面板攻击*1.15，此后恢复正常</t>
        </r>
      </text>
    </comment>
    <comment ref="C34" authorId="0">
      <text>
        <r>
          <rPr>
            <sz val="9"/>
            <color indexed="81"/>
            <rFont val="宋体"/>
            <charset val="134"/>
          </rPr>
          <t xml:space="preserve">每次加面板防御5%，上限为20%</t>
        </r>
      </text>
    </comment>
  </commentList>
</comments>
</file>

<file path=xl/comments3.xml><?xml version="1.0" encoding="utf-8"?>
<comments xmlns="http://schemas.openxmlformats.org/spreadsheetml/2006/main">
  <authors>
    <author>小马哥</author>
  </authors>
  <commentList>
    <comment ref="C3" authorId="0">
      <text>
        <r>
          <rPr>
            <sz val="9"/>
            <color indexed="81"/>
            <rFont val="宋体"/>
            <charset val="134"/>
          </rPr>
          <t xml:space="preserve">加攻公式：我方面板攻击*5%+阿青等级*2
</t>
        </r>
      </text>
    </comment>
    <comment ref="C7" authorId="0">
      <text>
        <r>
          <rPr>
            <sz val="9"/>
            <color indexed="81"/>
            <rFont val="宋体"/>
            <charset val="134"/>
          </rPr>
          <t xml:space="preserve">加伤特效：在破防的情况下，伤害*1.18，不破防伤害仍为1 
</t>
        </r>
      </text>
    </comment>
    <comment ref="C19" authorId="0">
      <text>
        <r>
          <rPr>
            <sz val="9"/>
            <color indexed="81"/>
            <rFont val="宋体"/>
            <charset val="134"/>
          </rPr>
          <t xml:space="preserve">裸防大于等于总属性的三分之一，才会有王重阳的加成效果，并非一定要攻防2:1
</t>
        </r>
      </text>
    </comment>
    <comment ref="C20" authorId="0">
      <text>
        <r>
          <rPr>
            <sz val="9"/>
            <color indexed="81"/>
            <rFont val="宋体"/>
            <charset val="134"/>
          </rPr>
          <t xml:space="preserve">在被破防的情况下，所受伤害为原伤害*0.82，不被破防仍为1
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每一刀都是先减掉对方防御，再对敌方造成伤害，包括第一刀。减防上限为40%
</t>
        </r>
      </text>
    </comment>
    <comment ref="C29" authorId="0">
      <text>
        <r>
          <rPr>
            <sz val="9"/>
            <color indexed="81"/>
            <rFont val="宋体"/>
            <charset val="134"/>
          </rPr>
          <t xml:space="preserve">减防公式：对方面板防御*8%+语嫣等级*3</t>
        </r>
      </text>
    </comment>
    <comment ref="C32" authorId="0">
      <text>
        <r>
          <rPr>
            <sz val="9"/>
            <color indexed="81"/>
            <rFont val="宋体"/>
            <charset val="134"/>
          </rPr>
          <t xml:space="preserve">第一刀的攻击：面板攻击*1.15，此后恢复正常</t>
        </r>
      </text>
    </comment>
    <comment ref="C34" authorId="0">
      <text>
        <r>
          <rPr>
            <sz val="9"/>
            <color indexed="81"/>
            <rFont val="宋体"/>
            <charset val="134"/>
          </rPr>
          <t xml:space="preserve">每次加面板防御5%，上限为20%</t>
        </r>
      </text>
    </comment>
  </commentList>
</comments>
</file>

<file path=xl/sharedStrings.xml><?xml version="1.0" encoding="utf-8"?>
<sst xmlns="http://schemas.openxmlformats.org/spreadsheetml/2006/main" count="705">
  <si>
    <t>Version1.72</t>
  </si>
  <si>
    <t>弟  子</t>
  </si>
  <si>
    <t>独孤求败</t>
  </si>
  <si>
    <t>陆小凤</t>
  </si>
  <si>
    <t>谢晓峰</t>
  </si>
  <si>
    <t>楚留香</t>
  </si>
  <si>
    <t>铁中棠</t>
  </si>
  <si>
    <t>十一郎</t>
  </si>
  <si>
    <t>丁鹏</t>
  </si>
  <si>
    <t>令狐冲</t>
  </si>
  <si>
    <t>西门吹雪</t>
  </si>
  <si>
    <t>溅射伤血</t>
  </si>
  <si>
    <t>血</t>
  </si>
  <si>
    <t>血  量</t>
  </si>
  <si>
    <t>首弟子血</t>
  </si>
  <si>
    <t>当前等级</t>
  </si>
  <si>
    <t>攻　击</t>
  </si>
  <si>
    <t>首弟子名</t>
  </si>
  <si>
    <t>生命系数</t>
  </si>
  <si>
    <t>当前内力</t>
  </si>
  <si>
    <t>攻</t>
  </si>
  <si>
    <t>防　御</t>
  </si>
  <si>
    <t>对阵人数</t>
  </si>
  <si>
    <t>攻击系数</t>
  </si>
  <si>
    <t>武功强度</t>
  </si>
  <si>
    <t>关卡</t>
  </si>
  <si>
    <t>内  力</t>
  </si>
  <si>
    <t>推出等级</t>
  </si>
  <si>
    <t>防御系数</t>
  </si>
  <si>
    <t>技能等级</t>
  </si>
  <si>
    <t>防</t>
  </si>
  <si>
    <t>萧远山</t>
  </si>
  <si>
    <t>减  伤</t>
  </si>
  <si>
    <t>当前关数</t>
  </si>
  <si>
    <t>内力系数</t>
  </si>
  <si>
    <t>加成系数</t>
  </si>
  <si>
    <t>其他</t>
  </si>
  <si>
    <t>我方造成伤害</t>
  </si>
  <si>
    <t>敌方造成伤害</t>
  </si>
  <si>
    <t>对方攻击</t>
  </si>
  <si>
    <t>敌余</t>
  </si>
  <si>
    <t>我余</t>
  </si>
  <si>
    <t>我方余血</t>
  </si>
  <si>
    <t>对方余血</t>
  </si>
  <si>
    <t>命加成%</t>
  </si>
  <si>
    <t>我方弟子</t>
  </si>
  <si>
    <t>生命</t>
  </si>
  <si>
    <t>攻击</t>
  </si>
  <si>
    <t>防御</t>
  </si>
  <si>
    <t>输出伤害</t>
  </si>
  <si>
    <t>VS</t>
  </si>
  <si>
    <t>对方弟子</t>
  </si>
  <si>
    <t>敌方余血</t>
  </si>
  <si>
    <t>内力</t>
  </si>
  <si>
    <t>技能伤血</t>
  </si>
  <si>
    <t>技能伤害</t>
  </si>
  <si>
    <t>距 离</t>
  </si>
  <si>
    <t>我方总伤害</t>
  </si>
  <si>
    <t>原溅伤</t>
  </si>
  <si>
    <t>现溅伤</t>
  </si>
  <si>
    <t>原我方伤害</t>
  </si>
  <si>
    <t>无</t>
  </si>
  <si>
    <t>攻透</t>
  </si>
  <si>
    <t>内透</t>
  </si>
  <si>
    <t>原敌方伤害</t>
  </si>
  <si>
    <t>敌原攻</t>
  </si>
  <si>
    <t>敌原防</t>
  </si>
  <si>
    <t>&gt;0</t>
  </si>
  <si>
    <r>
      <rPr>
        <sz val="11"/>
        <color indexed="17"/>
        <rFont val="宋体"/>
        <charset val="134"/>
      </rPr>
      <t>"=11</t>
    </r>
    <r>
      <rPr>
        <sz val="11"/>
        <color indexed="17"/>
        <rFont val="宋体"/>
        <charset val="134"/>
      </rPr>
      <t>"</t>
    </r>
  </si>
  <si>
    <t>&lt;0</t>
  </si>
  <si>
    <t>攻加成%</t>
  </si>
  <si>
    <r>
      <rPr>
        <sz val="11"/>
        <color indexed="17"/>
        <rFont val="宋体"/>
        <charset val="134"/>
      </rPr>
      <t>&lt;</t>
    </r>
    <r>
      <rPr>
        <sz val="11"/>
        <color indexed="17"/>
        <rFont val="宋体"/>
        <charset val="134"/>
      </rPr>
      <t>0</t>
    </r>
  </si>
  <si>
    <t>敌方总伤害</t>
  </si>
  <si>
    <r>
      <rPr>
        <sz val="11"/>
        <color indexed="17"/>
        <rFont val="宋体"/>
        <charset val="134"/>
      </rPr>
      <t>&gt;</t>
    </r>
    <r>
      <rPr>
        <sz val="11"/>
        <color indexed="17"/>
        <rFont val="宋体"/>
        <charset val="134"/>
      </rPr>
      <t>0</t>
    </r>
  </si>
  <si>
    <t>防加成%</t>
  </si>
  <si>
    <t>内加成%</t>
  </si>
  <si>
    <t>阿 青</t>
  </si>
  <si>
    <t>等 级</t>
  </si>
  <si>
    <t>语 嫣</t>
  </si>
  <si>
    <t>阿 九</t>
  </si>
  <si>
    <t>香 香</t>
  </si>
  <si>
    <t>有</t>
  </si>
  <si>
    <t>替 补 位</t>
  </si>
  <si>
    <t>特效伤害</t>
  </si>
  <si>
    <t>特殊弟子</t>
  </si>
  <si>
    <t>特殊功效</t>
  </si>
  <si>
    <t>特效</t>
  </si>
  <si>
    <t>系数</t>
  </si>
  <si>
    <t>推算等级</t>
  </si>
  <si>
    <t>使用提示:</t>
  </si>
  <si>
    <t xml:space="preserve">   1、右方区域溅射伤血系统能计算我方弟子的群攻溅射伤害，也能计算我方单体弟子的技能伤害。</t>
  </si>
  <si>
    <t xml:space="preserve">    2、中上方区域填写我方弟子面板数据，减伤栏（如令狐冲觉醒前后减伤数值自行添加、飞升10%、心法不适用于血战）。</t>
  </si>
  <si>
    <t xml:space="preserve">    3、左方区域为NPC组合选择框，如遇点击不准问题请放大、缩小或者拖动人物框。</t>
  </si>
  <si>
    <t xml:space="preserve">    4、下方区域为替补弟子对战模拟和特殊天赋弟子对战模拟，特效弟子栏中白色单元格为十一郎技能等级，其他弟子无视，特殊天赋弟子即每刀攻防</t>
  </si>
  <si>
    <t xml:space="preserve">      会产生变化的弟子，其无法在上方准确模拟对战数据，如十一郎、萧远山、西门吹雪等，可在此栏准确模拟对战数据。但独孤、令狐冲等每刀攻</t>
  </si>
  <si>
    <t xml:space="preserve">      防未变，不需在此栏模拟。</t>
  </si>
  <si>
    <t>更新内容：</t>
  </si>
  <si>
    <r>
      <rPr>
        <sz val="11"/>
        <rFont val="宋体"/>
        <charset val="134"/>
      </rPr>
      <t xml:space="preserve">    1、添加减伤栏,</t>
    </r>
    <r>
      <rPr>
        <sz val="11"/>
        <color rgb="FFFF0000"/>
        <rFont val="宋体"/>
        <charset val="134"/>
      </rPr>
      <t>香香减伤不计入该栏</t>
    </r>
    <r>
      <rPr>
        <sz val="11"/>
        <rFont val="宋体"/>
        <charset val="134"/>
      </rPr>
      <t>；</t>
    </r>
  </si>
  <si>
    <r>
      <rPr>
        <sz val="11"/>
        <rFont val="宋体"/>
        <charset val="134"/>
      </rPr>
      <t xml:space="preserve">   2、</t>
    </r>
    <r>
      <rPr>
        <sz val="11"/>
        <rFont val="宋体"/>
        <charset val="134"/>
      </rPr>
      <t>弟子属性录入框中的弟子名称改为填写和选择双模式，以防各种名字乱入；</t>
    </r>
  </si>
  <si>
    <r>
      <rPr>
        <sz val="11"/>
        <rFont val="宋体"/>
        <charset val="134"/>
      </rPr>
      <t xml:space="preserve">   3</t>
    </r>
    <r>
      <rPr>
        <sz val="11"/>
        <rFont val="宋体"/>
        <charset val="134"/>
      </rPr>
      <t>、慕容博和慕容龙城只计算单体技能伤害，且NPC中双慕容无加强效果；</t>
    </r>
  </si>
  <si>
    <r>
      <rPr>
        <sz val="11"/>
        <rFont val="宋体"/>
        <charset val="134"/>
      </rPr>
      <t xml:space="preserve">   4、铁中棠第一刀抵消固定伤害2000，该特效未添加请自行判断</t>
    </r>
    <r>
      <rPr>
        <sz val="11"/>
        <rFont val="宋体"/>
        <charset val="134"/>
      </rPr>
      <t>；</t>
    </r>
  </si>
  <si>
    <r>
      <rPr>
        <sz val="11"/>
        <rFont val="宋体"/>
        <charset val="134"/>
      </rPr>
      <t xml:space="preserve">   5、</t>
    </r>
    <r>
      <rPr>
        <sz val="11"/>
        <rFont val="宋体"/>
        <charset val="134"/>
      </rPr>
      <t>新增组合中十一郎、萧远山</t>
    </r>
    <r>
      <rPr>
        <sz val="11"/>
        <rFont val="宋体"/>
        <charset val="134"/>
      </rPr>
      <t>NPC</t>
    </r>
    <r>
      <rPr>
        <sz val="11"/>
        <rFont val="宋体"/>
        <charset val="134"/>
      </rPr>
      <t>没有加减防的特效；</t>
    </r>
  </si>
  <si>
    <t xml:space="preserve">   6、添加香香加防、减伤特效；</t>
  </si>
  <si>
    <t xml:space="preserve">   7、逍遥子内转防为浮动值，35%左右，计算器中取最大值45%，所以对逍遥子的伤害可能有误差属于正常。</t>
  </si>
  <si>
    <r>
      <rPr>
        <sz val="11"/>
        <color indexed="17"/>
        <rFont val="宋体"/>
        <charset val="134"/>
      </rPr>
      <t xml:space="preserve"> </t>
    </r>
    <r>
      <rPr>
        <sz val="11"/>
        <color indexed="17"/>
        <rFont val="宋体"/>
        <charset val="134"/>
      </rPr>
      <t xml:space="preserve"> </t>
    </r>
  </si>
  <si>
    <t>写在使用前：</t>
  </si>
  <si>
    <t xml:space="preserve">   1、出现数据不准的问题请查看各处设置，仍有疑问请联系本人：</t>
  </si>
  <si>
    <t xml:space="preserve">   2、出现打不开或错误等关于Excel的各种问题，请升级office或加群联系本人；</t>
  </si>
  <si>
    <t xml:space="preserve">   3、最后诚挚地感谢为计算器提供数据的各位朋友，也感谢群里所有朋友的集思广益。</t>
  </si>
  <si>
    <r>
      <rPr>
        <sz val="11"/>
        <color indexed="10"/>
        <rFont val="宋体"/>
        <charset val="134"/>
      </rPr>
      <t xml:space="preserve">         联系QQ：</t>
    </r>
    <r>
      <rPr>
        <sz val="11"/>
        <color indexed="10"/>
        <rFont val="宋体"/>
        <charset val="134"/>
      </rPr>
      <t>745484327</t>
    </r>
    <r>
      <rPr>
        <sz val="11"/>
        <color indexed="10"/>
        <rFont val="宋体"/>
        <charset val="134"/>
      </rPr>
      <t xml:space="preserve">   血战交流群：429538974</t>
    </r>
  </si>
  <si>
    <t>姓名</t>
  </si>
  <si>
    <t>B白发魔女</t>
  </si>
  <si>
    <t>A阿青</t>
  </si>
  <si>
    <t>A阿青2人</t>
  </si>
  <si>
    <t>D独孤求败</t>
  </si>
  <si>
    <t>G郭靖</t>
  </si>
  <si>
    <t>G郭襄</t>
  </si>
  <si>
    <r>
      <rPr>
        <sz val="11"/>
        <color indexed="17"/>
        <rFont val="宋体"/>
        <charset val="134"/>
      </rPr>
      <t>H</t>
    </r>
    <r>
      <rPr>
        <sz val="11"/>
        <color indexed="17"/>
        <rFont val="宋体"/>
        <charset val="134"/>
      </rPr>
      <t>胡一刀</t>
    </r>
  </si>
  <si>
    <t>L李寻欢</t>
  </si>
  <si>
    <t>L林朝英</t>
  </si>
  <si>
    <t>L令狐冲</t>
  </si>
  <si>
    <t>L陆小凤</t>
  </si>
  <si>
    <r>
      <rPr>
        <sz val="11"/>
        <color indexed="17"/>
        <rFont val="宋体"/>
        <charset val="134"/>
      </rPr>
      <t>S</t>
    </r>
    <r>
      <rPr>
        <sz val="11"/>
        <color indexed="17"/>
        <rFont val="宋体"/>
        <charset val="134"/>
      </rPr>
      <t>扫地僧</t>
    </r>
  </si>
  <si>
    <t>S神雕</t>
  </si>
  <si>
    <r>
      <rPr>
        <sz val="11"/>
        <color indexed="17"/>
        <rFont val="宋体"/>
        <charset val="134"/>
      </rPr>
      <t>T</t>
    </r>
    <r>
      <rPr>
        <sz val="11"/>
        <color indexed="17"/>
        <rFont val="宋体"/>
        <charset val="134"/>
      </rPr>
      <t>铁中棠</t>
    </r>
  </si>
  <si>
    <t>X西门吹雪</t>
  </si>
  <si>
    <t>X萧峰</t>
  </si>
  <si>
    <t>Y杨过3星</t>
  </si>
  <si>
    <t>Y叶孤城</t>
  </si>
  <si>
    <t>Y叶开</t>
  </si>
  <si>
    <r>
      <rPr>
        <sz val="11"/>
        <color indexed="17"/>
        <rFont val="宋体"/>
        <charset val="134"/>
      </rPr>
      <t>Z</t>
    </r>
    <r>
      <rPr>
        <sz val="11"/>
        <color indexed="17"/>
        <rFont val="宋体"/>
        <charset val="134"/>
      </rPr>
      <t>诸葛先生</t>
    </r>
  </si>
  <si>
    <t>Z张无忌</t>
  </si>
  <si>
    <t>===2星组===</t>
  </si>
  <si>
    <t>D段誉</t>
  </si>
  <si>
    <t>H洪七公</t>
  </si>
  <si>
    <t>H黄蓉</t>
  </si>
  <si>
    <t>W王语嫣</t>
  </si>
  <si>
    <t>W王重阳2星</t>
  </si>
  <si>
    <t>W无崖子</t>
  </si>
  <si>
    <t>X小龙女</t>
  </si>
  <si>
    <t>Y杨过1,2星</t>
  </si>
  <si>
    <t>Y邀月</t>
  </si>
  <si>
    <t>Y一灯</t>
  </si>
  <si>
    <t>Z张三丰</t>
  </si>
  <si>
    <t>===1星组===</t>
  </si>
  <si>
    <t>D东方不败</t>
  </si>
  <si>
    <t>H花无缺</t>
  </si>
  <si>
    <t>Z紫衫龙王</t>
  </si>
  <si>
    <t>H黄药师</t>
  </si>
  <si>
    <t>J金毛狮王</t>
  </si>
  <si>
    <t>L李秋水</t>
  </si>
  <si>
    <t>L怜星</t>
  </si>
  <si>
    <t>O欧阳锋</t>
  </si>
  <si>
    <t>Z周伯通</t>
  </si>
  <si>
    <t>Q青翼蝠王</t>
  </si>
  <si>
    <t>S上官金虹</t>
  </si>
  <si>
    <t>T天山童姥</t>
  </si>
  <si>
    <t>W王重阳1星</t>
  </si>
  <si>
    <t>X小鱼儿</t>
  </si>
  <si>
    <t>X虚竹</t>
  </si>
  <si>
    <t>H胡一刀</t>
  </si>
  <si>
    <r>
      <rPr>
        <sz val="9"/>
        <color indexed="57"/>
        <rFont val="宋体"/>
        <charset val="134"/>
      </rPr>
      <t>T</t>
    </r>
    <r>
      <rPr>
        <sz val="9"/>
        <color indexed="57"/>
        <rFont val="宋体"/>
        <charset val="134"/>
      </rPr>
      <t>铁中棠</t>
    </r>
  </si>
  <si>
    <r>
      <rPr>
        <sz val="9"/>
        <color indexed="57"/>
        <rFont val="宋体"/>
        <charset val="134"/>
      </rPr>
      <t>Z</t>
    </r>
    <r>
      <rPr>
        <sz val="9"/>
        <color indexed="57"/>
        <rFont val="宋体"/>
        <charset val="134"/>
      </rPr>
      <t>诸葛先生</t>
    </r>
  </si>
  <si>
    <r>
      <rPr>
        <sz val="9"/>
        <color indexed="57"/>
        <rFont val="宋体"/>
        <charset val="134"/>
      </rPr>
      <t>S</t>
    </r>
    <r>
      <rPr>
        <sz val="9"/>
        <color indexed="57"/>
        <rFont val="宋体"/>
        <charset val="134"/>
      </rPr>
      <t>扫地僧</t>
    </r>
  </si>
  <si>
    <t>萧峰</t>
  </si>
  <si>
    <t>郭靖</t>
  </si>
  <si>
    <t>杨过</t>
  </si>
  <si>
    <t>张无忌</t>
  </si>
  <si>
    <t>叶孤城</t>
  </si>
  <si>
    <t>神雕</t>
  </si>
  <si>
    <t>郭襄</t>
  </si>
  <si>
    <t>胡一刀</t>
  </si>
  <si>
    <t>段誉</t>
  </si>
  <si>
    <t>林朝英</t>
  </si>
  <si>
    <t>黄蓉</t>
  </si>
  <si>
    <t>王重阳</t>
  </si>
  <si>
    <t>一灯</t>
  </si>
  <si>
    <t>洪七公</t>
  </si>
  <si>
    <t>小龙女</t>
  </si>
  <si>
    <t>邀月</t>
  </si>
  <si>
    <t>张三丰</t>
  </si>
  <si>
    <t>无崖子</t>
  </si>
  <si>
    <t>阿青</t>
  </si>
  <si>
    <t>王语嫣</t>
  </si>
  <si>
    <t>虚竹</t>
  </si>
  <si>
    <t>黄药师</t>
  </si>
  <si>
    <t>欧阳锋</t>
  </si>
  <si>
    <t>周伯通</t>
  </si>
  <si>
    <t>东方不败</t>
  </si>
  <si>
    <t>上官金虹</t>
  </si>
  <si>
    <t>李秋水</t>
  </si>
  <si>
    <t>天山童姥</t>
  </si>
  <si>
    <t>小鱼儿</t>
  </si>
  <si>
    <t>花无缺</t>
  </si>
  <si>
    <t>紫衫龙王</t>
  </si>
  <si>
    <t>金毛狮王</t>
  </si>
  <si>
    <t>青翼蝠王</t>
  </si>
  <si>
    <t>怜星</t>
  </si>
  <si>
    <t>李寻欢</t>
  </si>
  <si>
    <t>叶开</t>
  </si>
  <si>
    <t>白发魔女</t>
  </si>
  <si>
    <t>诸葛先生</t>
  </si>
  <si>
    <t>扫地僧</t>
  </si>
  <si>
    <t>岳不群</t>
  </si>
  <si>
    <t>阿飞</t>
  </si>
  <si>
    <t>任盈盈</t>
  </si>
  <si>
    <t>苗人凤</t>
  </si>
  <si>
    <t>慕容复</t>
  </si>
  <si>
    <t>鸠摩智</t>
  </si>
  <si>
    <t>李莫愁</t>
  </si>
  <si>
    <t>段延庆</t>
  </si>
  <si>
    <t>丁春秋</t>
  </si>
  <si>
    <t>游坦之</t>
  </si>
  <si>
    <t>金轮法王</t>
  </si>
  <si>
    <t>裘千仞</t>
  </si>
  <si>
    <t>觉远</t>
  </si>
  <si>
    <t>枯荣</t>
  </si>
  <si>
    <t>苏樱</t>
  </si>
  <si>
    <t>赵敏</t>
  </si>
  <si>
    <t>韦小宝</t>
  </si>
  <si>
    <t>神捕无情</t>
  </si>
  <si>
    <t>左冷禅</t>
  </si>
  <si>
    <t>金蛇郎君</t>
  </si>
  <si>
    <t>胡斐</t>
  </si>
  <si>
    <t>沈浪</t>
  </si>
  <si>
    <t>白眉鹰王</t>
  </si>
  <si>
    <t>傅红雪</t>
  </si>
  <si>
    <t>范瑶</t>
  </si>
  <si>
    <t>宋远桥</t>
  </si>
  <si>
    <t>灭绝师太</t>
  </si>
  <si>
    <t>周芷若</t>
  </si>
  <si>
    <t>血刀老祖</t>
  </si>
  <si>
    <t>铁心兰</t>
  </si>
  <si>
    <t>神捕铁手</t>
  </si>
  <si>
    <t>燕南天</t>
  </si>
  <si>
    <t>任我行</t>
  </si>
  <si>
    <t>成昆</t>
  </si>
  <si>
    <t>杨逍</t>
  </si>
  <si>
    <t>何足道</t>
  </si>
  <si>
    <t>神捕追命</t>
  </si>
  <si>
    <t>慕容博</t>
  </si>
  <si>
    <t>司空摘星</t>
  </si>
  <si>
    <t>荆无命</t>
  </si>
  <si>
    <t>神捕冷血</t>
  </si>
  <si>
    <t>黄衫女子</t>
  </si>
  <si>
    <t>花满楼</t>
  </si>
  <si>
    <t>逍遥子</t>
  </si>
  <si>
    <t>石破天</t>
  </si>
  <si>
    <t>仪琳</t>
  </si>
  <si>
    <t>林诗音</t>
  </si>
  <si>
    <t>金九龄</t>
  </si>
  <si>
    <t>张三</t>
  </si>
  <si>
    <t>慕容龙城</t>
  </si>
  <si>
    <t>岳灵珊</t>
  </si>
  <si>
    <t>百晓生</t>
  </si>
  <si>
    <t>老实和尚</t>
  </si>
  <si>
    <t>李四</t>
  </si>
  <si>
    <t>风清扬</t>
  </si>
  <si>
    <t>杨康</t>
  </si>
  <si>
    <t>叶二娘</t>
  </si>
  <si>
    <t>欧阳克</t>
  </si>
  <si>
    <t>卓一航</t>
  </si>
  <si>
    <t>斗酒神僧</t>
  </si>
  <si>
    <t>武功名称</t>
  </si>
  <si>
    <t>品质</t>
  </si>
  <si>
    <t>用途</t>
  </si>
  <si>
    <t>初始强度</t>
  </si>
  <si>
    <t>伤害范围</t>
  </si>
  <si>
    <t>提升攻击%</t>
  </si>
  <si>
    <t>提升防御%</t>
  </si>
  <si>
    <t>提升内力%</t>
  </si>
  <si>
    <t>成长</t>
  </si>
  <si>
    <t>化骨绵掌</t>
  </si>
  <si>
    <t>丙</t>
  </si>
  <si>
    <t>单</t>
  </si>
  <si>
    <t>太极剑法</t>
  </si>
  <si>
    <t>铁砂掌</t>
  </si>
  <si>
    <t>全真剑法</t>
  </si>
  <si>
    <t>寒冰绵掌</t>
  </si>
  <si>
    <t>五轮大转</t>
  </si>
  <si>
    <t>罗汉拳</t>
  </si>
  <si>
    <t>金刚鞭法</t>
  </si>
  <si>
    <t>鹰爪手</t>
  </si>
  <si>
    <t>燃木刀法</t>
  </si>
  <si>
    <t>擒拿手</t>
  </si>
  <si>
    <t>丁</t>
  </si>
  <si>
    <t>无名剑法</t>
  </si>
  <si>
    <t>无名刀法</t>
  </si>
  <si>
    <t>无名掌法</t>
  </si>
  <si>
    <t>狂风刀法</t>
  </si>
  <si>
    <t>太祖长拳</t>
  </si>
  <si>
    <t>独孤九剑</t>
  </si>
  <si>
    <t>甲</t>
  </si>
  <si>
    <t>群</t>
  </si>
  <si>
    <t>降龙十八掌</t>
  </si>
  <si>
    <t>六脉神剑</t>
  </si>
  <si>
    <t>天山六阳掌</t>
  </si>
  <si>
    <t>乾坤大挪移</t>
  </si>
  <si>
    <t>打狗棍法</t>
  </si>
  <si>
    <t>黯然销魂掌</t>
  </si>
  <si>
    <t>小李飞刀</t>
  </si>
  <si>
    <t>玉女素心剑</t>
  </si>
  <si>
    <t>乙</t>
  </si>
  <si>
    <t>天外飞仙</t>
  </si>
  <si>
    <t>斗转星移</t>
  </si>
  <si>
    <t>辟邪剑法</t>
  </si>
  <si>
    <t>暴雨梨花针</t>
  </si>
  <si>
    <t>吸星大法</t>
  </si>
  <si>
    <t>九阴白骨爪</t>
  </si>
  <si>
    <t>一阳指</t>
  </si>
  <si>
    <t>蛤蟆功</t>
  </si>
  <si>
    <t>空明拳</t>
  </si>
  <si>
    <t>弹指神通</t>
  </si>
  <si>
    <t>火焰刀</t>
  </si>
  <si>
    <t>狮子吼</t>
  </si>
  <si>
    <t>漫天花雨</t>
  </si>
  <si>
    <t>玄冥神掌</t>
  </si>
  <si>
    <t>灵犀一指</t>
  </si>
  <si>
    <t>顺逆神针</t>
  </si>
  <si>
    <t>碧海潮生曲</t>
  </si>
  <si>
    <t>先天罡气</t>
  </si>
  <si>
    <t>惊艳一枪</t>
  </si>
  <si>
    <t>凤翔九天</t>
  </si>
  <si>
    <t>一以贯之</t>
  </si>
  <si>
    <t>无名剑诀</t>
  </si>
  <si>
    <t>反天山剑法</t>
  </si>
  <si>
    <t>苗家剑法</t>
  </si>
  <si>
    <t>胡家刀法</t>
  </si>
  <si>
    <t>凭虚御风</t>
  </si>
  <si>
    <t>越女剑法</t>
  </si>
  <si>
    <t>浮云流月</t>
  </si>
  <si>
    <t>天外流星</t>
  </si>
  <si>
    <t>通晓武学</t>
  </si>
  <si>
    <t>嫁衣攻</t>
  </si>
  <si>
    <t>斩鹿刀决</t>
  </si>
  <si>
    <t>辅</t>
  </si>
  <si>
    <t>斗转星移甲</t>
  </si>
  <si>
    <t>九阳真经</t>
  </si>
  <si>
    <t>玉女心经</t>
  </si>
  <si>
    <t>北冥神功</t>
  </si>
  <si>
    <t>内</t>
  </si>
  <si>
    <t>九阴真经</t>
  </si>
  <si>
    <t>小无相功</t>
  </si>
  <si>
    <t>九阳神功</t>
  </si>
  <si>
    <t>葵花宝典</t>
  </si>
  <si>
    <t>明玉神功</t>
  </si>
  <si>
    <t>龙象般若功</t>
  </si>
  <si>
    <t>金刚不坏体</t>
  </si>
  <si>
    <t>太玄经</t>
  </si>
  <si>
    <t>纯阳无极功</t>
  </si>
  <si>
    <t>易筋经</t>
  </si>
  <si>
    <t>长生功</t>
  </si>
  <si>
    <t>化功大法</t>
  </si>
  <si>
    <t>金钟罩</t>
  </si>
  <si>
    <t>紫霞神功</t>
  </si>
  <si>
    <t>铁布衫</t>
  </si>
  <si>
    <t>降龙伏虎功</t>
  </si>
  <si>
    <t>洗髓经</t>
  </si>
  <si>
    <t>阴阳大悲赋</t>
  </si>
  <si>
    <t>大掌门洗髓计算器</t>
  </si>
  <si>
    <t>是否觉醒</t>
  </si>
  <si>
    <t>说明：</t>
  </si>
  <si>
    <t>否</t>
  </si>
  <si>
    <t>1、喝茶点数不影响计算；</t>
  </si>
  <si>
    <t>选择弟子</t>
  </si>
  <si>
    <t>等级</t>
  </si>
  <si>
    <t>合计</t>
  </si>
  <si>
    <t>2、如遇弟子属性误差，请先检查“弟子基础属性表”中相</t>
  </si>
  <si>
    <t xml:space="preserve">   应弟子的属性，自行修改；</t>
  </si>
  <si>
    <t>裸属性</t>
  </si>
  <si>
    <t>3、对于新出弟子自行在弟子基础属性表中补齐初始值和成长值</t>
  </si>
  <si>
    <r>
      <rPr>
        <sz val="11"/>
        <color indexed="17"/>
        <rFont val="宋体"/>
        <charset val="134"/>
      </rPr>
      <t xml:space="preserve">   即可在选择</t>
    </r>
    <r>
      <rPr>
        <sz val="11"/>
        <color indexed="17"/>
        <rFont val="宋体"/>
        <charset val="134"/>
      </rPr>
      <t>弟子</t>
    </r>
    <r>
      <rPr>
        <sz val="11"/>
        <color indexed="17"/>
        <rFont val="宋体"/>
        <charset val="134"/>
      </rPr>
      <t>中选择。</t>
    </r>
  </si>
  <si>
    <t>弟子属性</t>
  </si>
  <si>
    <t>初始</t>
  </si>
  <si>
    <t>4、对于觉醒弟子请在左方选择，但需首先确认“弟子觉醒属性”</t>
  </si>
  <si>
    <t xml:space="preserve">   表中是否有该弟子数据，若无请自行补充。</t>
  </si>
  <si>
    <t>建议：</t>
  </si>
  <si>
    <t>洗点下限建议</t>
  </si>
  <si>
    <t>潜力</t>
  </si>
  <si>
    <t>人物等级</t>
  </si>
  <si>
    <t>经验倍数</t>
  </si>
  <si>
    <t>本级经验</t>
  </si>
  <si>
    <t>总经验</t>
  </si>
  <si>
    <t>大掌门弟子经验计算器</t>
  </si>
  <si>
    <t>弟子升级所需经验查询</t>
  </si>
  <si>
    <t>单级</t>
  </si>
  <si>
    <t>初始经验</t>
  </si>
  <si>
    <t>级需</t>
  </si>
  <si>
    <t>经验</t>
  </si>
  <si>
    <r>
      <rPr>
        <sz val="11"/>
        <color indexed="17"/>
        <rFont val="宋体"/>
        <charset val="134"/>
      </rPr>
      <t xml:space="preserve">   1、该计算器最多计算至</t>
    </r>
    <r>
      <rPr>
        <sz val="11"/>
        <color indexed="10"/>
        <rFont val="宋体"/>
        <charset val="134"/>
      </rPr>
      <t>290</t>
    </r>
    <r>
      <rPr>
        <sz val="11"/>
        <color indexed="17"/>
        <rFont val="宋体"/>
        <charset val="134"/>
      </rPr>
      <t>级；</t>
    </r>
  </si>
  <si>
    <t>总</t>
  </si>
  <si>
    <t>所需</t>
  </si>
  <si>
    <t xml:space="preserve">   </t>
  </si>
  <si>
    <t>原属性预测</t>
  </si>
  <si>
    <t>新增</t>
  </si>
  <si>
    <t>弟子最终属性预测计算器</t>
  </si>
  <si>
    <t>裸 属 性</t>
  </si>
  <si>
    <t>续命</t>
  </si>
  <si>
    <t>武学境界</t>
  </si>
  <si>
    <t>听书</t>
  </si>
  <si>
    <t>突    破</t>
  </si>
  <si>
    <t>注意：</t>
  </si>
  <si>
    <t>人物缘分</t>
  </si>
  <si>
    <t>闭关重数</t>
  </si>
  <si>
    <t>BUFF1</t>
  </si>
  <si>
    <t>1、蓝色部分为百分比值，请填</t>
  </si>
  <si>
    <t>BUFF2</t>
  </si>
  <si>
    <t>写百分号前面的数值即可，如</t>
  </si>
  <si>
    <t>BUFF3</t>
  </si>
  <si>
    <r>
      <rPr>
        <sz val="11"/>
        <color indexed="17"/>
        <rFont val="宋体"/>
        <charset val="134"/>
      </rPr>
      <t>5</t>
    </r>
    <r>
      <rPr>
        <sz val="11"/>
        <color indexed="17"/>
        <rFont val="宋体"/>
        <charset val="134"/>
      </rPr>
      <t>0%，填写50即可。</t>
    </r>
  </si>
  <si>
    <t>BUFF4</t>
  </si>
  <si>
    <t>2、对于闭关重数，5重或5重以</t>
  </si>
  <si>
    <t>秘诀</t>
  </si>
  <si>
    <t>百分比</t>
  </si>
  <si>
    <t>上，只需选择5即可。</t>
  </si>
  <si>
    <t>数  值</t>
  </si>
  <si>
    <t>3、对于奇门遁甲，由两部分组</t>
  </si>
  <si>
    <t>行侠</t>
  </si>
  <si>
    <r>
      <rPr>
        <sz val="11"/>
        <color indexed="17"/>
        <rFont val="宋体"/>
        <charset val="134"/>
      </rPr>
      <t>成，</t>
    </r>
    <r>
      <rPr>
        <sz val="11"/>
        <color indexed="10"/>
        <rFont val="宋体"/>
        <charset val="134"/>
      </rPr>
      <t>一为遁甲牌，二为奇石</t>
    </r>
    <r>
      <rPr>
        <sz val="11"/>
        <color indexed="17"/>
        <rFont val="宋体"/>
        <charset val="134"/>
      </rPr>
      <t>，请</t>
    </r>
  </si>
  <si>
    <t>自行相加后填入，若有四象共振</t>
  </si>
  <si>
    <t>装    备</t>
  </si>
  <si>
    <t>也要加入。关于奇石数值请参考</t>
  </si>
  <si>
    <t>真    气</t>
  </si>
  <si>
    <t>右方表格。</t>
  </si>
  <si>
    <t>经    脉</t>
  </si>
  <si>
    <t>4、对于谢晓峰之类的天赋加10%</t>
  </si>
  <si>
    <t>七    星</t>
  </si>
  <si>
    <t>裸属性，可以将此10%加在人物</t>
  </si>
  <si>
    <t>武    道</t>
  </si>
  <si>
    <t>缘分里。</t>
  </si>
  <si>
    <t>令    牌</t>
  </si>
  <si>
    <t>5、有诸葛时，将人物缘分中每</t>
  </si>
  <si>
    <t>掌 门 决</t>
  </si>
  <si>
    <r>
      <rPr>
        <sz val="11"/>
        <color indexed="17"/>
        <rFont val="宋体"/>
        <charset val="134"/>
      </rPr>
      <t>6、</t>
    </r>
    <r>
      <rPr>
        <sz val="11"/>
        <color indexed="17"/>
        <rFont val="宋体"/>
        <charset val="134"/>
      </rPr>
      <t>其中装备一栏，为带上奇宝</t>
    </r>
  </si>
  <si>
    <t>丹    药</t>
  </si>
  <si>
    <t>之后的数值，无需原始值。</t>
  </si>
  <si>
    <t>奇门遁甲</t>
  </si>
  <si>
    <t>遁甲牌</t>
  </si>
  <si>
    <r>
      <rPr>
        <sz val="11"/>
        <color indexed="17"/>
        <rFont val="宋体"/>
        <charset val="134"/>
      </rPr>
      <t>7、在计算最终属性时，因</t>
    </r>
    <r>
      <rPr>
        <sz val="11"/>
        <color indexed="10"/>
        <rFont val="宋体"/>
        <charset val="134"/>
      </rPr>
      <t>冲关</t>
    </r>
  </si>
  <si>
    <t>奇石</t>
  </si>
  <si>
    <r>
      <rPr>
        <sz val="11"/>
        <color indexed="10"/>
        <rFont val="宋体"/>
        <charset val="134"/>
      </rPr>
      <t>第二层</t>
    </r>
    <r>
      <rPr>
        <sz val="11"/>
        <color indexed="17"/>
        <rFont val="宋体"/>
        <charset val="134"/>
      </rPr>
      <t>为所有缘分效果增加2%，</t>
    </r>
  </si>
  <si>
    <t>遁甲符</t>
  </si>
  <si>
    <t>可自行添加在人物缘分里。</t>
  </si>
  <si>
    <t>附：</t>
  </si>
  <si>
    <t>1、攻七星总加成=两个弟子攻击</t>
  </si>
  <si>
    <t>奇宝2件套</t>
  </si>
  <si>
    <t>最  终</t>
  </si>
  <si>
    <t>之和*（100+两个强化百分比之</t>
  </si>
  <si>
    <t>但不同弟子缘分数不同无法计算，</t>
  </si>
  <si>
    <t>和）/1000，最后取整数，防、</t>
  </si>
  <si>
    <t>奇宝3件套</t>
  </si>
  <si>
    <t>内、血七星加成类似。</t>
  </si>
  <si>
    <t>最终预测属性</t>
  </si>
  <si>
    <t>壹</t>
  </si>
  <si>
    <r>
      <rPr>
        <sz val="11"/>
        <color indexed="10"/>
        <rFont val="宋体"/>
        <charset val="134"/>
      </rPr>
      <t xml:space="preserve">        群攻</t>
    </r>
    <r>
      <rPr>
        <sz val="11"/>
        <color indexed="10"/>
        <rFont val="宋体"/>
        <charset val="134"/>
      </rPr>
      <t>计能伤害递减公式</t>
    </r>
  </si>
  <si>
    <t>使用说明：</t>
  </si>
  <si>
    <t>距离</t>
  </si>
  <si>
    <r>
      <rPr>
        <sz val="11"/>
        <color indexed="17"/>
        <rFont val="宋体"/>
        <charset val="134"/>
      </rPr>
      <t>1、此公式最好用的地方是用在血战扫星上，能精准的算出</t>
    </r>
    <r>
      <rPr>
        <sz val="11"/>
        <color indexed="17"/>
        <rFont val="宋体"/>
        <charset val="134"/>
      </rPr>
      <t>对</t>
    </r>
    <r>
      <rPr>
        <sz val="11"/>
        <color indexed="17"/>
        <rFont val="宋体"/>
        <charset val="134"/>
      </rPr>
      <t>每个敌人的</t>
    </r>
    <r>
      <rPr>
        <sz val="11"/>
        <color indexed="17"/>
        <rFont val="宋体"/>
        <charset val="134"/>
      </rPr>
      <t>伤害</t>
    </r>
    <r>
      <rPr>
        <sz val="11"/>
        <color indexed="17"/>
        <rFont val="宋体"/>
        <charset val="134"/>
      </rPr>
      <t>数字。很多人认为递</t>
    </r>
  </si>
  <si>
    <t>减公式是浮动的，其实是为固定值。具体公式如下：</t>
  </si>
  <si>
    <t>伤害=（你的攻击力×攻击系数+你的内力×内力系数×你的武功强度）-敌方防御×防御系数</t>
  </si>
  <si>
    <t>2、距离的定义为：正对的敌人距离为1，左右一格敌人距离为2，以此类推。距离为1时，溅射伤</t>
  </si>
  <si>
    <t>血值正好为你的弟子发动技能对正对敌人造成的伤害，此时你也可用来计算单体弟子发动技能所</t>
  </si>
  <si>
    <t>造成的伤害。</t>
  </si>
  <si>
    <t>3、这个公式算出的误差仅产生于各步计算过程中的四舍五入。</t>
  </si>
  <si>
    <t>4、本溅射伤血系统仅计算上阵弟子天赋武功的技能伤害。</t>
  </si>
  <si>
    <r>
      <rPr>
        <sz val="11"/>
        <color indexed="17"/>
        <rFont val="宋体"/>
        <charset val="134"/>
      </rPr>
      <t>5、</t>
    </r>
    <r>
      <rPr>
        <sz val="11"/>
        <color indexed="17"/>
        <rFont val="宋体"/>
        <charset val="134"/>
      </rPr>
      <t>橙</t>
    </r>
    <r>
      <rPr>
        <sz val="11"/>
        <color indexed="17"/>
        <rFont val="宋体"/>
        <charset val="134"/>
      </rPr>
      <t>色单元格为下拉菜单，可自行选择。</t>
    </r>
  </si>
  <si>
    <t>贰</t>
  </si>
  <si>
    <t>开通各条经脉所需功力</t>
  </si>
  <si>
    <t>带脉</t>
  </si>
  <si>
    <t>任脉</t>
  </si>
  <si>
    <t>冲脉</t>
  </si>
  <si>
    <t>阴跷脉</t>
  </si>
  <si>
    <t>阳跷脉</t>
  </si>
  <si>
    <t>阴维脉</t>
  </si>
  <si>
    <t>阳维脉</t>
  </si>
  <si>
    <t>督脉</t>
  </si>
  <si>
    <t>总和</t>
  </si>
  <si>
    <t>第一重</t>
  </si>
  <si>
    <t>共 需</t>
  </si>
  <si>
    <t>第二重</t>
  </si>
  <si>
    <t>第三重</t>
  </si>
  <si>
    <t>第四重</t>
  </si>
  <si>
    <t>第五重</t>
  </si>
  <si>
    <t>第六重</t>
  </si>
  <si>
    <t>第七重</t>
  </si>
  <si>
    <t>第八重</t>
  </si>
  <si>
    <t>叁</t>
  </si>
  <si>
    <t>武学境界所需魂魄数量（不含暴击）</t>
  </si>
  <si>
    <t>甲弟子突破所需魂魄数量</t>
  </si>
  <si>
    <r>
      <rPr>
        <sz val="11"/>
        <color indexed="17"/>
        <rFont val="宋体"/>
        <charset val="134"/>
      </rPr>
      <t>3</t>
    </r>
    <r>
      <rPr>
        <sz val="11"/>
        <color indexed="17"/>
        <rFont val="宋体"/>
        <charset val="134"/>
      </rPr>
      <t>5资质</t>
    </r>
  </si>
  <si>
    <t>突破总属性</t>
  </si>
  <si>
    <t>武学总属性</t>
  </si>
  <si>
    <t>总属性</t>
  </si>
  <si>
    <t>成长属</t>
  </si>
  <si>
    <t>成长等级</t>
  </si>
  <si>
    <t>甲魂魄数量</t>
  </si>
  <si>
    <t>乙魂魄数量</t>
  </si>
  <si>
    <t>1突</t>
  </si>
  <si>
    <t>性等级</t>
  </si>
  <si>
    <t>经验合计</t>
  </si>
  <si>
    <t>2突</t>
  </si>
  <si>
    <t>1重</t>
  </si>
  <si>
    <t>3突</t>
  </si>
  <si>
    <t>2重</t>
  </si>
  <si>
    <t>4突</t>
  </si>
  <si>
    <t>3重</t>
  </si>
  <si>
    <t>5突</t>
  </si>
  <si>
    <t>4重</t>
  </si>
  <si>
    <t>6突</t>
  </si>
  <si>
    <t>5重</t>
  </si>
  <si>
    <t>7突</t>
  </si>
  <si>
    <t>28资质</t>
  </si>
  <si>
    <t>8突</t>
  </si>
  <si>
    <t>9突</t>
  </si>
  <si>
    <t>10突</t>
  </si>
  <si>
    <t>11突</t>
  </si>
  <si>
    <t>12突</t>
  </si>
  <si>
    <t>13突</t>
  </si>
  <si>
    <t>14突</t>
  </si>
  <si>
    <t>肆</t>
  </si>
  <si>
    <t>BUFF武功进阶后数据</t>
  </si>
  <si>
    <t>属性</t>
  </si>
  <si>
    <t>基础值</t>
  </si>
  <si>
    <t>成长值</t>
  </si>
  <si>
    <t>进阶前</t>
  </si>
  <si>
    <t>一阶</t>
  </si>
  <si>
    <t>二阶</t>
  </si>
  <si>
    <t>三阶</t>
  </si>
  <si>
    <t>注：</t>
  </si>
  <si>
    <t>对于新出未及时记录的BUFF以及双属性BUFF，欲计算进阶后</t>
  </si>
  <si>
    <t>X</t>
  </si>
  <si>
    <t>1.1X</t>
  </si>
  <si>
    <t>1.23X</t>
  </si>
  <si>
    <t>1.35X</t>
  </si>
  <si>
    <t>后的数据，可根据左方公式自行计算。</t>
  </si>
  <si>
    <t>伍</t>
  </si>
  <si>
    <t>各弟子突破和武学境界详细属性</t>
  </si>
  <si>
    <t>突破</t>
  </si>
  <si>
    <t>第一层</t>
  </si>
  <si>
    <t>第二层</t>
  </si>
  <si>
    <t>第三层</t>
  </si>
  <si>
    <t>1、西门吹雪和林朝英的武学及突破是按成长值修</t>
  </si>
  <si>
    <t>第四层</t>
  </si>
  <si>
    <t>改之前来推算的，若要查看这两弟子，请在“弟</t>
  </si>
  <si>
    <t>子基础属性”表中将成长值暂改为原值即可。</t>
  </si>
  <si>
    <t>第五层</t>
  </si>
  <si>
    <t>2、新弟子突破和武学境界属性不适用，暂不添加，</t>
  </si>
  <si>
    <t>陆</t>
  </si>
  <si>
    <t>各级门派威望统计</t>
  </si>
  <si>
    <t>总威望</t>
  </si>
  <si>
    <t>单次威望</t>
  </si>
  <si>
    <t>柒</t>
  </si>
  <si>
    <t>名山寻宝BOSS属性</t>
  </si>
  <si>
    <t>名山名称</t>
  </si>
  <si>
    <t>弟子经验</t>
  </si>
  <si>
    <t>NPC</t>
  </si>
  <si>
    <t>龙虎山</t>
  </si>
  <si>
    <t>1—3</t>
  </si>
  <si>
    <t>4—7</t>
  </si>
  <si>
    <t>雁荡山</t>
  </si>
  <si>
    <t>庐山</t>
  </si>
  <si>
    <t>黄山</t>
  </si>
  <si>
    <t>4—8</t>
  </si>
  <si>
    <t>恒山</t>
  </si>
  <si>
    <t>衡山</t>
  </si>
  <si>
    <t>1—4</t>
  </si>
  <si>
    <t>5—8</t>
  </si>
  <si>
    <t>嵩山</t>
  </si>
  <si>
    <t>华山</t>
  </si>
  <si>
    <t>泰山</t>
  </si>
  <si>
    <t>五台山</t>
  </si>
  <si>
    <t>1—5</t>
  </si>
  <si>
    <t>6—8</t>
  </si>
  <si>
    <t>香山</t>
  </si>
  <si>
    <t>梵净山</t>
  </si>
  <si>
    <t>普陀山</t>
  </si>
  <si>
    <t>1—6</t>
  </si>
  <si>
    <t>7—8</t>
  </si>
  <si>
    <t>九华山</t>
  </si>
  <si>
    <t>五指山</t>
  </si>
  <si>
    <t>齐云山</t>
  </si>
  <si>
    <t>青城山</t>
  </si>
  <si>
    <t>1—7</t>
  </si>
  <si>
    <t>终南山</t>
  </si>
  <si>
    <t>祁连山</t>
  </si>
  <si>
    <t>点苍山</t>
  </si>
  <si>
    <t>琅邪山</t>
  </si>
  <si>
    <t>捌</t>
  </si>
  <si>
    <t>江湖BOSS属性</t>
  </si>
  <si>
    <t>江湖名称</t>
  </si>
  <si>
    <t>黑木崖</t>
  </si>
  <si>
    <t>5—7</t>
  </si>
  <si>
    <t>黄山论剑</t>
  </si>
  <si>
    <t>珍珑棋局</t>
  </si>
  <si>
    <t>灵鹫宫</t>
  </si>
  <si>
    <t>笑傲江湖</t>
  </si>
  <si>
    <t>恶人聚集</t>
  </si>
  <si>
    <t>寻访移花</t>
  </si>
  <si>
    <t>光明顶</t>
  </si>
  <si>
    <t>兵器谱</t>
  </si>
  <si>
    <t>1—8</t>
  </si>
  <si>
    <t>侠客岛</t>
  </si>
  <si>
    <t>华山论剑</t>
  </si>
  <si>
    <t>紫禁之巅</t>
  </si>
  <si>
    <t>大闹皇宫</t>
  </si>
  <si>
    <t>六扇门</t>
  </si>
  <si>
    <t>援救武当</t>
  </si>
  <si>
    <t>再战少林</t>
  </si>
  <si>
    <t>五岳俯首</t>
  </si>
  <si>
    <t>宗派来袭</t>
  </si>
  <si>
    <t>再露狰狞</t>
  </si>
  <si>
    <t>重聚英豪</t>
  </si>
  <si>
    <t>万安施救</t>
  </si>
  <si>
    <t>又见飞刀</t>
  </si>
  <si>
    <t>传国玉玺</t>
  </si>
  <si>
    <t>远赴大漠</t>
  </si>
  <si>
    <t>雁门关</t>
  </si>
  <si>
    <t>三圣谷</t>
  </si>
  <si>
    <t>白驼山庄</t>
  </si>
  <si>
    <t>冰火岛</t>
  </si>
  <si>
    <t>圣火令</t>
  </si>
  <si>
    <t>波斯明教</t>
  </si>
  <si>
    <t>武功信息</t>
  </si>
  <si>
    <t>基础信息</t>
  </si>
  <si>
    <t>成长信息</t>
  </si>
  <si>
    <t>相应等级信息</t>
  </si>
  <si>
    <t>序号</t>
  </si>
  <si>
    <t>天赋武功</t>
  </si>
  <si>
    <t>初始武功强度</t>
  </si>
  <si>
    <t>初始升级经验</t>
  </si>
  <si>
    <t>初始生命</t>
  </si>
  <si>
    <t>初始攻击</t>
  </si>
  <si>
    <t>初始防御</t>
  </si>
  <si>
    <t>初始内力</t>
  </si>
  <si>
    <t>初始总和</t>
  </si>
  <si>
    <t>血成长</t>
  </si>
  <si>
    <t>攻成长</t>
  </si>
  <si>
    <t>防成长</t>
  </si>
  <si>
    <t>内成长</t>
  </si>
  <si>
    <t>成长总和</t>
  </si>
  <si>
    <t>踏月留香</t>
  </si>
  <si>
    <t>晦明</t>
  </si>
  <si>
    <t>天山剑法</t>
  </si>
  <si>
    <t>般若掌</t>
  </si>
  <si>
    <t>小昭</t>
  </si>
  <si>
    <t>剑意</t>
  </si>
  <si>
    <t>袁承志</t>
  </si>
  <si>
    <t>混元功</t>
  </si>
  <si>
    <t>太极拳</t>
  </si>
  <si>
    <t>阿九</t>
  </si>
  <si>
    <t>千变万劫</t>
  </si>
  <si>
    <t>一点红</t>
  </si>
  <si>
    <t>无影搜魂剑</t>
  </si>
  <si>
    <t>陈家洛</t>
  </si>
  <si>
    <t>百花错拳</t>
  </si>
  <si>
    <t>香香</t>
  </si>
  <si>
    <t>国色天香</t>
  </si>
  <si>
    <t>蓝凤凰</t>
  </si>
  <si>
    <t>阿紫</t>
  </si>
  <si>
    <t>阿朱</t>
  </si>
  <si>
    <t>建宁公主</t>
  </si>
  <si>
    <t>双儿</t>
  </si>
  <si>
    <t>沐剑屏</t>
  </si>
  <si>
    <t>阿珂</t>
  </si>
  <si>
    <t>阿非</t>
  </si>
  <si>
    <t>郭芙</t>
  </si>
  <si>
    <t>九阴白骨掌</t>
  </si>
  <si>
    <t>段正淳</t>
  </si>
  <si>
    <t>渡劫</t>
  </si>
  <si>
    <t>渡难</t>
  </si>
  <si>
    <t>渡厄</t>
  </si>
  <si>
    <t>曾柔</t>
  </si>
  <si>
    <t>方怡</t>
  </si>
  <si>
    <t>向问天</t>
  </si>
  <si>
    <t>梅超风</t>
  </si>
  <si>
    <t>包不同</t>
  </si>
  <si>
    <t>布袋和尚</t>
  </si>
  <si>
    <t>陈友谅</t>
  </si>
  <si>
    <t>丁不三</t>
  </si>
  <si>
    <t>风波恶</t>
  </si>
  <si>
    <r>
      <rPr>
        <sz val="11"/>
        <color indexed="17"/>
        <rFont val="宋体"/>
        <charset val="134"/>
      </rPr>
      <t xml:space="preserve">            </t>
    </r>
    <r>
      <rPr>
        <sz val="11"/>
        <color indexed="17"/>
        <rFont val="宋体"/>
        <charset val="134"/>
      </rPr>
      <t xml:space="preserve"> </t>
    </r>
  </si>
  <si>
    <r>
      <rPr>
        <sz val="11"/>
        <color indexed="17"/>
        <rFont val="宋体"/>
        <charset val="134"/>
      </rPr>
      <t xml:space="preserve"> 注：血成长＞10、攻成长≥6、防成长≥4、内成长＞10、甲弟子成长总和＞30、乙弟子成长总和＞24的都以</t>
    </r>
    <r>
      <rPr>
        <sz val="11"/>
        <color indexed="10"/>
        <rFont val="宋体"/>
        <charset val="134"/>
      </rPr>
      <t>红色</t>
    </r>
    <r>
      <rPr>
        <sz val="11"/>
        <color indexed="17"/>
        <rFont val="宋体"/>
        <charset val="134"/>
      </rPr>
      <t>标注。</t>
    </r>
  </si>
  <si>
    <t>觉醒基础属性</t>
  </si>
  <si>
    <t>觉醒成长属性</t>
  </si>
  <si>
    <r>
      <rPr>
        <sz val="11"/>
        <color indexed="17"/>
        <rFont val="宋体"/>
        <charset val="134"/>
      </rPr>
      <t xml:space="preserve">          </t>
    </r>
    <r>
      <rPr>
        <sz val="11"/>
        <color indexed="17"/>
        <rFont val="宋体"/>
        <charset val="134"/>
      </rPr>
      <t xml:space="preserve"> </t>
    </r>
  </si>
  <si>
    <t>血战关数</t>
  </si>
  <si>
    <t>守卫襄阳（5人）</t>
  </si>
  <si>
    <t>守卫襄阳（6人）</t>
  </si>
  <si>
    <t>守卫襄阳（7人）</t>
  </si>
  <si>
    <t>守卫襄阳（8人）</t>
  </si>
  <si>
    <r>
      <rPr>
        <sz val="11"/>
        <color indexed="17"/>
        <rFont val="宋体"/>
        <charset val="134"/>
      </rPr>
      <t>深入敌后（</t>
    </r>
    <r>
      <rPr>
        <sz val="11"/>
        <color indexed="17"/>
        <rFont val="宋体"/>
        <charset val="134"/>
      </rPr>
      <t>5人</t>
    </r>
    <r>
      <rPr>
        <sz val="11"/>
        <color indexed="17"/>
        <rFont val="宋体"/>
        <charset val="134"/>
      </rPr>
      <t>）</t>
    </r>
  </si>
  <si>
    <t>深入敌后（6人）</t>
  </si>
  <si>
    <t>深入敌后（7人）</t>
  </si>
  <si>
    <t>深入敌后（8人）</t>
  </si>
  <si>
    <t>保护区（禁止改动）</t>
  </si>
  <si>
    <t>守卫襄阳</t>
  </si>
  <si>
    <t>推算用等级</t>
  </si>
  <si>
    <t>深入敌后</t>
  </si>
  <si>
    <t>日期</t>
  </si>
  <si>
    <t>元宝</t>
  </si>
  <si>
    <t>叶子</t>
  </si>
  <si>
    <t>总数</t>
  </si>
  <si>
    <t>收入</t>
  </si>
  <si>
    <t>平均日收入</t>
  </si>
  <si>
    <t>总收入</t>
  </si>
</sst>
</file>

<file path=xl/styles.xml><?xml version="1.0" encoding="utf-8"?>
<styleSheet xmlns="http://schemas.openxmlformats.org/spreadsheetml/2006/main">
  <numFmts count="13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176" formatCode="0.00_);[Red]\(0.00\)"/>
    <numFmt numFmtId="177" formatCode="0.000"/>
    <numFmt numFmtId="178" formatCode="0.0000_ "/>
    <numFmt numFmtId="179" formatCode="0.000_ "/>
    <numFmt numFmtId="180" formatCode="0.00_ "/>
    <numFmt numFmtId="181" formatCode="0_ "/>
    <numFmt numFmtId="182" formatCode="0_);[Red]\(0\)"/>
    <numFmt numFmtId="183" formatCode="0.0_);[Red]\(0.0\)"/>
    <numFmt numFmtId="184" formatCode="0.0_ "/>
  </numFmts>
  <fonts count="69">
    <font>
      <sz val="11"/>
      <color indexed="8"/>
      <name val="宋体"/>
      <charset val="134"/>
    </font>
    <font>
      <sz val="11"/>
      <color rgb="FFFF0000"/>
      <name val="宋体"/>
      <charset val="134"/>
    </font>
    <font>
      <sz val="11"/>
      <color indexed="17"/>
      <name val="宋体"/>
      <charset val="134"/>
    </font>
    <font>
      <b/>
      <sz val="11"/>
      <color indexed="10"/>
      <name val="宋体"/>
      <charset val="134"/>
    </font>
    <font>
      <sz val="11"/>
      <color indexed="10"/>
      <name val="宋体"/>
      <charset val="134"/>
    </font>
    <font>
      <b/>
      <sz val="36"/>
      <color indexed="10"/>
      <name val="宋体"/>
      <charset val="134"/>
    </font>
    <font>
      <b/>
      <sz val="48"/>
      <color indexed="10"/>
      <name val="宋体"/>
      <charset val="134"/>
    </font>
    <font>
      <b/>
      <sz val="12"/>
      <color indexed="10"/>
      <name val="宋体"/>
      <charset val="134"/>
    </font>
    <font>
      <sz val="11"/>
      <color indexed="27"/>
      <name val="宋体"/>
      <charset val="134"/>
    </font>
    <font>
      <b/>
      <sz val="11"/>
      <color indexed="17"/>
      <name val="宋体"/>
      <charset val="134"/>
    </font>
    <font>
      <b/>
      <sz val="16"/>
      <color indexed="10"/>
      <name val="华文行楷"/>
      <charset val="134"/>
    </font>
    <font>
      <b/>
      <sz val="18"/>
      <color indexed="10"/>
      <name val="华文行楷"/>
      <charset val="134"/>
    </font>
    <font>
      <sz val="11"/>
      <color indexed="45"/>
      <name val="宋体"/>
      <charset val="134"/>
    </font>
    <font>
      <sz val="11"/>
      <name val="宋体"/>
      <charset val="134"/>
    </font>
    <font>
      <sz val="11"/>
      <color indexed="49"/>
      <name val="宋体"/>
      <charset val="134"/>
    </font>
    <font>
      <b/>
      <sz val="18"/>
      <color indexed="10"/>
      <name val="書體坊顏體㊣"/>
      <charset val="134"/>
    </font>
    <font>
      <b/>
      <sz val="16"/>
      <color indexed="56"/>
      <name val="宋体"/>
      <charset val="134"/>
    </font>
    <font>
      <b/>
      <sz val="11"/>
      <color indexed="56"/>
      <name val="宋体"/>
      <charset val="134"/>
    </font>
    <font>
      <sz val="14"/>
      <color indexed="17"/>
      <name val="宋体"/>
      <charset val="134"/>
    </font>
    <font>
      <sz val="12"/>
      <color indexed="10"/>
      <name val="宋体"/>
      <charset val="134"/>
    </font>
    <font>
      <b/>
      <sz val="22"/>
      <color indexed="10"/>
      <name val="書體坊顏體㊣"/>
      <charset val="134"/>
    </font>
    <font>
      <b/>
      <sz val="14"/>
      <color indexed="56"/>
      <name val="宋体"/>
      <charset val="134"/>
    </font>
    <font>
      <sz val="16"/>
      <color indexed="10"/>
      <name val="华文行楷"/>
      <charset val="134"/>
    </font>
    <font>
      <b/>
      <sz val="12"/>
      <color indexed="56"/>
      <name val="宋体"/>
      <charset val="134"/>
    </font>
    <font>
      <b/>
      <sz val="12"/>
      <color indexed="17"/>
      <name val="宋体"/>
      <charset val="134"/>
    </font>
    <font>
      <sz val="11"/>
      <color indexed="57"/>
      <name val="宋体"/>
      <charset val="134"/>
    </font>
    <font>
      <sz val="9"/>
      <color indexed="57"/>
      <name val="宋体"/>
      <charset val="134"/>
    </font>
    <font>
      <b/>
      <sz val="12"/>
      <color indexed="10"/>
      <name val="微软雅黑"/>
      <charset val="134"/>
    </font>
    <font>
      <b/>
      <sz val="11"/>
      <color indexed="21"/>
      <name val="宋体"/>
      <charset val="134"/>
    </font>
    <font>
      <sz val="11"/>
      <color indexed="58"/>
      <name val="宋体"/>
      <charset val="134"/>
    </font>
    <font>
      <b/>
      <sz val="11"/>
      <color indexed="18"/>
      <name val="宋体"/>
      <charset val="134"/>
    </font>
    <font>
      <sz val="10"/>
      <color indexed="14"/>
      <name val="宋体"/>
      <charset val="134"/>
    </font>
    <font>
      <sz val="10"/>
      <color indexed="58"/>
      <name val="宋体"/>
      <charset val="134"/>
    </font>
    <font>
      <b/>
      <sz val="11"/>
      <color rgb="FF008000"/>
      <name val="宋体"/>
      <charset val="134"/>
    </font>
    <font>
      <b/>
      <sz val="20"/>
      <color indexed="10"/>
      <name val="宋体"/>
      <charset val="134"/>
      <scheme val="major"/>
    </font>
    <font>
      <b/>
      <sz val="16"/>
      <color indexed="10"/>
      <name val="宋体"/>
      <charset val="134"/>
    </font>
    <font>
      <b/>
      <sz val="16"/>
      <color indexed="13"/>
      <name val="宋体"/>
      <charset val="134"/>
    </font>
    <font>
      <sz val="11"/>
      <color indexed="13"/>
      <name val="宋体"/>
      <charset val="134"/>
    </font>
    <font>
      <b/>
      <sz val="14"/>
      <color indexed="10"/>
      <name val="华文楷体"/>
      <charset val="134"/>
    </font>
    <font>
      <sz val="10"/>
      <color indexed="10"/>
      <name val="宋体"/>
      <charset val="134"/>
    </font>
    <font>
      <b/>
      <sz val="11"/>
      <color indexed="12"/>
      <name val="宋体"/>
      <charset val="134"/>
    </font>
    <font>
      <sz val="10"/>
      <color indexed="17"/>
      <name val="宋体"/>
      <charset val="134"/>
    </font>
    <font>
      <sz val="10"/>
      <color indexed="10"/>
      <name val="宋体"/>
      <charset val="134"/>
      <scheme val="minor"/>
    </font>
    <font>
      <b/>
      <sz val="11"/>
      <color rgb="FF003366"/>
      <name val="宋体"/>
      <charset val="134"/>
    </font>
    <font>
      <b/>
      <sz val="10"/>
      <color indexed="56"/>
      <name val="宋体"/>
      <charset val="134"/>
    </font>
    <font>
      <b/>
      <sz val="10"/>
      <color indexed="10"/>
      <name val="宋体"/>
      <charset val="134"/>
    </font>
    <font>
      <sz val="11"/>
      <color indexed="56"/>
      <name val="宋体"/>
      <charset val="134"/>
    </font>
    <font>
      <b/>
      <sz val="10"/>
      <color indexed="17"/>
      <name val="宋体"/>
      <charset val="134"/>
    </font>
    <font>
      <b/>
      <sz val="14"/>
      <color rgb="FFFF0000"/>
      <name val="宋体"/>
      <charset val="134"/>
    </font>
    <font>
      <b/>
      <sz val="12"/>
      <color rgb="FF00800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indexed="60"/>
      <name val="宋体"/>
      <charset val="134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4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/>
      <bottom style="double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/>
      <bottom/>
      <diagonal/>
    </border>
    <border>
      <left style="double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/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/>
      <right style="double">
        <color auto="1"/>
      </right>
      <top/>
      <bottom style="thin">
        <color auto="1"/>
      </bottom>
      <diagonal/>
    </border>
    <border>
      <left/>
      <right style="double">
        <color indexed="58"/>
      </right>
      <top/>
      <bottom/>
      <diagonal/>
    </border>
    <border>
      <left style="double">
        <color indexed="58"/>
      </left>
      <right style="double">
        <color indexed="58"/>
      </right>
      <top/>
      <bottom style="thin">
        <color auto="1"/>
      </bottom>
      <diagonal/>
    </border>
    <border>
      <left style="thick">
        <color indexed="10"/>
      </left>
      <right/>
      <top/>
      <bottom style="thin">
        <color auto="1"/>
      </bottom>
      <diagonal/>
    </border>
    <border>
      <left style="double">
        <color indexed="58"/>
      </left>
      <right style="double">
        <color indexed="58"/>
      </right>
      <top style="thin">
        <color auto="1"/>
      </top>
      <bottom style="thin">
        <color auto="1"/>
      </bottom>
      <diagonal/>
    </border>
    <border>
      <left style="thick">
        <color indexed="10"/>
      </left>
      <right style="thin">
        <color indexed="58"/>
      </right>
      <top style="thin">
        <color auto="1"/>
      </top>
      <bottom style="thin">
        <color auto="1"/>
      </bottom>
      <diagonal/>
    </border>
    <border>
      <left style="thin">
        <color indexed="58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double">
        <color auto="1"/>
      </bottom>
      <diagonal/>
    </border>
    <border>
      <left style="double">
        <color indexed="58"/>
      </left>
      <right style="double">
        <color indexed="58"/>
      </right>
      <top style="thin">
        <color auto="1"/>
      </top>
      <bottom style="double">
        <color indexed="58"/>
      </bottom>
      <diagonal/>
    </border>
    <border>
      <left style="thick">
        <color indexed="10"/>
      </left>
      <right style="thin">
        <color indexed="58"/>
      </right>
      <top style="thin">
        <color auto="1"/>
      </top>
      <bottom style="double">
        <color indexed="58"/>
      </bottom>
      <diagonal/>
    </border>
    <border>
      <left style="thin">
        <color indexed="58"/>
      </left>
      <right style="thin">
        <color auto="1"/>
      </right>
      <top style="thin">
        <color auto="1"/>
      </top>
      <bottom style="double">
        <color indexed="58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indexed="58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indexed="58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indexed="58"/>
      </bottom>
      <diagonal/>
    </border>
    <border>
      <left/>
      <right style="thin">
        <color auto="1"/>
      </right>
      <top style="thin">
        <color auto="1"/>
      </top>
      <bottom style="double">
        <color indexed="58"/>
      </bottom>
      <diagonal/>
    </border>
    <border>
      <left style="thin">
        <color auto="1"/>
      </left>
      <right style="double">
        <color indexed="58"/>
      </right>
      <top style="thin">
        <color auto="1"/>
      </top>
      <bottom style="double">
        <color indexed="58"/>
      </bottom>
      <diagonal/>
    </border>
    <border>
      <left style="thick">
        <color indexed="53"/>
      </left>
      <right/>
      <top style="thick">
        <color indexed="53"/>
      </top>
      <bottom/>
      <diagonal/>
    </border>
    <border>
      <left/>
      <right/>
      <top style="thick">
        <color indexed="53"/>
      </top>
      <bottom/>
      <diagonal/>
    </border>
    <border>
      <left style="thick">
        <color indexed="53"/>
      </left>
      <right/>
      <top/>
      <bottom/>
      <diagonal/>
    </border>
    <border>
      <left style="thick">
        <color indexed="53"/>
      </left>
      <right/>
      <top/>
      <bottom style="thick">
        <color indexed="53"/>
      </bottom>
      <diagonal/>
    </border>
    <border>
      <left/>
      <right/>
      <top/>
      <bottom style="thick">
        <color indexed="53"/>
      </bottom>
      <diagonal/>
    </border>
    <border>
      <left style="thick">
        <color indexed="53"/>
      </left>
      <right/>
      <top style="thick">
        <color indexed="53"/>
      </top>
      <bottom style="thick">
        <color indexed="53"/>
      </bottom>
      <diagonal/>
    </border>
    <border>
      <left/>
      <right/>
      <top style="thick">
        <color indexed="53"/>
      </top>
      <bottom style="thick">
        <color indexed="53"/>
      </bottom>
      <diagonal/>
    </border>
    <border>
      <left style="thin">
        <color auto="1"/>
      </left>
      <right style="thin">
        <color auto="1"/>
      </right>
      <top style="thick">
        <color indexed="53"/>
      </top>
      <bottom style="thin">
        <color auto="1"/>
      </bottom>
      <diagonal/>
    </border>
    <border>
      <left style="thick">
        <color indexed="53"/>
      </left>
      <right style="thin">
        <color auto="1"/>
      </right>
      <top style="thick">
        <color indexed="53"/>
      </top>
      <bottom style="thin">
        <color auto="1"/>
      </bottom>
      <diagonal/>
    </border>
    <border>
      <left style="thick">
        <color indexed="53"/>
      </left>
      <right style="thick">
        <color indexed="53"/>
      </right>
      <top/>
      <bottom style="thick">
        <color indexed="53"/>
      </bottom>
      <diagonal/>
    </border>
    <border>
      <left style="thick">
        <color indexed="53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indexed="53"/>
      </left>
      <right style="thin">
        <color auto="1"/>
      </right>
      <top/>
      <bottom style="thick">
        <color indexed="53"/>
      </bottom>
      <diagonal/>
    </border>
    <border>
      <left style="thin">
        <color auto="1"/>
      </left>
      <right style="thin">
        <color auto="1"/>
      </right>
      <top/>
      <bottom style="thick">
        <color indexed="53"/>
      </bottom>
      <diagonal/>
    </border>
    <border>
      <left style="thin">
        <color auto="1"/>
      </left>
      <right style="thick">
        <color indexed="53"/>
      </right>
      <top/>
      <bottom style="thick">
        <color indexed="53"/>
      </bottom>
      <diagonal/>
    </border>
    <border>
      <left style="thick">
        <color indexed="53"/>
      </left>
      <right style="thin">
        <color auto="1"/>
      </right>
      <top style="thick">
        <color indexed="53"/>
      </top>
      <bottom/>
      <diagonal/>
    </border>
    <border>
      <left style="thin">
        <color auto="1"/>
      </left>
      <right style="thin">
        <color auto="1"/>
      </right>
      <top style="thick">
        <color indexed="53"/>
      </top>
      <bottom/>
      <diagonal/>
    </border>
    <border>
      <left style="thin">
        <color auto="1"/>
      </left>
      <right style="thick">
        <color indexed="53"/>
      </right>
      <top style="thick">
        <color indexed="53"/>
      </top>
      <bottom/>
      <diagonal/>
    </border>
    <border>
      <left style="thick">
        <color indexed="53"/>
      </left>
      <right style="thin">
        <color auto="1"/>
      </right>
      <top style="thin">
        <color auto="1"/>
      </top>
      <bottom style="thick">
        <color indexed="5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indexed="53"/>
      </bottom>
      <diagonal/>
    </border>
    <border>
      <left style="thick">
        <color indexed="53"/>
      </left>
      <right style="thin">
        <color auto="1"/>
      </right>
      <top/>
      <bottom/>
      <diagonal/>
    </border>
    <border>
      <left style="thin">
        <color auto="1"/>
      </left>
      <right style="thick">
        <color indexed="53"/>
      </right>
      <top/>
      <bottom/>
      <diagonal/>
    </border>
    <border>
      <left/>
      <right style="thick">
        <color indexed="53"/>
      </right>
      <top/>
      <bottom/>
      <diagonal/>
    </border>
    <border>
      <left style="thin">
        <color auto="1"/>
      </left>
      <right/>
      <top style="thick">
        <color indexed="53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ck">
        <color indexed="53"/>
      </top>
      <bottom style="thin">
        <color auto="1"/>
      </bottom>
      <diagonal/>
    </border>
    <border>
      <left/>
      <right style="thick">
        <color indexed="53"/>
      </right>
      <top/>
      <bottom style="thick">
        <color indexed="53"/>
      </bottom>
      <diagonal/>
    </border>
    <border>
      <left style="thick">
        <color indexed="53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ck">
        <color indexed="53"/>
      </left>
      <right/>
      <top/>
      <bottom style="double">
        <color auto="1"/>
      </bottom>
      <diagonal/>
    </border>
    <border>
      <left style="thick">
        <color indexed="53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ck">
        <color indexed="53"/>
      </right>
      <top style="thick">
        <color indexed="53"/>
      </top>
      <bottom style="thin">
        <color auto="1"/>
      </bottom>
      <diagonal/>
    </border>
    <border>
      <left style="thick">
        <color indexed="53"/>
      </left>
      <right/>
      <top/>
      <bottom style="thin">
        <color auto="1"/>
      </bottom>
      <diagonal/>
    </border>
    <border>
      <left style="thin">
        <color auto="1"/>
      </left>
      <right style="thick">
        <color indexed="53"/>
      </right>
      <top style="thin">
        <color auto="1"/>
      </top>
      <bottom style="thin">
        <color auto="1"/>
      </bottom>
      <diagonal/>
    </border>
    <border>
      <left style="thick">
        <color indexed="53"/>
      </left>
      <right/>
      <top style="thin">
        <color auto="1"/>
      </top>
      <bottom style="thin">
        <color auto="1"/>
      </bottom>
      <diagonal/>
    </border>
    <border>
      <left style="thick">
        <color indexed="53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indexed="53"/>
      </right>
      <top style="thin">
        <color auto="1"/>
      </top>
      <bottom/>
      <diagonal/>
    </border>
    <border>
      <left style="thin">
        <color auto="1"/>
      </left>
      <right style="thick">
        <color indexed="53"/>
      </right>
      <top style="thin">
        <color auto="1"/>
      </top>
      <bottom style="thick">
        <color indexed="53"/>
      </bottom>
      <diagonal/>
    </border>
    <border>
      <left style="thick">
        <color indexed="53"/>
      </left>
      <right/>
      <top style="thin">
        <color auto="1"/>
      </top>
      <bottom style="thick">
        <color indexed="53"/>
      </bottom>
      <diagonal/>
    </border>
    <border>
      <left style="thin">
        <color auto="1"/>
      </left>
      <right style="double">
        <color auto="1"/>
      </right>
      <top style="thick">
        <color indexed="53"/>
      </top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ck">
        <color indexed="53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ck">
        <color indexed="53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ck">
        <color indexed="53"/>
      </bottom>
      <diagonal/>
    </border>
    <border>
      <left/>
      <right style="thick">
        <color indexed="53"/>
      </right>
      <top style="thick">
        <color indexed="53"/>
      </top>
      <bottom/>
      <diagonal/>
    </border>
    <border>
      <left style="double">
        <color auto="1"/>
      </left>
      <right style="double">
        <color auto="1"/>
      </right>
      <top style="thin">
        <color auto="1"/>
      </top>
      <bottom style="thick">
        <color indexed="53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3">
    <xf numFmtId="0" fontId="0" fillId="0" borderId="0">
      <alignment vertical="center"/>
    </xf>
    <xf numFmtId="42" fontId="50" fillId="0" borderId="0" applyFont="0" applyFill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61" fillId="28" borderId="140" applyNumberFormat="0" applyAlignment="0" applyProtection="0">
      <alignment vertical="center"/>
    </xf>
    <xf numFmtId="44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43" fontId="50" fillId="0" borderId="0" applyFont="0" applyFill="0" applyBorder="0" applyAlignment="0" applyProtection="0">
      <alignment vertical="center"/>
    </xf>
    <xf numFmtId="0" fontId="59" fillId="35" borderId="0" applyNumberFormat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9" fontId="50" fillId="0" borderId="0" applyFon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0" fillId="42" borderId="145" applyNumberFormat="0" applyFont="0" applyAlignment="0" applyProtection="0">
      <alignment vertical="center"/>
    </xf>
    <xf numFmtId="0" fontId="59" fillId="27" borderId="0" applyNumberFormat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68" fillId="0" borderId="139" applyNumberFormat="0" applyFill="0" applyAlignment="0" applyProtection="0">
      <alignment vertical="center"/>
    </xf>
    <xf numFmtId="0" fontId="57" fillId="0" borderId="139" applyNumberFormat="0" applyFill="0" applyAlignment="0" applyProtection="0">
      <alignment vertical="center"/>
    </xf>
    <xf numFmtId="0" fontId="59" fillId="34" borderId="0" applyNumberFormat="0" applyBorder="0" applyAlignment="0" applyProtection="0">
      <alignment vertical="center"/>
    </xf>
    <xf numFmtId="0" fontId="53" fillId="0" borderId="143" applyNumberFormat="0" applyFill="0" applyAlignment="0" applyProtection="0">
      <alignment vertical="center"/>
    </xf>
    <xf numFmtId="0" fontId="59" fillId="26" borderId="0" applyNumberFormat="0" applyBorder="0" applyAlignment="0" applyProtection="0">
      <alignment vertical="center"/>
    </xf>
    <xf numFmtId="0" fontId="67" fillId="31" borderId="144" applyNumberFormat="0" applyAlignment="0" applyProtection="0">
      <alignment vertical="center"/>
    </xf>
    <xf numFmtId="0" fontId="62" fillId="31" borderId="140" applyNumberFormat="0" applyAlignment="0" applyProtection="0">
      <alignment vertical="center"/>
    </xf>
    <xf numFmtId="0" fontId="56" fillId="23" borderId="138" applyNumberFormat="0" applyAlignment="0" applyProtection="0">
      <alignment vertical="center"/>
    </xf>
    <xf numFmtId="0" fontId="51" fillId="45" borderId="0" applyNumberFormat="0" applyBorder="0" applyAlignment="0" applyProtection="0">
      <alignment vertical="center"/>
    </xf>
    <xf numFmtId="0" fontId="59" fillId="38" borderId="0" applyNumberFormat="0" applyBorder="0" applyAlignment="0" applyProtection="0">
      <alignment vertical="center"/>
    </xf>
    <xf numFmtId="0" fontId="63" fillId="0" borderId="141" applyNumberFormat="0" applyFill="0" applyAlignment="0" applyProtection="0">
      <alignment vertical="center"/>
    </xf>
    <xf numFmtId="0" fontId="64" fillId="0" borderId="14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0" fillId="5" borderId="0" applyNumberFormat="0" applyBorder="0" applyAlignment="0" applyProtection="0">
      <alignment vertical="center"/>
    </xf>
    <xf numFmtId="0" fontId="51" fillId="30" borderId="0" applyNumberFormat="0" applyBorder="0" applyAlignment="0" applyProtection="0">
      <alignment vertical="center"/>
    </xf>
    <xf numFmtId="0" fontId="59" fillId="41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44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9" fillId="40" borderId="0" applyNumberFormat="0" applyBorder="0" applyAlignment="0" applyProtection="0">
      <alignment vertical="center"/>
    </xf>
    <xf numFmtId="0" fontId="59" fillId="37" borderId="0" applyNumberFormat="0" applyBorder="0" applyAlignment="0" applyProtection="0">
      <alignment vertical="center"/>
    </xf>
    <xf numFmtId="0" fontId="51" fillId="43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9" fillId="39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59" fillId="36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9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8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0" xfId="31" applyProtection="1">
      <alignment vertical="center"/>
      <protection locked="0"/>
    </xf>
    <xf numFmtId="0" fontId="2" fillId="3" borderId="0" xfId="31" applyAlignment="1" applyProtection="1">
      <alignment horizontal="center" vertical="center"/>
      <protection locked="0"/>
    </xf>
    <xf numFmtId="0" fontId="2" fillId="3" borderId="0" xfId="31" applyBorder="1" applyAlignment="1" applyProtection="1">
      <alignment horizontal="center" vertical="center"/>
      <protection locked="0"/>
    </xf>
    <xf numFmtId="0" fontId="2" fillId="3" borderId="0" xfId="31">
      <alignment vertical="center"/>
    </xf>
    <xf numFmtId="0" fontId="2" fillId="3" borderId="1" xfId="31" applyBorder="1" applyAlignment="1" applyProtection="1">
      <alignment horizontal="center" vertical="center"/>
      <protection locked="0"/>
    </xf>
    <xf numFmtId="0" fontId="2" fillId="3" borderId="1" xfId="31" applyFont="1" applyBorder="1" applyAlignment="1" applyProtection="1">
      <alignment horizontal="center" vertical="center"/>
      <protection locked="0"/>
    </xf>
    <xf numFmtId="0" fontId="2" fillId="3" borderId="2" xfId="31" applyFont="1" applyBorder="1" applyAlignment="1" applyProtection="1">
      <alignment horizontal="center" vertical="center"/>
      <protection locked="0"/>
    </xf>
    <xf numFmtId="0" fontId="2" fillId="3" borderId="2" xfId="31" applyBorder="1" applyAlignment="1" applyProtection="1">
      <alignment horizontal="center" vertical="center"/>
      <protection locked="0"/>
    </xf>
    <xf numFmtId="0" fontId="2" fillId="3" borderId="0" xfId="31" applyAlignment="1">
      <alignment horizontal="right" vertical="center"/>
    </xf>
    <xf numFmtId="0" fontId="2" fillId="3" borderId="0" xfId="31" applyAlignment="1">
      <alignment horizontal="left" vertical="center"/>
    </xf>
    <xf numFmtId="0" fontId="2" fillId="4" borderId="3" xfId="31" applyFill="1" applyBorder="1" applyAlignment="1" applyProtection="1">
      <alignment horizontal="center" vertical="center"/>
    </xf>
    <xf numFmtId="0" fontId="2" fillId="4" borderId="4" xfId="31" applyFill="1" applyBorder="1" applyAlignment="1" applyProtection="1">
      <alignment horizontal="center" vertical="center"/>
    </xf>
    <xf numFmtId="0" fontId="2" fillId="5" borderId="5" xfId="31" applyFill="1" applyBorder="1" applyAlignment="1">
      <alignment horizontal="center" vertical="center"/>
    </xf>
    <xf numFmtId="0" fontId="3" fillId="5" borderId="6" xfId="31" applyFont="1" applyFill="1" applyBorder="1">
      <alignment vertical="center"/>
    </xf>
    <xf numFmtId="0" fontId="2" fillId="5" borderId="7" xfId="31" applyFill="1" applyBorder="1" applyAlignment="1" applyProtection="1">
      <alignment horizontal="right" vertical="center"/>
    </xf>
    <xf numFmtId="0" fontId="2" fillId="5" borderId="5" xfId="31" applyFill="1" applyBorder="1" applyAlignment="1" applyProtection="1">
      <alignment horizontal="center" vertical="center"/>
    </xf>
    <xf numFmtId="0" fontId="2" fillId="5" borderId="7" xfId="31" applyFont="1" applyFill="1" applyBorder="1">
      <alignment vertical="center"/>
    </xf>
    <xf numFmtId="0" fontId="2" fillId="3" borderId="0" xfId="31" applyAlignment="1">
      <alignment vertical="center" wrapText="1"/>
    </xf>
    <xf numFmtId="0" fontId="2" fillId="3" borderId="8" xfId="31" applyBorder="1" applyAlignment="1" applyProtection="1">
      <alignment horizontal="center" vertical="center"/>
      <protection locked="0"/>
    </xf>
    <xf numFmtId="0" fontId="2" fillId="3" borderId="0" xfId="31" applyAlignment="1">
      <alignment horizontal="center" vertical="center"/>
    </xf>
    <xf numFmtId="178" fontId="2" fillId="3" borderId="0" xfId="31" applyNumberFormat="1" applyAlignment="1">
      <alignment horizontal="center" vertical="center"/>
    </xf>
    <xf numFmtId="0" fontId="2" fillId="3" borderId="0" xfId="31" applyNumberFormat="1" applyAlignment="1">
      <alignment horizontal="center" vertical="center"/>
    </xf>
    <xf numFmtId="0" fontId="2" fillId="3" borderId="1" xfId="31" applyBorder="1" applyAlignment="1">
      <alignment horizontal="center" vertical="center"/>
    </xf>
    <xf numFmtId="0" fontId="2" fillId="3" borderId="2" xfId="31" applyBorder="1" applyAlignment="1">
      <alignment horizontal="center" vertical="center"/>
    </xf>
    <xf numFmtId="0" fontId="2" fillId="3" borderId="9" xfId="31" applyBorder="1" applyAlignment="1">
      <alignment horizontal="center" vertical="center"/>
    </xf>
    <xf numFmtId="0" fontId="2" fillId="3" borderId="10" xfId="31" applyBorder="1" applyAlignment="1">
      <alignment horizontal="center" vertical="center"/>
    </xf>
    <xf numFmtId="0" fontId="2" fillId="3" borderId="11" xfId="31" applyBorder="1" applyAlignment="1">
      <alignment horizontal="center" vertical="center"/>
    </xf>
    <xf numFmtId="0" fontId="2" fillId="3" borderId="12" xfId="31" applyBorder="1" applyAlignment="1">
      <alignment horizontal="center" vertical="center"/>
    </xf>
    <xf numFmtId="0" fontId="2" fillId="3" borderId="1" xfId="31" applyFont="1" applyBorder="1" applyAlignment="1">
      <alignment horizontal="center" vertical="center"/>
    </xf>
    <xf numFmtId="178" fontId="2" fillId="3" borderId="1" xfId="31" applyNumberFormat="1" applyBorder="1" applyAlignment="1">
      <alignment horizontal="center" vertical="center"/>
    </xf>
    <xf numFmtId="0" fontId="2" fillId="3" borderId="2" xfId="31" applyNumberFormat="1" applyBorder="1" applyAlignment="1">
      <alignment horizontal="center" vertical="center"/>
    </xf>
    <xf numFmtId="0" fontId="2" fillId="3" borderId="13" xfId="31" applyNumberFormat="1" applyBorder="1" applyAlignment="1">
      <alignment horizontal="center" vertical="center"/>
    </xf>
    <xf numFmtId="0" fontId="2" fillId="3" borderId="14" xfId="31" applyNumberFormat="1" applyBorder="1" applyAlignment="1">
      <alignment horizontal="center" vertical="center"/>
    </xf>
    <xf numFmtId="0" fontId="2" fillId="3" borderId="1" xfId="31" applyNumberFormat="1" applyBorder="1" applyAlignment="1">
      <alignment horizontal="center" vertical="center"/>
    </xf>
    <xf numFmtId="0" fontId="2" fillId="3" borderId="9" xfId="31" applyNumberFormat="1" applyBorder="1" applyAlignment="1">
      <alignment horizontal="center" vertical="center"/>
    </xf>
    <xf numFmtId="0" fontId="4" fillId="3" borderId="1" xfId="31" applyFont="1" applyBorder="1" applyAlignment="1">
      <alignment horizontal="center" vertical="center"/>
    </xf>
    <xf numFmtId="0" fontId="4" fillId="3" borderId="12" xfId="31" applyFont="1" applyBorder="1" applyAlignment="1">
      <alignment horizontal="center" vertical="center"/>
    </xf>
    <xf numFmtId="0" fontId="2" fillId="3" borderId="0" xfId="31" applyFont="1" applyAlignment="1">
      <alignment horizontal="center" vertical="center"/>
    </xf>
    <xf numFmtId="0" fontId="2" fillId="3" borderId="8" xfId="31" applyFont="1" applyBorder="1" applyAlignment="1">
      <alignment horizontal="center" vertical="center"/>
    </xf>
    <xf numFmtId="0" fontId="2" fillId="3" borderId="15" xfId="31" applyFont="1" applyBorder="1" applyAlignment="1">
      <alignment horizontal="center" vertical="center"/>
    </xf>
    <xf numFmtId="0" fontId="2" fillId="3" borderId="15" xfId="31" applyBorder="1" applyAlignment="1">
      <alignment horizontal="center" vertical="center"/>
    </xf>
    <xf numFmtId="0" fontId="2" fillId="3" borderId="0" xfId="31" applyBorder="1" applyAlignment="1">
      <alignment horizontal="center" vertical="center"/>
    </xf>
    <xf numFmtId="0" fontId="4" fillId="3" borderId="0" xfId="31" applyFont="1" applyAlignment="1">
      <alignment horizontal="center" vertical="center"/>
    </xf>
    <xf numFmtId="0" fontId="2" fillId="3" borderId="8" xfId="31" applyBorder="1" applyAlignment="1">
      <alignment horizontal="center" vertical="center"/>
    </xf>
    <xf numFmtId="0" fontId="5" fillId="6" borderId="16" xfId="31" applyFont="1" applyFill="1" applyBorder="1" applyAlignment="1" applyProtection="1">
      <alignment horizontal="center" vertical="center"/>
    </xf>
    <xf numFmtId="0" fontId="4" fillId="5" borderId="3" xfId="32" applyFont="1" applyFill="1" applyBorder="1" applyAlignment="1" applyProtection="1">
      <alignment horizontal="left" vertical="center"/>
    </xf>
    <xf numFmtId="0" fontId="4" fillId="5" borderId="17" xfId="32" applyFont="1" applyFill="1" applyBorder="1" applyAlignment="1" applyProtection="1">
      <alignment horizontal="left" vertical="center"/>
    </xf>
    <xf numFmtId="0" fontId="4" fillId="5" borderId="18" xfId="32" applyFont="1" applyFill="1" applyBorder="1" applyAlignment="1" applyProtection="1">
      <alignment horizontal="left" vertical="center"/>
    </xf>
    <xf numFmtId="0" fontId="4" fillId="5" borderId="7" xfId="31" applyFont="1" applyFill="1" applyBorder="1" applyAlignment="1" applyProtection="1">
      <alignment horizontal="center" vertical="center"/>
    </xf>
    <xf numFmtId="0" fontId="4" fillId="5" borderId="17" xfId="31" applyFont="1" applyFill="1" applyBorder="1" applyAlignment="1" applyProtection="1">
      <alignment horizontal="center" vertical="center"/>
    </xf>
    <xf numFmtId="0" fontId="6" fillId="6" borderId="19" xfId="31" applyFont="1" applyFill="1" applyBorder="1" applyAlignment="1" applyProtection="1">
      <alignment horizontal="center" vertical="center"/>
    </xf>
    <xf numFmtId="0" fontId="2" fillId="3" borderId="11" xfId="31" applyBorder="1" applyAlignment="1" applyProtection="1">
      <alignment horizontal="center" vertical="center"/>
    </xf>
    <xf numFmtId="0" fontId="2" fillId="3" borderId="12" xfId="31" applyBorder="1" applyAlignment="1" applyProtection="1">
      <alignment horizontal="center" vertical="center"/>
    </xf>
    <xf numFmtId="0" fontId="2" fillId="3" borderId="14" xfId="31" applyFont="1" applyBorder="1" applyProtection="1">
      <alignment vertical="center"/>
    </xf>
    <xf numFmtId="0" fontId="2" fillId="3" borderId="0" xfId="31" applyFont="1" applyBorder="1" applyProtection="1">
      <alignment vertical="center"/>
    </xf>
    <xf numFmtId="0" fontId="2" fillId="3" borderId="20" xfId="31" applyBorder="1" applyAlignment="1" applyProtection="1">
      <alignment horizontal="center" vertical="center"/>
    </xf>
    <xf numFmtId="177" fontId="2" fillId="3" borderId="21" xfId="31" applyNumberFormat="1" applyBorder="1" applyAlignment="1" applyProtection="1">
      <alignment horizontal="center" vertical="center"/>
    </xf>
    <xf numFmtId="179" fontId="2" fillId="3" borderId="21" xfId="31" applyNumberFormat="1" applyBorder="1" applyAlignment="1" applyProtection="1">
      <alignment horizontal="center" vertical="center"/>
    </xf>
    <xf numFmtId="180" fontId="2" fillId="3" borderId="21" xfId="31" applyNumberFormat="1" applyBorder="1" applyAlignment="1" applyProtection="1">
      <alignment horizontal="center" vertical="center"/>
    </xf>
    <xf numFmtId="0" fontId="2" fillId="3" borderId="14" xfId="31" applyBorder="1" applyProtection="1">
      <alignment vertical="center"/>
    </xf>
    <xf numFmtId="0" fontId="2" fillId="3" borderId="0" xfId="31" applyBorder="1" applyProtection="1">
      <alignment vertical="center"/>
    </xf>
    <xf numFmtId="0" fontId="2" fillId="3" borderId="22" xfId="31" applyBorder="1" applyAlignment="1" applyProtection="1">
      <alignment horizontal="center" vertical="center"/>
    </xf>
    <xf numFmtId="0" fontId="2" fillId="3" borderId="23" xfId="31" applyBorder="1" applyAlignment="1" applyProtection="1">
      <alignment horizontal="center" vertical="center"/>
    </xf>
    <xf numFmtId="179" fontId="2" fillId="3" borderId="23" xfId="31" applyNumberFormat="1" applyBorder="1" applyAlignment="1" applyProtection="1">
      <alignment horizontal="center" vertical="center"/>
    </xf>
    <xf numFmtId="180" fontId="2" fillId="3" borderId="23" xfId="31" applyNumberFormat="1" applyBorder="1" applyAlignment="1" applyProtection="1">
      <alignment horizontal="center" vertical="center"/>
    </xf>
    <xf numFmtId="0" fontId="2" fillId="3" borderId="14" xfId="31" applyBorder="1" applyAlignment="1" applyProtection="1">
      <alignment horizontal="left" vertical="center"/>
    </xf>
    <xf numFmtId="0" fontId="2" fillId="3" borderId="0" xfId="31" applyBorder="1" applyAlignment="1" applyProtection="1">
      <alignment horizontal="left" vertical="center"/>
    </xf>
    <xf numFmtId="177" fontId="2" fillId="3" borderId="23" xfId="31" applyNumberFormat="1" applyBorder="1" applyAlignment="1" applyProtection="1">
      <alignment horizontal="center" vertical="center"/>
    </xf>
    <xf numFmtId="0" fontId="6" fillId="6" borderId="24" xfId="31" applyFont="1" applyFill="1" applyBorder="1" applyAlignment="1" applyProtection="1">
      <alignment horizontal="center" vertical="center"/>
    </xf>
    <xf numFmtId="0" fontId="2" fillId="3" borderId="25" xfId="31" applyBorder="1" applyAlignment="1" applyProtection="1">
      <alignment horizontal="center" vertical="center"/>
    </xf>
    <xf numFmtId="0" fontId="2" fillId="3" borderId="26" xfId="31" applyBorder="1" applyAlignment="1" applyProtection="1">
      <alignment horizontal="center" vertical="center"/>
    </xf>
    <xf numFmtId="179" fontId="2" fillId="3" borderId="26" xfId="31" applyNumberFormat="1" applyBorder="1" applyAlignment="1" applyProtection="1">
      <alignment horizontal="center" vertical="center"/>
    </xf>
    <xf numFmtId="180" fontId="2" fillId="3" borderId="26" xfId="31" applyNumberFormat="1" applyBorder="1" applyAlignment="1" applyProtection="1">
      <alignment horizontal="center" vertical="center"/>
    </xf>
    <xf numFmtId="0" fontId="2" fillId="3" borderId="27" xfId="31" applyFont="1" applyBorder="1" applyProtection="1">
      <alignment vertical="center"/>
    </xf>
    <xf numFmtId="0" fontId="2" fillId="3" borderId="28" xfId="31" applyFont="1" applyBorder="1" applyProtection="1">
      <alignment vertical="center"/>
    </xf>
    <xf numFmtId="0" fontId="2" fillId="3" borderId="0" xfId="31" applyBorder="1" applyProtection="1">
      <alignment vertical="center"/>
      <protection locked="0"/>
    </xf>
    <xf numFmtId="0" fontId="4" fillId="5" borderId="3" xfId="31" applyFont="1" applyFill="1" applyBorder="1" applyAlignment="1" applyProtection="1">
      <alignment horizontal="center" vertical="center"/>
    </xf>
    <xf numFmtId="0" fontId="5" fillId="6" borderId="19" xfId="31" applyFont="1" applyFill="1" applyBorder="1" applyAlignment="1" applyProtection="1">
      <alignment horizontal="center" vertical="center"/>
    </xf>
    <xf numFmtId="0" fontId="2" fillId="3" borderId="12" xfId="31" applyFont="1" applyBorder="1" applyAlignment="1" applyProtection="1">
      <alignment horizontal="center" vertical="center"/>
    </xf>
    <xf numFmtId="0" fontId="2" fillId="3" borderId="9" xfId="31" applyFont="1" applyBorder="1" applyAlignment="1" applyProtection="1">
      <alignment horizontal="center" vertical="center"/>
    </xf>
    <xf numFmtId="0" fontId="2" fillId="3" borderId="20" xfId="31" applyFont="1" applyBorder="1" applyAlignment="1" applyProtection="1">
      <alignment horizontal="center" vertical="center"/>
    </xf>
    <xf numFmtId="0" fontId="2" fillId="3" borderId="21" xfId="31" applyBorder="1" applyAlignment="1" applyProtection="1">
      <alignment horizontal="center" vertical="center"/>
      <protection locked="0"/>
    </xf>
    <xf numFmtId="0" fontId="5" fillId="6" borderId="24" xfId="31" applyFont="1" applyFill="1" applyBorder="1" applyAlignment="1" applyProtection="1">
      <alignment horizontal="center" vertical="center"/>
    </xf>
    <xf numFmtId="0" fontId="2" fillId="3" borderId="29" xfId="31" applyFont="1" applyBorder="1" applyAlignment="1" applyProtection="1">
      <alignment horizontal="center" vertical="center"/>
    </xf>
    <xf numFmtId="0" fontId="2" fillId="3" borderId="30" xfId="31" applyBorder="1" applyAlignment="1" applyProtection="1">
      <alignment horizontal="center" vertical="center"/>
      <protection locked="0"/>
    </xf>
    <xf numFmtId="0" fontId="2" fillId="5" borderId="17" xfId="31" applyFill="1" applyBorder="1" applyAlignment="1" applyProtection="1">
      <alignment horizontal="center" vertical="center"/>
    </xf>
    <xf numFmtId="0" fontId="2" fillId="3" borderId="31" xfId="31" applyFont="1" applyBorder="1" applyAlignment="1" applyProtection="1">
      <alignment horizontal="center" vertical="center"/>
    </xf>
    <xf numFmtId="0" fontId="2" fillId="3" borderId="32" xfId="31" applyFont="1" applyBorder="1" applyAlignment="1" applyProtection="1">
      <alignment horizontal="center" vertical="center"/>
    </xf>
    <xf numFmtId="0" fontId="2" fillId="3" borderId="32" xfId="31" applyFont="1" applyBorder="1" applyAlignment="1" applyProtection="1">
      <alignment horizontal="center"/>
    </xf>
    <xf numFmtId="0" fontId="2" fillId="3" borderId="33" xfId="31" applyFont="1" applyBorder="1" applyAlignment="1" applyProtection="1">
      <alignment horizontal="center" vertical="center"/>
    </xf>
    <xf numFmtId="0" fontId="2" fillId="3" borderId="26" xfId="31" applyFont="1" applyBorder="1" applyAlignment="1" applyProtection="1">
      <alignment horizontal="center" vertical="center"/>
    </xf>
    <xf numFmtId="0" fontId="2" fillId="3" borderId="26" xfId="31" applyFont="1" applyBorder="1" applyAlignment="1" applyProtection="1">
      <alignment horizontal="center" vertical="top"/>
    </xf>
    <xf numFmtId="0" fontId="2" fillId="3" borderId="34" xfId="31" applyFont="1" applyBorder="1" applyAlignment="1" applyProtection="1">
      <alignment horizontal="center" vertical="center"/>
    </xf>
    <xf numFmtId="0" fontId="2" fillId="3" borderId="12" xfId="31" applyBorder="1" applyAlignment="1" applyProtection="1">
      <alignment horizontal="center" vertical="center"/>
      <protection locked="0"/>
    </xf>
    <xf numFmtId="0" fontId="2" fillId="3" borderId="35" xfId="31" applyFont="1" applyBorder="1" applyAlignment="1" applyProtection="1">
      <alignment horizontal="center" vertical="center"/>
    </xf>
    <xf numFmtId="0" fontId="2" fillId="3" borderId="1" xfId="31" applyBorder="1" applyAlignment="1" applyProtection="1">
      <alignment horizontal="center" vertical="center"/>
    </xf>
    <xf numFmtId="0" fontId="2" fillId="3" borderId="36" xfId="31" applyFont="1" applyBorder="1" applyAlignment="1" applyProtection="1">
      <alignment horizontal="center" vertical="center"/>
    </xf>
    <xf numFmtId="0" fontId="2" fillId="3" borderId="37" xfId="31" applyBorder="1" applyAlignment="1" applyProtection="1">
      <alignment horizontal="center" vertical="center"/>
      <protection locked="0"/>
    </xf>
    <xf numFmtId="0" fontId="2" fillId="3" borderId="37" xfId="31" applyBorder="1" applyAlignment="1" applyProtection="1">
      <alignment horizontal="center" vertical="center"/>
    </xf>
    <xf numFmtId="0" fontId="2" fillId="3" borderId="38" xfId="31" applyFont="1" applyBorder="1" applyAlignment="1" applyProtection="1">
      <alignment horizontal="center" vertical="center"/>
    </xf>
    <xf numFmtId="0" fontId="2" fillId="3" borderId="30" xfId="31" applyBorder="1" applyAlignment="1" applyProtection="1">
      <alignment horizontal="center" vertical="center"/>
    </xf>
    <xf numFmtId="0" fontId="2" fillId="3" borderId="39" xfId="31" applyBorder="1" applyAlignment="1" applyProtection="1">
      <alignment horizontal="center" vertical="center"/>
    </xf>
    <xf numFmtId="0" fontId="2" fillId="3" borderId="40" xfId="31" applyBorder="1" applyAlignment="1" applyProtection="1">
      <alignment horizontal="center" vertical="center"/>
    </xf>
    <xf numFmtId="0" fontId="2" fillId="3" borderId="41" xfId="31" applyBorder="1" applyAlignment="1" applyProtection="1">
      <alignment horizontal="center" vertical="center"/>
    </xf>
    <xf numFmtId="0" fontId="2" fillId="7" borderId="35" xfId="31" applyFont="1" applyFill="1" applyBorder="1" applyAlignment="1" applyProtection="1">
      <alignment horizontal="center" vertical="center"/>
      <protection locked="0"/>
    </xf>
    <xf numFmtId="0" fontId="2" fillId="7" borderId="1" xfId="31" applyFill="1" applyBorder="1" applyAlignment="1" applyProtection="1">
      <alignment horizontal="center" vertical="center"/>
      <protection locked="0"/>
    </xf>
    <xf numFmtId="0" fontId="2" fillId="3" borderId="42" xfId="31" applyBorder="1" applyAlignment="1" applyProtection="1">
      <alignment horizontal="center" vertical="center"/>
    </xf>
    <xf numFmtId="0" fontId="2" fillId="3" borderId="0" xfId="31" applyBorder="1" applyAlignment="1" applyProtection="1">
      <alignment horizontal="center" vertical="center"/>
    </xf>
    <xf numFmtId="0" fontId="7" fillId="3" borderId="8" xfId="31" applyFont="1" applyBorder="1" applyAlignment="1" applyProtection="1">
      <alignment horizontal="center" vertical="center"/>
    </xf>
    <xf numFmtId="0" fontId="2" fillId="3" borderId="13" xfId="31" applyBorder="1" applyAlignment="1" applyProtection="1">
      <alignment horizontal="center" vertical="center"/>
    </xf>
    <xf numFmtId="0" fontId="2" fillId="7" borderId="30" xfId="31" applyFill="1" applyBorder="1" applyAlignment="1" applyProtection="1">
      <alignment horizontal="center" vertical="center"/>
      <protection locked="0"/>
    </xf>
    <xf numFmtId="0" fontId="8" fillId="8" borderId="43" xfId="31" applyFont="1" applyFill="1" applyBorder="1" applyAlignment="1" applyProtection="1">
      <alignment vertical="center"/>
    </xf>
    <xf numFmtId="0" fontId="4" fillId="3" borderId="31" xfId="31" applyFont="1" applyBorder="1" applyAlignment="1" applyProtection="1">
      <alignment horizontal="center" vertical="center"/>
    </xf>
    <xf numFmtId="0" fontId="2" fillId="3" borderId="44" xfId="31" applyBorder="1" applyAlignment="1" applyProtection="1">
      <alignment horizontal="center" vertical="center"/>
    </xf>
    <xf numFmtId="0" fontId="8" fillId="8" borderId="19" xfId="31" applyFont="1" applyFill="1" applyBorder="1" applyAlignment="1" applyProtection="1">
      <alignment horizontal="center" vertical="center"/>
      <protection locked="0"/>
    </xf>
    <xf numFmtId="0" fontId="4" fillId="3" borderId="34" xfId="31" applyFont="1" applyBorder="1" applyAlignment="1" applyProtection="1">
      <alignment horizontal="center" vertical="center"/>
    </xf>
    <xf numFmtId="0" fontId="2" fillId="3" borderId="9" xfId="31" applyBorder="1" applyAlignment="1" applyProtection="1">
      <alignment horizontal="center" vertical="center"/>
    </xf>
    <xf numFmtId="0" fontId="2" fillId="3" borderId="2" xfId="31" applyBorder="1" applyAlignment="1" applyProtection="1">
      <alignment horizontal="center" vertical="center"/>
    </xf>
    <xf numFmtId="0" fontId="2" fillId="3" borderId="35" xfId="31" applyBorder="1" applyAlignment="1" applyProtection="1">
      <alignment horizontal="center" vertical="center"/>
    </xf>
    <xf numFmtId="0" fontId="2" fillId="3" borderId="45" xfId="31" applyBorder="1" applyAlignment="1" applyProtection="1">
      <alignment horizontal="center" vertical="center"/>
    </xf>
    <xf numFmtId="181" fontId="2" fillId="3" borderId="9" xfId="31" applyNumberFormat="1" applyBorder="1" applyAlignment="1" applyProtection="1">
      <alignment horizontal="center" vertical="center"/>
    </xf>
    <xf numFmtId="181" fontId="2" fillId="3" borderId="1" xfId="31" applyNumberFormat="1" applyBorder="1" applyAlignment="1" applyProtection="1">
      <alignment horizontal="center" vertical="center"/>
    </xf>
    <xf numFmtId="181" fontId="2" fillId="3" borderId="2" xfId="31" applyNumberFormat="1" applyBorder="1" applyAlignment="1" applyProtection="1">
      <alignment horizontal="center" vertical="center"/>
    </xf>
    <xf numFmtId="181" fontId="2" fillId="3" borderId="35" xfId="31" applyNumberFormat="1" applyBorder="1" applyAlignment="1" applyProtection="1">
      <alignment horizontal="center" vertical="center"/>
    </xf>
    <xf numFmtId="0" fontId="8" fillId="8" borderId="46" xfId="31" applyFont="1" applyFill="1" applyBorder="1" applyAlignment="1" applyProtection="1">
      <alignment horizontal="center" vertical="center"/>
    </xf>
    <xf numFmtId="0" fontId="2" fillId="3" borderId="47" xfId="31" applyBorder="1" applyAlignment="1" applyProtection="1">
      <alignment horizontal="center" vertical="center"/>
    </xf>
    <xf numFmtId="0" fontId="8" fillId="8" borderId="19" xfId="31" applyFont="1" applyFill="1" applyBorder="1" applyAlignment="1" applyProtection="1">
      <alignment horizontal="center" vertical="center"/>
    </xf>
    <xf numFmtId="0" fontId="8" fillId="8" borderId="48" xfId="31" applyFont="1" applyFill="1" applyBorder="1" applyAlignment="1" applyProtection="1">
      <alignment horizontal="center" vertical="center"/>
    </xf>
    <xf numFmtId="0" fontId="8" fillId="8" borderId="0" xfId="31" applyFont="1" applyFill="1" applyProtection="1">
      <alignment vertical="center"/>
    </xf>
    <xf numFmtId="0" fontId="8" fillId="8" borderId="24" xfId="31" applyFont="1" applyFill="1" applyBorder="1" applyProtection="1">
      <alignment vertical="center"/>
    </xf>
    <xf numFmtId="0" fontId="2" fillId="3" borderId="33" xfId="31" applyBorder="1" applyAlignment="1" applyProtection="1">
      <alignment horizontal="center" vertical="center"/>
    </xf>
    <xf numFmtId="181" fontId="2" fillId="3" borderId="29" xfId="31" applyNumberFormat="1" applyBorder="1" applyAlignment="1" applyProtection="1">
      <alignment horizontal="center" vertical="center"/>
    </xf>
    <xf numFmtId="181" fontId="2" fillId="3" borderId="30" xfId="31" applyNumberFormat="1" applyBorder="1" applyAlignment="1" applyProtection="1">
      <alignment horizontal="center" vertical="center"/>
    </xf>
    <xf numFmtId="181" fontId="2" fillId="3" borderId="49" xfId="31" applyNumberFormat="1" applyBorder="1" applyAlignment="1" applyProtection="1">
      <alignment horizontal="center" vertical="center"/>
    </xf>
    <xf numFmtId="181" fontId="2" fillId="3" borderId="38" xfId="31" applyNumberFormat="1" applyBorder="1" applyAlignment="1" applyProtection="1">
      <alignment horizontal="center" vertical="center"/>
    </xf>
    <xf numFmtId="0" fontId="2" fillId="3" borderId="50" xfId="31" applyBorder="1" applyAlignment="1" applyProtection="1">
      <alignment horizontal="center" vertical="center"/>
    </xf>
    <xf numFmtId="0" fontId="2" fillId="3" borderId="51" xfId="31" applyBorder="1" applyAlignment="1" applyProtection="1">
      <alignment horizontal="center" vertical="center"/>
      <protection locked="0"/>
    </xf>
    <xf numFmtId="0" fontId="4" fillId="5" borderId="4" xfId="31" applyFont="1" applyFill="1" applyBorder="1" applyAlignment="1" applyProtection="1">
      <alignment horizontal="center" vertical="center"/>
    </xf>
    <xf numFmtId="0" fontId="2" fillId="3" borderId="52" xfId="31" applyFont="1" applyBorder="1" applyProtection="1">
      <alignment vertical="center"/>
    </xf>
    <xf numFmtId="0" fontId="2" fillId="3" borderId="52" xfId="31" applyBorder="1" applyProtection="1">
      <alignment vertical="center"/>
    </xf>
    <xf numFmtId="0" fontId="2" fillId="3" borderId="52" xfId="31" applyBorder="1" applyAlignment="1" applyProtection="1">
      <alignment horizontal="left" vertical="center"/>
    </xf>
    <xf numFmtId="0" fontId="2" fillId="3" borderId="53" xfId="31" applyFont="1" applyBorder="1" applyProtection="1">
      <alignment vertical="center"/>
    </xf>
    <xf numFmtId="0" fontId="2" fillId="3" borderId="15" xfId="31" applyFont="1" applyBorder="1" applyAlignment="1" applyProtection="1">
      <alignment horizontal="center" vertical="center"/>
    </xf>
    <xf numFmtId="0" fontId="2" fillId="3" borderId="54" xfId="31" applyBorder="1" applyAlignment="1" applyProtection="1">
      <alignment vertical="center"/>
    </xf>
    <xf numFmtId="0" fontId="3" fillId="3" borderId="55" xfId="31" applyFont="1" applyBorder="1" applyAlignment="1" applyProtection="1">
      <alignment horizontal="center"/>
    </xf>
    <xf numFmtId="0" fontId="3" fillId="3" borderId="55" xfId="31" applyFont="1" applyBorder="1" applyAlignment="1" applyProtection="1">
      <alignment vertical="center"/>
    </xf>
    <xf numFmtId="0" fontId="3" fillId="3" borderId="55" xfId="31" applyFont="1" applyBorder="1" applyAlignment="1" applyProtection="1">
      <alignment horizontal="center" vertical="top"/>
    </xf>
    <xf numFmtId="0" fontId="2" fillId="3" borderId="56" xfId="31" applyBorder="1" applyAlignment="1" applyProtection="1">
      <alignment horizontal="center" vertical="center"/>
      <protection locked="0"/>
    </xf>
    <xf numFmtId="0" fontId="2" fillId="3" borderId="49" xfId="31" applyBorder="1" applyAlignment="1" applyProtection="1">
      <alignment horizontal="center" vertical="center"/>
      <protection locked="0"/>
    </xf>
    <xf numFmtId="0" fontId="9" fillId="3" borderId="57" xfId="31" applyFont="1" applyBorder="1" applyAlignment="1" applyProtection="1">
      <alignment vertical="top"/>
    </xf>
    <xf numFmtId="0" fontId="2" fillId="5" borderId="4" xfId="31" applyFill="1" applyBorder="1" applyAlignment="1" applyProtection="1">
      <alignment horizontal="center" vertical="center"/>
    </xf>
    <xf numFmtId="0" fontId="2" fillId="3" borderId="54" xfId="31" applyFont="1" applyBorder="1" applyAlignment="1" applyProtection="1">
      <alignment horizontal="center" vertical="center"/>
    </xf>
    <xf numFmtId="0" fontId="2" fillId="3" borderId="39" xfId="31" applyBorder="1" applyAlignment="1" applyProtection="1">
      <alignment horizontal="center" vertical="center"/>
      <protection locked="0"/>
    </xf>
    <xf numFmtId="0" fontId="2" fillId="3" borderId="50" xfId="31" applyBorder="1" applyAlignment="1" applyProtection="1">
      <alignment horizontal="center" vertical="center"/>
      <protection locked="0"/>
    </xf>
    <xf numFmtId="0" fontId="2" fillId="3" borderId="57" xfId="31" applyFont="1" applyBorder="1" applyAlignment="1" applyProtection="1">
      <alignment horizontal="center" vertical="center"/>
    </xf>
    <xf numFmtId="0" fontId="2" fillId="3" borderId="35" xfId="31" applyBorder="1" applyAlignment="1" applyProtection="1">
      <alignment horizontal="center" vertical="center"/>
      <protection locked="0"/>
    </xf>
    <xf numFmtId="0" fontId="2" fillId="3" borderId="58" xfId="31" applyBorder="1" applyAlignment="1" applyProtection="1">
      <alignment horizontal="center" vertical="center"/>
    </xf>
    <xf numFmtId="0" fontId="2" fillId="3" borderId="51" xfId="31" applyBorder="1" applyAlignment="1" applyProtection="1">
      <alignment horizontal="center" vertical="center"/>
    </xf>
    <xf numFmtId="0" fontId="2" fillId="3" borderId="59" xfId="31" applyBorder="1" applyAlignment="1" applyProtection="1">
      <alignment horizontal="center" vertical="center"/>
    </xf>
    <xf numFmtId="0" fontId="2" fillId="3" borderId="60" xfId="31" applyBorder="1" applyAlignment="1" applyProtection="1">
      <alignment horizontal="center" vertical="center"/>
    </xf>
    <xf numFmtId="0" fontId="2" fillId="3" borderId="38" xfId="31" applyBorder="1" applyAlignment="1" applyProtection="1">
      <alignment horizontal="center" vertical="center"/>
      <protection locked="0"/>
    </xf>
    <xf numFmtId="0" fontId="2" fillId="3" borderId="60" xfId="31" applyBorder="1" applyAlignment="1" applyProtection="1">
      <alignment horizontal="center" vertical="center"/>
      <protection locked="0"/>
    </xf>
    <xf numFmtId="0" fontId="2" fillId="3" borderId="32" xfId="31" applyBorder="1" applyAlignment="1" applyProtection="1">
      <alignment horizontal="center" vertical="center"/>
    </xf>
    <xf numFmtId="0" fontId="2" fillId="3" borderId="54" xfId="31" applyBorder="1" applyAlignment="1" applyProtection="1">
      <alignment horizontal="center" vertical="center"/>
    </xf>
    <xf numFmtId="0" fontId="2" fillId="3" borderId="51" xfId="31" applyFont="1" applyBorder="1" applyAlignment="1" applyProtection="1">
      <alignment horizontal="center" vertical="center"/>
    </xf>
    <xf numFmtId="0" fontId="4" fillId="3" borderId="0" xfId="31" applyFont="1" applyAlignment="1" applyProtection="1">
      <alignment horizontal="right" vertical="center"/>
    </xf>
    <xf numFmtId="0" fontId="4" fillId="3" borderId="0" xfId="31" applyFont="1" applyAlignment="1" applyProtection="1">
      <alignment horizontal="left" vertical="center"/>
    </xf>
    <xf numFmtId="0" fontId="2" fillId="3" borderId="61" xfId="31" applyBorder="1" applyAlignment="1" applyProtection="1">
      <alignment horizontal="center" vertical="center"/>
    </xf>
    <xf numFmtId="0" fontId="2" fillId="3" borderId="0" xfId="31" applyProtection="1">
      <alignment vertical="center"/>
    </xf>
    <xf numFmtId="181" fontId="2" fillId="3" borderId="51" xfId="31" applyNumberFormat="1" applyBorder="1" applyAlignment="1" applyProtection="1">
      <alignment horizontal="center" vertical="center"/>
    </xf>
    <xf numFmtId="0" fontId="4" fillId="3" borderId="0" xfId="31" applyFont="1" applyAlignment="1" applyProtection="1">
      <alignment horizontal="left" vertical="center"/>
      <protection locked="0"/>
    </xf>
    <xf numFmtId="181" fontId="2" fillId="3" borderId="60" xfId="31" applyNumberFormat="1" applyBorder="1" applyAlignment="1" applyProtection="1">
      <alignment horizontal="center" vertical="center"/>
    </xf>
    <xf numFmtId="0" fontId="2" fillId="3" borderId="38" xfId="31" applyBorder="1" applyAlignment="1" applyProtection="1">
      <alignment horizontal="center" vertical="center"/>
    </xf>
    <xf numFmtId="0" fontId="5" fillId="6" borderId="62" xfId="31" applyFont="1" applyFill="1" applyBorder="1" applyAlignment="1" applyProtection="1">
      <alignment horizontal="center" vertical="center"/>
    </xf>
    <xf numFmtId="0" fontId="4" fillId="5" borderId="3" xfId="31" applyFont="1" applyFill="1" applyBorder="1" applyAlignment="1" applyProtection="1">
      <alignment horizontal="center" vertical="center"/>
      <protection locked="0"/>
    </xf>
    <xf numFmtId="0" fontId="4" fillId="5" borderId="17" xfId="31" applyFont="1" applyFill="1" applyBorder="1" applyAlignment="1" applyProtection="1">
      <alignment horizontal="center" vertical="center"/>
      <protection locked="0"/>
    </xf>
    <xf numFmtId="0" fontId="5" fillId="6" borderId="52" xfId="31" applyFont="1" applyFill="1" applyBorder="1" applyAlignment="1" applyProtection="1">
      <alignment horizontal="center" vertical="center"/>
    </xf>
    <xf numFmtId="0" fontId="2" fillId="3" borderId="41" xfId="31" applyBorder="1" applyAlignment="1" applyProtection="1">
      <alignment horizontal="center" vertical="center"/>
      <protection locked="0"/>
    </xf>
    <xf numFmtId="0" fontId="2" fillId="3" borderId="40" xfId="31" applyBorder="1" applyAlignment="1" applyProtection="1">
      <alignment horizontal="center" vertical="center"/>
      <protection locked="0"/>
    </xf>
    <xf numFmtId="0" fontId="2" fillId="3" borderId="63" xfId="31" applyBorder="1" applyAlignment="1" applyProtection="1">
      <alignment horizontal="center" vertical="center"/>
      <protection locked="0"/>
    </xf>
    <xf numFmtId="58" fontId="2" fillId="3" borderId="35" xfId="31" applyNumberFormat="1" applyBorder="1" applyAlignment="1" applyProtection="1">
      <alignment horizontal="center" vertical="center"/>
      <protection locked="0"/>
    </xf>
    <xf numFmtId="0" fontId="2" fillId="3" borderId="9" xfId="31" applyBorder="1" applyAlignment="1" applyProtection="1">
      <alignment horizontal="center" vertical="center"/>
      <protection locked="0"/>
    </xf>
    <xf numFmtId="0" fontId="2" fillId="3" borderId="45" xfId="31" applyBorder="1" applyAlignment="1" applyProtection="1">
      <alignment horizontal="center" vertical="center"/>
      <protection locked="0"/>
    </xf>
    <xf numFmtId="0" fontId="2" fillId="3" borderId="64" xfId="31" applyBorder="1" applyAlignment="1" applyProtection="1">
      <alignment horizontal="center" vertical="center"/>
      <protection locked="0"/>
    </xf>
    <xf numFmtId="0" fontId="2" fillId="3" borderId="20" xfId="31" applyBorder="1" applyAlignment="1" applyProtection="1">
      <alignment horizontal="center" vertical="center"/>
      <protection locked="0"/>
    </xf>
    <xf numFmtId="0" fontId="5" fillId="6" borderId="53" xfId="31" applyFont="1" applyFill="1" applyBorder="1" applyAlignment="1" applyProtection="1">
      <alignment horizontal="center" vertical="center"/>
    </xf>
    <xf numFmtId="0" fontId="2" fillId="3" borderId="29" xfId="31" applyBorder="1" applyAlignment="1" applyProtection="1">
      <alignment horizontal="center" vertical="center"/>
      <protection locked="0"/>
    </xf>
    <xf numFmtId="0" fontId="4" fillId="5" borderId="4" xfId="31" applyFont="1" applyFill="1" applyBorder="1" applyAlignment="1" applyProtection="1">
      <alignment horizontal="center" vertical="center"/>
      <protection locked="0"/>
    </xf>
    <xf numFmtId="0" fontId="10" fillId="5" borderId="65" xfId="31" applyFont="1" applyFill="1" applyBorder="1" applyAlignment="1">
      <alignment horizontal="center" vertical="center"/>
    </xf>
    <xf numFmtId="0" fontId="10" fillId="5" borderId="66" xfId="31" applyFont="1" applyFill="1" applyBorder="1" applyAlignment="1">
      <alignment horizontal="center" vertical="center"/>
    </xf>
    <xf numFmtId="0" fontId="3" fillId="5" borderId="32" xfId="31" applyFont="1" applyFill="1" applyBorder="1" applyAlignment="1">
      <alignment horizontal="center" vertical="center"/>
    </xf>
    <xf numFmtId="0" fontId="11" fillId="3" borderId="0" xfId="31" applyFont="1" applyAlignment="1">
      <alignment horizontal="center" vertical="center"/>
    </xf>
    <xf numFmtId="0" fontId="12" fillId="3" borderId="39" xfId="31" applyFont="1" applyBorder="1" applyAlignment="1">
      <alignment horizontal="center" vertical="center"/>
    </xf>
    <xf numFmtId="0" fontId="12" fillId="3" borderId="40" xfId="31" applyFont="1" applyBorder="1" applyAlignment="1">
      <alignment horizontal="center" vertical="center"/>
    </xf>
    <xf numFmtId="0" fontId="2" fillId="9" borderId="32" xfId="0" applyFont="1" applyFill="1" applyBorder="1" applyAlignment="1" applyProtection="1">
      <alignment horizontal="center" vertical="center"/>
      <protection locked="0"/>
    </xf>
    <xf numFmtId="0" fontId="12" fillId="3" borderId="35" xfId="31" applyFont="1" applyBorder="1" applyAlignment="1">
      <alignment horizontal="center" vertical="center"/>
    </xf>
    <xf numFmtId="0" fontId="12" fillId="3" borderId="1" xfId="31" applyFont="1" applyBorder="1" applyAlignment="1">
      <alignment horizontal="center" vertical="center"/>
    </xf>
    <xf numFmtId="0" fontId="2" fillId="9" borderId="21" xfId="0" applyFont="1" applyFill="1" applyBorder="1" applyAlignment="1" applyProtection="1">
      <alignment horizontal="center" vertical="center"/>
      <protection locked="0"/>
    </xf>
    <xf numFmtId="0" fontId="12" fillId="3" borderId="38" xfId="31" applyFont="1" applyBorder="1" applyAlignment="1">
      <alignment horizontal="center" vertical="center"/>
    </xf>
    <xf numFmtId="0" fontId="12" fillId="3" borderId="30" xfId="31" applyFont="1" applyBorder="1" applyAlignment="1">
      <alignment horizontal="center" vertical="center"/>
    </xf>
    <xf numFmtId="0" fontId="2" fillId="9" borderId="30" xfId="0" applyFont="1" applyFill="1" applyBorder="1" applyAlignment="1" applyProtection="1">
      <alignment horizontal="center" vertical="center"/>
      <protection locked="0"/>
    </xf>
    <xf numFmtId="0" fontId="13" fillId="3" borderId="0" xfId="31" applyFont="1">
      <alignment vertical="center"/>
    </xf>
    <xf numFmtId="0" fontId="12" fillId="3" borderId="3" xfId="31" applyFont="1" applyBorder="1" applyAlignment="1">
      <alignment horizontal="center" vertical="center"/>
    </xf>
    <xf numFmtId="0" fontId="12" fillId="3" borderId="18" xfId="31" applyFont="1" applyBorder="1" applyAlignment="1">
      <alignment horizontal="center" vertical="center"/>
    </xf>
    <xf numFmtId="0" fontId="2" fillId="9" borderId="22" xfId="0" applyFont="1" applyFill="1" applyBorder="1" applyAlignment="1" applyProtection="1">
      <alignment horizontal="center" vertical="center"/>
      <protection locked="0"/>
    </xf>
    <xf numFmtId="0" fontId="4" fillId="3" borderId="0" xfId="31" applyFont="1" applyAlignment="1">
      <alignment horizontal="right" vertical="center"/>
    </xf>
    <xf numFmtId="0" fontId="14" fillId="3" borderId="39" xfId="31" applyFont="1" applyBorder="1" applyAlignment="1">
      <alignment horizontal="center" vertical="center"/>
    </xf>
    <xf numFmtId="0" fontId="14" fillId="3" borderId="40" xfId="31" applyFont="1" applyBorder="1" applyAlignment="1">
      <alignment horizontal="center" vertical="center"/>
    </xf>
    <xf numFmtId="0" fontId="2" fillId="9" borderId="20" xfId="0" applyFont="1" applyFill="1" applyBorder="1" applyAlignment="1" applyProtection="1">
      <alignment horizontal="center" vertical="center"/>
      <protection locked="0"/>
    </xf>
    <xf numFmtId="0" fontId="13" fillId="3" borderId="0" xfId="31" applyFont="1" applyAlignment="1">
      <alignment horizontal="left" vertical="center"/>
    </xf>
    <xf numFmtId="0" fontId="13" fillId="3" borderId="0" xfId="31" applyFont="1" applyAlignment="1">
      <alignment horizontal="center" vertical="center"/>
    </xf>
    <xf numFmtId="0" fontId="2" fillId="3" borderId="45" xfId="31" applyBorder="1" applyAlignment="1">
      <alignment horizontal="center" vertical="center"/>
    </xf>
    <xf numFmtId="0" fontId="14" fillId="3" borderId="1" xfId="31" applyFont="1" applyBorder="1" applyAlignment="1">
      <alignment horizontal="center" vertical="center"/>
    </xf>
    <xf numFmtId="0" fontId="2" fillId="3" borderId="47" xfId="31" applyBorder="1" applyAlignment="1">
      <alignment horizontal="center" vertical="center"/>
    </xf>
    <xf numFmtId="0" fontId="2" fillId="7" borderId="47" xfId="31" applyFill="1" applyBorder="1" applyAlignment="1" applyProtection="1">
      <alignment horizontal="center" vertical="center"/>
      <protection locked="0"/>
    </xf>
    <xf numFmtId="0" fontId="2" fillId="3" borderId="0" xfId="31" applyFont="1" applyAlignment="1">
      <alignment horizontal="left" vertical="center"/>
    </xf>
    <xf numFmtId="0" fontId="2" fillId="7" borderId="34" xfId="31" applyFill="1" applyBorder="1" applyAlignment="1" applyProtection="1">
      <alignment horizontal="center" vertical="center"/>
      <protection locked="0"/>
    </xf>
    <xf numFmtId="0" fontId="2" fillId="3" borderId="35" xfId="31" applyBorder="1" applyAlignment="1">
      <alignment horizontal="center" vertical="center"/>
    </xf>
    <xf numFmtId="0" fontId="2" fillId="3" borderId="21" xfId="31" applyBorder="1" applyAlignment="1">
      <alignment horizontal="center" vertical="center"/>
    </xf>
    <xf numFmtId="0" fontId="2" fillId="9" borderId="1" xfId="0" applyFont="1" applyFill="1" applyBorder="1" applyAlignment="1" applyProtection="1">
      <alignment horizontal="center" vertical="center"/>
      <protection locked="0"/>
    </xf>
    <xf numFmtId="0" fontId="2" fillId="3" borderId="33" xfId="31" applyBorder="1" applyAlignment="1">
      <alignment horizontal="center" vertical="center"/>
    </xf>
    <xf numFmtId="0" fontId="2" fillId="3" borderId="30" xfId="31" applyBorder="1" applyAlignment="1">
      <alignment horizontal="center" vertical="center"/>
    </xf>
    <xf numFmtId="0" fontId="2" fillId="3" borderId="39" xfId="31" applyBorder="1" applyAlignment="1">
      <alignment horizontal="center" vertical="center"/>
    </xf>
    <xf numFmtId="0" fontId="2" fillId="3" borderId="40" xfId="31" applyBorder="1" applyAlignment="1">
      <alignment horizontal="center" vertical="center"/>
    </xf>
    <xf numFmtId="0" fontId="2" fillId="3" borderId="67" xfId="31" applyBorder="1" applyAlignment="1">
      <alignment horizontal="center" vertical="center"/>
    </xf>
    <xf numFmtId="0" fontId="2" fillId="3" borderId="34" xfId="31" applyBorder="1" applyAlignment="1">
      <alignment horizontal="center" vertical="center"/>
    </xf>
    <xf numFmtId="0" fontId="14" fillId="3" borderId="21" xfId="31" applyFont="1" applyBorder="1" applyAlignment="1">
      <alignment horizontal="center" vertical="center"/>
    </xf>
    <xf numFmtId="0" fontId="2" fillId="3" borderId="3" xfId="31" applyBorder="1" applyAlignment="1">
      <alignment horizontal="center" vertical="center"/>
    </xf>
    <xf numFmtId="0" fontId="2" fillId="3" borderId="18" xfId="31" applyBorder="1" applyAlignment="1">
      <alignment horizontal="center" vertical="center"/>
    </xf>
    <xf numFmtId="0" fontId="1" fillId="3" borderId="0" xfId="31" applyFont="1" applyAlignment="1">
      <alignment horizontal="right" vertical="center"/>
    </xf>
    <xf numFmtId="0" fontId="2" fillId="3" borderId="31" xfId="31" applyBorder="1" applyAlignment="1">
      <alignment horizontal="center" vertical="center"/>
    </xf>
    <xf numFmtId="0" fontId="4" fillId="5" borderId="6" xfId="31" applyFont="1" applyFill="1" applyBorder="1" applyAlignment="1">
      <alignment horizontal="center" vertical="center"/>
    </xf>
    <xf numFmtId="0" fontId="4" fillId="5" borderId="68" xfId="31" applyFont="1" applyFill="1" applyBorder="1" applyAlignment="1">
      <alignment horizontal="center" vertical="center"/>
    </xf>
    <xf numFmtId="182" fontId="4" fillId="3" borderId="68" xfId="31" applyNumberFormat="1" applyFont="1" applyBorder="1" applyAlignment="1">
      <alignment horizontal="center" vertical="center"/>
    </xf>
    <xf numFmtId="0" fontId="3" fillId="5" borderId="54" xfId="31" applyFont="1" applyFill="1" applyBorder="1" applyAlignment="1">
      <alignment horizontal="center" vertical="center"/>
    </xf>
    <xf numFmtId="0" fontId="2" fillId="9" borderId="66" xfId="0" applyFont="1" applyFill="1" applyBorder="1" applyAlignment="1" applyProtection="1">
      <alignment horizontal="center" vertical="center"/>
      <protection locked="0"/>
    </xf>
    <xf numFmtId="0" fontId="2" fillId="9" borderId="62" xfId="0" applyFont="1" applyFill="1" applyBorder="1" applyAlignment="1" applyProtection="1">
      <alignment horizontal="center" vertical="center"/>
      <protection locked="0"/>
    </xf>
    <xf numFmtId="0" fontId="2" fillId="9" borderId="54" xfId="0" applyFont="1" applyFill="1" applyBorder="1" applyAlignment="1" applyProtection="1">
      <alignment horizontal="center" vertical="center"/>
      <protection locked="0"/>
    </xf>
    <xf numFmtId="0" fontId="2" fillId="9" borderId="69" xfId="0" applyFont="1" applyFill="1" applyBorder="1" applyAlignment="1" applyProtection="1">
      <alignment horizontal="center" vertical="center"/>
      <protection locked="0"/>
    </xf>
    <xf numFmtId="0" fontId="2" fillId="3" borderId="38" xfId="31" applyBorder="1" applyAlignment="1">
      <alignment horizontal="center" vertical="center"/>
    </xf>
    <xf numFmtId="0" fontId="2" fillId="9" borderId="60" xfId="0" applyFont="1" applyFill="1" applyBorder="1" applyAlignment="1" applyProtection="1">
      <alignment horizontal="center" vertical="center"/>
      <protection locked="0"/>
    </xf>
    <xf numFmtId="0" fontId="2" fillId="9" borderId="29" xfId="0" applyFont="1" applyFill="1" applyBorder="1" applyAlignment="1" applyProtection="1">
      <alignment horizontal="center" vertical="center"/>
      <protection locked="0"/>
    </xf>
    <xf numFmtId="0" fontId="2" fillId="9" borderId="70" xfId="0" applyFont="1" applyFill="1" applyBorder="1" applyAlignment="1" applyProtection="1">
      <alignment horizontal="center" vertical="center"/>
      <protection locked="0"/>
    </xf>
    <xf numFmtId="0" fontId="2" fillId="9" borderId="51" xfId="0" applyFont="1" applyFill="1" applyBorder="1" applyAlignment="1" applyProtection="1">
      <alignment horizontal="center" vertical="center"/>
      <protection locked="0"/>
    </xf>
    <xf numFmtId="0" fontId="2" fillId="9" borderId="9" xfId="0" applyFont="1" applyFill="1" applyBorder="1" applyAlignment="1" applyProtection="1">
      <alignment horizontal="center" vertical="center"/>
      <protection locked="0"/>
    </xf>
    <xf numFmtId="0" fontId="2" fillId="9" borderId="61" xfId="0" applyFont="1" applyFill="1" applyBorder="1" applyAlignment="1" applyProtection="1">
      <alignment horizontal="center" vertical="center"/>
      <protection locked="0"/>
    </xf>
    <xf numFmtId="182" fontId="4" fillId="3" borderId="71" xfId="31" applyNumberFormat="1" applyFont="1" applyBorder="1" applyAlignment="1">
      <alignment horizontal="center" vertical="center"/>
    </xf>
    <xf numFmtId="0" fontId="15" fillId="3" borderId="0" xfId="31" applyFont="1" applyAlignment="1">
      <alignment horizontal="center" vertical="center"/>
    </xf>
    <xf numFmtId="0" fontId="16" fillId="5" borderId="65" xfId="31" applyFont="1" applyFill="1" applyBorder="1" applyAlignment="1">
      <alignment horizontal="center" vertical="center"/>
    </xf>
    <xf numFmtId="0" fontId="16" fillId="5" borderId="62" xfId="31" applyFont="1" applyFill="1" applyBorder="1" applyAlignment="1">
      <alignment horizontal="center" vertical="center"/>
    </xf>
    <xf numFmtId="0" fontId="10" fillId="5" borderId="16" xfId="31" applyFont="1" applyFill="1" applyBorder="1" applyAlignment="1">
      <alignment horizontal="center" vertical="center" shrinkToFit="1"/>
    </xf>
    <xf numFmtId="0" fontId="16" fillId="5" borderId="72" xfId="31" applyFont="1" applyFill="1" applyBorder="1" applyAlignment="1">
      <alignment horizontal="center" vertical="center"/>
    </xf>
    <xf numFmtId="0" fontId="16" fillId="5" borderId="73" xfId="31" applyFont="1" applyFill="1" applyBorder="1" applyAlignment="1">
      <alignment horizontal="center" vertical="center"/>
    </xf>
    <xf numFmtId="0" fontId="16" fillId="5" borderId="53" xfId="31" applyFont="1" applyFill="1" applyBorder="1" applyAlignment="1">
      <alignment horizontal="center" vertical="center"/>
    </xf>
    <xf numFmtId="0" fontId="10" fillId="5" borderId="24" xfId="31" applyFont="1" applyFill="1" applyBorder="1" applyAlignment="1">
      <alignment horizontal="center" vertical="center" shrinkToFit="1"/>
    </xf>
    <xf numFmtId="0" fontId="16" fillId="5" borderId="28" xfId="31" applyFont="1" applyFill="1" applyBorder="1" applyAlignment="1">
      <alignment horizontal="center" vertical="center"/>
    </xf>
    <xf numFmtId="0" fontId="2" fillId="3" borderId="42" xfId="31" applyBorder="1">
      <alignment vertical="center"/>
    </xf>
    <xf numFmtId="0" fontId="2" fillId="3" borderId="52" xfId="31" applyBorder="1">
      <alignment vertical="center"/>
    </xf>
    <xf numFmtId="0" fontId="16" fillId="3" borderId="16" xfId="31" applyFont="1" applyBorder="1" applyAlignment="1">
      <alignment horizontal="center"/>
    </xf>
    <xf numFmtId="0" fontId="17" fillId="3" borderId="16" xfId="31" applyFont="1" applyBorder="1" applyAlignment="1">
      <alignment horizontal="center" vertical="center"/>
    </xf>
    <xf numFmtId="0" fontId="2" fillId="3" borderId="72" xfId="31" applyBorder="1" applyAlignment="1">
      <alignment horizontal="center" vertical="center"/>
    </xf>
    <xf numFmtId="0" fontId="16" fillId="3" borderId="19" xfId="31" applyFont="1" applyBorder="1" applyAlignment="1">
      <alignment horizontal="center"/>
    </xf>
    <xf numFmtId="0" fontId="17" fillId="3" borderId="48" xfId="31" applyFont="1" applyBorder="1" applyAlignment="1">
      <alignment horizontal="center" vertical="center"/>
    </xf>
    <xf numFmtId="0" fontId="16" fillId="3" borderId="19" xfId="31" applyFont="1" applyBorder="1" applyAlignment="1">
      <alignment horizontal="center" vertical="top"/>
    </xf>
    <xf numFmtId="0" fontId="4" fillId="3" borderId="46" xfId="31" applyFont="1" applyBorder="1" applyAlignment="1">
      <alignment horizontal="center" vertical="center"/>
    </xf>
    <xf numFmtId="0" fontId="16" fillId="3" borderId="24" xfId="31" applyFont="1" applyBorder="1" applyAlignment="1">
      <alignment horizontal="center" vertical="top"/>
    </xf>
    <xf numFmtId="0" fontId="4" fillId="3" borderId="24" xfId="31" applyFont="1" applyBorder="1" applyAlignment="1">
      <alignment horizontal="center" vertical="center"/>
    </xf>
    <xf numFmtId="0" fontId="2" fillId="3" borderId="28" xfId="31" applyBorder="1" applyAlignment="1">
      <alignment horizontal="center" vertical="center"/>
    </xf>
    <xf numFmtId="0" fontId="18" fillId="9" borderId="16" xfId="0" applyFont="1" applyFill="1" applyBorder="1" applyAlignment="1" applyProtection="1">
      <alignment horizontal="center" vertical="center"/>
      <protection locked="0"/>
    </xf>
    <xf numFmtId="0" fontId="18" fillId="9" borderId="19" xfId="0" applyFont="1" applyFill="1" applyBorder="1" applyAlignment="1" applyProtection="1">
      <alignment horizontal="center" vertical="center"/>
      <protection locked="0"/>
    </xf>
    <xf numFmtId="0" fontId="2" fillId="3" borderId="74" xfId="31" applyBorder="1" applyAlignment="1">
      <alignment horizontal="center" vertical="center"/>
    </xf>
    <xf numFmtId="0" fontId="2" fillId="3" borderId="73" xfId="31" applyBorder="1">
      <alignment vertical="center"/>
    </xf>
    <xf numFmtId="0" fontId="2" fillId="3" borderId="53" xfId="31" applyBorder="1">
      <alignment vertical="center"/>
    </xf>
    <xf numFmtId="0" fontId="2" fillId="3" borderId="75" xfId="31" applyBorder="1" applyAlignment="1">
      <alignment horizontal="center" vertical="center"/>
    </xf>
    <xf numFmtId="0" fontId="2" fillId="3" borderId="0" xfId="31" applyFont="1">
      <alignment vertical="center"/>
    </xf>
    <xf numFmtId="0" fontId="18" fillId="9" borderId="39" xfId="0" applyFont="1" applyFill="1" applyBorder="1" applyAlignment="1" applyProtection="1">
      <alignment horizontal="center" vertical="center"/>
      <protection locked="0"/>
    </xf>
    <xf numFmtId="0" fontId="17" fillId="3" borderId="76" xfId="31" applyFont="1" applyBorder="1" applyAlignment="1">
      <alignment horizontal="center" vertical="center"/>
    </xf>
    <xf numFmtId="0" fontId="4" fillId="3" borderId="54" xfId="31" applyFont="1" applyBorder="1" applyAlignment="1">
      <alignment horizontal="center" vertical="center"/>
    </xf>
    <xf numFmtId="0" fontId="18" fillId="9" borderId="35" xfId="0" applyFont="1" applyFill="1" applyBorder="1" applyAlignment="1" applyProtection="1">
      <alignment horizontal="center" vertical="center"/>
      <protection locked="0"/>
    </xf>
    <xf numFmtId="0" fontId="17" fillId="3" borderId="14" xfId="31" applyFont="1" applyBorder="1" applyAlignment="1">
      <alignment horizontal="center" vertical="center"/>
    </xf>
    <xf numFmtId="0" fontId="4" fillId="3" borderId="55" xfId="31" applyFont="1" applyBorder="1" applyAlignment="1">
      <alignment horizontal="center" vertical="center"/>
    </xf>
    <xf numFmtId="0" fontId="17" fillId="3" borderId="27" xfId="31" applyFont="1" applyBorder="1" applyAlignment="1">
      <alignment horizontal="center" vertical="center"/>
    </xf>
    <xf numFmtId="0" fontId="4" fillId="3" borderId="57" xfId="31" applyFont="1" applyBorder="1" applyAlignment="1">
      <alignment horizontal="center" vertical="center"/>
    </xf>
    <xf numFmtId="0" fontId="17" fillId="3" borderId="66" xfId="31" applyFont="1" applyBorder="1" applyAlignment="1">
      <alignment horizontal="center" vertical="center"/>
    </xf>
    <xf numFmtId="0" fontId="19" fillId="3" borderId="54" xfId="31" applyFont="1" applyBorder="1" applyAlignment="1">
      <alignment horizontal="center" vertical="center"/>
    </xf>
    <xf numFmtId="0" fontId="17" fillId="3" borderId="22" xfId="31" applyFont="1" applyBorder="1" applyAlignment="1">
      <alignment horizontal="center" vertical="center"/>
    </xf>
    <xf numFmtId="0" fontId="19" fillId="3" borderId="55" xfId="31" applyFont="1" applyBorder="1" applyAlignment="1">
      <alignment horizontal="center" vertical="center"/>
    </xf>
    <xf numFmtId="0" fontId="17" fillId="3" borderId="25" xfId="31" applyFont="1" applyBorder="1" applyAlignment="1">
      <alignment horizontal="center" vertical="center"/>
    </xf>
    <xf numFmtId="0" fontId="19" fillId="3" borderId="57" xfId="31" applyFont="1" applyBorder="1" applyAlignment="1">
      <alignment horizontal="center" vertical="center"/>
    </xf>
    <xf numFmtId="0" fontId="20" fillId="3" borderId="0" xfId="31" applyFont="1" applyAlignment="1">
      <alignment horizontal="center" vertical="center"/>
    </xf>
    <xf numFmtId="0" fontId="21" fillId="5" borderId="65" xfId="31" applyFont="1" applyFill="1" applyBorder="1" applyAlignment="1">
      <alignment horizontal="center" vertical="center"/>
    </xf>
    <xf numFmtId="0" fontId="21" fillId="5" borderId="62" xfId="31" applyFont="1" applyFill="1" applyBorder="1" applyAlignment="1">
      <alignment horizontal="center" vertical="center"/>
    </xf>
    <xf numFmtId="0" fontId="22" fillId="5" borderId="16" xfId="0" applyFont="1" applyFill="1" applyBorder="1" applyAlignment="1" applyProtection="1">
      <alignment horizontal="center" vertical="center" shrinkToFit="1"/>
    </xf>
    <xf numFmtId="0" fontId="23" fillId="5" borderId="72" xfId="31" applyFont="1" applyFill="1" applyBorder="1" applyAlignment="1">
      <alignment horizontal="center" vertical="center"/>
    </xf>
    <xf numFmtId="0" fontId="23" fillId="5" borderId="31" xfId="31" applyFont="1" applyFill="1" applyBorder="1" applyAlignment="1">
      <alignment horizontal="center" vertical="center"/>
    </xf>
    <xf numFmtId="0" fontId="23" fillId="5" borderId="32" xfId="31" applyFont="1" applyFill="1" applyBorder="1" applyAlignment="1">
      <alignment horizontal="center" vertical="center"/>
    </xf>
    <xf numFmtId="0" fontId="21" fillId="5" borderId="73" xfId="31" applyFont="1" applyFill="1" applyBorder="1" applyAlignment="1">
      <alignment horizontal="center" vertical="center"/>
    </xf>
    <xf numFmtId="0" fontId="21" fillId="5" borderId="53" xfId="31" applyFont="1" applyFill="1" applyBorder="1" applyAlignment="1">
      <alignment horizontal="center" vertical="center"/>
    </xf>
    <xf numFmtId="0" fontId="22" fillId="5" borderId="24" xfId="0" applyFont="1" applyFill="1" applyBorder="1" applyAlignment="1" applyProtection="1">
      <alignment horizontal="center" vertical="center" shrinkToFit="1"/>
    </xf>
    <xf numFmtId="0" fontId="23" fillId="5" borderId="28" xfId="31" applyFont="1" applyFill="1" applyBorder="1" applyAlignment="1">
      <alignment horizontal="center" vertical="center"/>
    </xf>
    <xf numFmtId="0" fontId="23" fillId="5" borderId="33" xfId="31" applyFont="1" applyFill="1" applyBorder="1" applyAlignment="1">
      <alignment horizontal="center" vertical="center"/>
    </xf>
    <xf numFmtId="0" fontId="23" fillId="5" borderId="26" xfId="31" applyFont="1" applyFill="1" applyBorder="1" applyAlignment="1">
      <alignment horizontal="center" vertical="center"/>
    </xf>
    <xf numFmtId="0" fontId="2" fillId="3" borderId="65" xfId="31" applyBorder="1" applyAlignment="1" applyProtection="1">
      <alignment horizontal="center" vertical="center"/>
      <protection locked="0"/>
    </xf>
    <xf numFmtId="0" fontId="2" fillId="3" borderId="62" xfId="31" applyBorder="1" applyAlignment="1" applyProtection="1">
      <alignment horizontal="center" vertical="center"/>
      <protection locked="0"/>
    </xf>
    <xf numFmtId="0" fontId="17" fillId="5" borderId="16" xfId="31" applyFont="1" applyFill="1" applyBorder="1" applyAlignment="1">
      <alignment horizontal="center" vertical="center"/>
    </xf>
    <xf numFmtId="0" fontId="18" fillId="9" borderId="72" xfId="0" applyFont="1" applyFill="1" applyBorder="1" applyAlignment="1" applyProtection="1">
      <alignment horizontal="center" vertical="center"/>
      <protection locked="0"/>
    </xf>
    <xf numFmtId="182" fontId="18" fillId="9" borderId="31" xfId="0" applyNumberFormat="1" applyFont="1" applyFill="1" applyBorder="1" applyAlignment="1" applyProtection="1">
      <alignment horizontal="center" vertical="center"/>
      <protection locked="0"/>
    </xf>
    <xf numFmtId="182" fontId="18" fillId="9" borderId="32" xfId="0" applyNumberFormat="1" applyFont="1" applyFill="1" applyBorder="1" applyAlignment="1" applyProtection="1">
      <alignment horizontal="center" vertical="center"/>
      <protection locked="0"/>
    </xf>
    <xf numFmtId="0" fontId="2" fillId="3" borderId="42" xfId="31" applyBorder="1" applyAlignment="1" applyProtection="1">
      <alignment horizontal="center" vertical="center"/>
      <protection locked="0"/>
    </xf>
    <xf numFmtId="0" fontId="2" fillId="3" borderId="52" xfId="31" applyBorder="1" applyAlignment="1" applyProtection="1">
      <alignment horizontal="center" vertical="center"/>
      <protection locked="0"/>
    </xf>
    <xf numFmtId="0" fontId="17" fillId="5" borderId="19" xfId="31" applyFont="1" applyFill="1" applyBorder="1" applyAlignment="1">
      <alignment horizontal="center" vertical="center"/>
    </xf>
    <xf numFmtId="0" fontId="18" fillId="9" borderId="0" xfId="0" applyFont="1" applyFill="1" applyBorder="1" applyAlignment="1" applyProtection="1">
      <alignment horizontal="center" vertical="center"/>
      <protection locked="0"/>
    </xf>
    <xf numFmtId="182" fontId="18" fillId="9" borderId="33" xfId="0" applyNumberFormat="1" applyFont="1" applyFill="1" applyBorder="1" applyAlignment="1" applyProtection="1">
      <alignment horizontal="center" vertical="center"/>
      <protection locked="0"/>
    </xf>
    <xf numFmtId="182" fontId="18" fillId="9" borderId="23" xfId="0" applyNumberFormat="1" applyFont="1" applyFill="1" applyBorder="1" applyAlignment="1" applyProtection="1">
      <alignment horizontal="center" vertical="center"/>
      <protection locked="0"/>
    </xf>
    <xf numFmtId="0" fontId="17" fillId="5" borderId="77" xfId="31" applyFont="1" applyFill="1" applyBorder="1" applyAlignment="1">
      <alignment horizontal="center" vertical="center"/>
    </xf>
    <xf numFmtId="0" fontId="17" fillId="5" borderId="78" xfId="31" applyFont="1" applyFill="1" applyBorder="1" applyAlignment="1">
      <alignment horizontal="center" vertical="center"/>
    </xf>
    <xf numFmtId="182" fontId="18" fillId="3" borderId="39" xfId="31" applyNumberFormat="1" applyFont="1" applyBorder="1" applyAlignment="1">
      <alignment horizontal="center" vertical="center"/>
    </xf>
    <xf numFmtId="182" fontId="18" fillId="3" borderId="40" xfId="31" applyNumberFormat="1" applyFont="1" applyBorder="1" applyAlignment="1">
      <alignment horizontal="center" vertical="center"/>
    </xf>
    <xf numFmtId="0" fontId="17" fillId="5" borderId="74" xfId="31" applyFont="1" applyFill="1" applyBorder="1" applyAlignment="1">
      <alignment horizontal="center" vertical="center"/>
    </xf>
    <xf numFmtId="0" fontId="17" fillId="5" borderId="61" xfId="31" applyFont="1" applyFill="1" applyBorder="1" applyAlignment="1">
      <alignment horizontal="center" vertical="center"/>
    </xf>
    <xf numFmtId="182" fontId="18" fillId="3" borderId="35" xfId="31" applyNumberFormat="1" applyFont="1" applyBorder="1" applyAlignment="1">
      <alignment horizontal="center" vertical="center"/>
    </xf>
    <xf numFmtId="182" fontId="18" fillId="3" borderId="1" xfId="31" applyNumberFormat="1" applyFont="1" applyBorder="1" applyAlignment="1">
      <alignment horizontal="center" vertical="center"/>
    </xf>
    <xf numFmtId="183" fontId="18" fillId="3" borderId="35" xfId="31" applyNumberFormat="1" applyFont="1" applyBorder="1" applyAlignment="1">
      <alignment horizontal="center" vertical="center"/>
    </xf>
    <xf numFmtId="183" fontId="18" fillId="3" borderId="1" xfId="31" applyNumberFormat="1" applyFont="1" applyBorder="1" applyAlignment="1">
      <alignment horizontal="center" vertical="center"/>
    </xf>
    <xf numFmtId="0" fontId="17" fillId="5" borderId="75" xfId="31" applyFont="1" applyFill="1" applyBorder="1" applyAlignment="1">
      <alignment horizontal="center" vertical="center"/>
    </xf>
    <xf numFmtId="0" fontId="17" fillId="5" borderId="69" xfId="31" applyFont="1" applyFill="1" applyBorder="1" applyAlignment="1">
      <alignment horizontal="center" vertical="center"/>
    </xf>
    <xf numFmtId="0" fontId="17" fillId="5" borderId="24" xfId="31" applyFont="1" applyFill="1" applyBorder="1" applyAlignment="1">
      <alignment horizontal="center" vertical="center"/>
    </xf>
    <xf numFmtId="0" fontId="17" fillId="5" borderId="65" xfId="31" applyFont="1" applyFill="1" applyBorder="1" applyAlignment="1">
      <alignment horizontal="center" vertical="center"/>
    </xf>
    <xf numFmtId="0" fontId="17" fillId="5" borderId="62" xfId="31" applyFont="1" applyFill="1" applyBorder="1" applyAlignment="1">
      <alignment horizontal="center" vertical="center"/>
    </xf>
    <xf numFmtId="0" fontId="17" fillId="5" borderId="73" xfId="31" applyFont="1" applyFill="1" applyBorder="1" applyAlignment="1">
      <alignment horizontal="center" vertical="center"/>
    </xf>
    <xf numFmtId="0" fontId="17" fillId="5" borderId="53" xfId="31" applyFont="1" applyFill="1" applyBorder="1" applyAlignment="1">
      <alignment horizontal="center" vertical="center"/>
    </xf>
    <xf numFmtId="182" fontId="18" fillId="3" borderId="38" xfId="31" applyNumberFormat="1" applyFont="1" applyBorder="1" applyAlignment="1">
      <alignment horizontal="center" vertical="center"/>
    </xf>
    <xf numFmtId="182" fontId="18" fillId="3" borderId="30" xfId="31" applyNumberFormat="1" applyFont="1" applyBorder="1" applyAlignment="1">
      <alignment horizontal="center" vertical="center"/>
    </xf>
    <xf numFmtId="0" fontId="23" fillId="5" borderId="6" xfId="31" applyFont="1" applyFill="1" applyBorder="1" applyAlignment="1">
      <alignment horizontal="center" vertical="center"/>
    </xf>
    <xf numFmtId="0" fontId="23" fillId="5" borderId="68" xfId="31" applyFont="1" applyFill="1" applyBorder="1" applyAlignment="1">
      <alignment horizontal="center" vertical="center"/>
    </xf>
    <xf numFmtId="0" fontId="21" fillId="5" borderId="6" xfId="31" applyFont="1" applyFill="1" applyBorder="1" applyAlignment="1">
      <alignment horizontal="center" vertical="center"/>
    </xf>
    <xf numFmtId="181" fontId="18" fillId="3" borderId="68" xfId="31" applyNumberFormat="1" applyFont="1" applyBorder="1" applyAlignment="1">
      <alignment horizontal="center" vertical="center"/>
    </xf>
    <xf numFmtId="0" fontId="21" fillId="5" borderId="39" xfId="31" applyFont="1" applyFill="1" applyBorder="1" applyAlignment="1">
      <alignment horizontal="center" vertical="center"/>
    </xf>
    <xf numFmtId="181" fontId="18" fillId="3" borderId="32" xfId="31" applyNumberFormat="1" applyFont="1" applyBorder="1" applyAlignment="1">
      <alignment horizontal="center" vertical="center"/>
    </xf>
    <xf numFmtId="0" fontId="18" fillId="9" borderId="47" xfId="0" applyNumberFormat="1" applyFont="1" applyFill="1" applyBorder="1" applyAlignment="1" applyProtection="1">
      <alignment horizontal="center" vertical="center"/>
      <protection locked="0"/>
    </xf>
    <xf numFmtId="181" fontId="18" fillId="3" borderId="30" xfId="31" applyNumberFormat="1" applyFont="1" applyBorder="1" applyAlignment="1">
      <alignment horizontal="center" vertical="center"/>
    </xf>
    <xf numFmtId="0" fontId="2" fillId="3" borderId="73" xfId="31" applyBorder="1" applyAlignment="1" applyProtection="1">
      <alignment horizontal="center" vertical="center"/>
      <protection locked="0"/>
    </xf>
    <xf numFmtId="0" fontId="2" fillId="3" borderId="53" xfId="31" applyBorder="1" applyAlignment="1" applyProtection="1">
      <alignment horizontal="center" vertical="center"/>
      <protection locked="0"/>
    </xf>
    <xf numFmtId="0" fontId="18" fillId="9" borderId="33" xfId="0" applyNumberFormat="1" applyFont="1" applyFill="1" applyBorder="1" applyAlignment="1" applyProtection="1">
      <alignment horizontal="center" vertical="center"/>
      <protection locked="0"/>
    </xf>
    <xf numFmtId="0" fontId="23" fillId="5" borderId="5" xfId="31" applyFont="1" applyFill="1" applyBorder="1" applyAlignment="1">
      <alignment vertical="center"/>
    </xf>
    <xf numFmtId="0" fontId="9" fillId="3" borderId="0" xfId="31" applyFont="1" applyAlignment="1">
      <alignment horizontal="right" vertical="center"/>
    </xf>
    <xf numFmtId="0" fontId="24" fillId="0" borderId="5" xfId="31" applyFont="1" applyFill="1" applyBorder="1" applyAlignment="1" applyProtection="1">
      <alignment horizontal="center" vertical="center"/>
      <protection locked="0"/>
    </xf>
    <xf numFmtId="0" fontId="23" fillId="5" borderId="54" xfId="31" applyFont="1" applyFill="1" applyBorder="1" applyAlignment="1">
      <alignment horizontal="center" vertical="center"/>
    </xf>
    <xf numFmtId="0" fontId="23" fillId="5" borderId="62" xfId="31" applyFont="1" applyFill="1" applyBorder="1" applyAlignment="1">
      <alignment horizontal="center" vertical="center"/>
    </xf>
    <xf numFmtId="0" fontId="23" fillId="5" borderId="57" xfId="31" applyFont="1" applyFill="1" applyBorder="1" applyAlignment="1">
      <alignment horizontal="center" vertical="center"/>
    </xf>
    <xf numFmtId="0" fontId="23" fillId="5" borderId="53" xfId="31" applyFont="1" applyFill="1" applyBorder="1" applyAlignment="1">
      <alignment horizontal="center" vertical="center"/>
    </xf>
    <xf numFmtId="182" fontId="18" fillId="9" borderId="54" xfId="0" applyNumberFormat="1" applyFont="1" applyFill="1" applyBorder="1" applyAlignment="1" applyProtection="1">
      <alignment horizontal="center" vertical="center"/>
      <protection locked="0"/>
    </xf>
    <xf numFmtId="182" fontId="18" fillId="3" borderId="62" xfId="31" applyNumberFormat="1" applyFont="1" applyBorder="1" applyAlignment="1">
      <alignment horizontal="center" vertical="center"/>
    </xf>
    <xf numFmtId="182" fontId="18" fillId="9" borderId="55" xfId="0" applyNumberFormat="1" applyFont="1" applyFill="1" applyBorder="1" applyAlignment="1" applyProtection="1">
      <alignment horizontal="center" vertical="center"/>
      <protection locked="0"/>
    </xf>
    <xf numFmtId="182" fontId="18" fillId="3" borderId="52" xfId="31" applyNumberFormat="1" applyFont="1" applyBorder="1" applyAlignment="1">
      <alignment horizontal="center" vertical="center"/>
    </xf>
    <xf numFmtId="182" fontId="18" fillId="3" borderId="50" xfId="31" applyNumberFormat="1" applyFont="1" applyBorder="1" applyAlignment="1">
      <alignment horizontal="center" vertical="center"/>
    </xf>
    <xf numFmtId="182" fontId="18" fillId="3" borderId="61" xfId="31" applyNumberFormat="1" applyFont="1" applyBorder="1" applyAlignment="1">
      <alignment horizontal="center" vertical="center"/>
    </xf>
    <xf numFmtId="0" fontId="2" fillId="3" borderId="0" xfId="31" applyAlignment="1">
      <alignment vertical="center"/>
    </xf>
    <xf numFmtId="0" fontId="4" fillId="3" borderId="0" xfId="31" applyFont="1" applyAlignment="1">
      <alignment horizontal="left" vertical="center"/>
    </xf>
    <xf numFmtId="182" fontId="18" fillId="3" borderId="51" xfId="31" applyNumberFormat="1" applyFont="1" applyBorder="1" applyAlignment="1">
      <alignment horizontal="center" vertical="center"/>
    </xf>
    <xf numFmtId="183" fontId="18" fillId="3" borderId="51" xfId="31" applyNumberFormat="1" applyFont="1" applyBorder="1" applyAlignment="1">
      <alignment horizontal="center" vertical="center"/>
    </xf>
    <xf numFmtId="0" fontId="18" fillId="3" borderId="61" xfId="31" applyNumberFormat="1" applyFont="1" applyBorder="1" applyAlignment="1">
      <alignment horizontal="center" vertical="center"/>
    </xf>
    <xf numFmtId="182" fontId="18" fillId="3" borderId="69" xfId="31" applyNumberFormat="1" applyFont="1" applyBorder="1" applyAlignment="1">
      <alignment horizontal="center" vertical="center"/>
    </xf>
    <xf numFmtId="182" fontId="18" fillId="3" borderId="79" xfId="31" applyNumberFormat="1" applyFont="1" applyBorder="1" applyAlignment="1">
      <alignment horizontal="center" vertical="center"/>
    </xf>
    <xf numFmtId="182" fontId="18" fillId="3" borderId="46" xfId="31" applyNumberFormat="1" applyFont="1" applyBorder="1" applyAlignment="1">
      <alignment horizontal="center" vertical="center"/>
    </xf>
    <xf numFmtId="182" fontId="18" fillId="3" borderId="60" xfId="31" applyNumberFormat="1" applyFont="1" applyBorder="1" applyAlignment="1">
      <alignment horizontal="center" vertical="center"/>
    </xf>
    <xf numFmtId="182" fontId="18" fillId="3" borderId="24" xfId="31" applyNumberFormat="1" applyFont="1" applyBorder="1" applyAlignment="1">
      <alignment horizontal="center" vertical="center"/>
    </xf>
    <xf numFmtId="0" fontId="23" fillId="5" borderId="71" xfId="31" applyFont="1" applyFill="1" applyBorder="1" applyAlignment="1">
      <alignment horizontal="center" vertical="center"/>
    </xf>
    <xf numFmtId="181" fontId="18" fillId="3" borderId="71" xfId="31" applyNumberFormat="1" applyFont="1" applyBorder="1" applyAlignment="1">
      <alignment horizontal="center" vertical="center"/>
    </xf>
    <xf numFmtId="181" fontId="18" fillId="3" borderId="54" xfId="31" applyNumberFormat="1" applyFont="1" applyBorder="1" applyAlignment="1">
      <alignment horizontal="center" vertical="center"/>
    </xf>
    <xf numFmtId="181" fontId="18" fillId="3" borderId="60" xfId="31" applyNumberFormat="1" applyFont="1" applyBorder="1" applyAlignment="1">
      <alignment horizontal="center" vertical="center"/>
    </xf>
    <xf numFmtId="0" fontId="2" fillId="3" borderId="1" xfId="31" applyBorder="1" applyAlignment="1">
      <alignment horizontal="left" vertical="center" wrapText="1"/>
    </xf>
    <xf numFmtId="0" fontId="2" fillId="3" borderId="1" xfId="31" applyBorder="1" applyAlignment="1">
      <alignment horizontal="center" vertical="center" wrapText="1"/>
    </xf>
    <xf numFmtId="0" fontId="2" fillId="3" borderId="1" xfId="31" applyFont="1" applyBorder="1" applyAlignment="1">
      <alignment horizontal="left" vertical="center" wrapText="1"/>
    </xf>
    <xf numFmtId="9" fontId="2" fillId="3" borderId="1" xfId="31" applyNumberFormat="1" applyBorder="1" applyAlignment="1">
      <alignment horizontal="center" vertical="center" wrapText="1"/>
    </xf>
    <xf numFmtId="0" fontId="2" fillId="3" borderId="1" xfId="31" applyFont="1" applyBorder="1" applyAlignment="1">
      <alignment horizontal="center" vertical="center" wrapText="1"/>
    </xf>
    <xf numFmtId="182" fontId="2" fillId="3" borderId="1" xfId="31" applyNumberFormat="1" applyBorder="1" applyAlignment="1">
      <alignment horizontal="center" vertical="center" wrapText="1"/>
    </xf>
    <xf numFmtId="176" fontId="2" fillId="3" borderId="1" xfId="31" applyNumberFormat="1" applyBorder="1" applyAlignment="1">
      <alignment horizontal="center" vertical="center" wrapText="1"/>
    </xf>
    <xf numFmtId="176" fontId="2" fillId="3" borderId="0" xfId="31" applyNumberFormat="1" applyAlignment="1">
      <alignment horizontal="center" vertical="center"/>
    </xf>
    <xf numFmtId="0" fontId="25" fillId="3" borderId="0" xfId="0" applyFont="1" applyFill="1">
      <alignment vertical="center"/>
    </xf>
    <xf numFmtId="0" fontId="25" fillId="3" borderId="0" xfId="0" applyFont="1" applyFill="1" applyBorder="1">
      <alignment vertical="center"/>
    </xf>
    <xf numFmtId="0" fontId="26" fillId="10" borderId="1" xfId="0" applyFont="1" applyFill="1" applyBorder="1">
      <alignment vertical="center"/>
    </xf>
    <xf numFmtId="0" fontId="26" fillId="10" borderId="1" xfId="0" applyFont="1" applyFill="1" applyBorder="1" applyAlignment="1">
      <alignment horizontal="left" vertical="center"/>
    </xf>
    <xf numFmtId="0" fontId="26" fillId="3" borderId="1" xfId="0" applyFont="1" applyFill="1" applyBorder="1">
      <alignment vertical="center"/>
    </xf>
    <xf numFmtId="0" fontId="26" fillId="3" borderId="1" xfId="0" applyFont="1" applyFill="1" applyBorder="1" applyAlignment="1">
      <alignment horizontal="center" vertical="center"/>
    </xf>
    <xf numFmtId="0" fontId="26" fillId="10" borderId="2" xfId="0" applyFont="1" applyFill="1" applyBorder="1">
      <alignment vertical="center"/>
    </xf>
    <xf numFmtId="0" fontId="26" fillId="3" borderId="2" xfId="0" applyFont="1" applyFill="1" applyBorder="1">
      <alignment vertical="center"/>
    </xf>
    <xf numFmtId="0" fontId="26" fillId="10" borderId="9" xfId="0" applyFont="1" applyFill="1" applyBorder="1">
      <alignment vertical="center"/>
    </xf>
    <xf numFmtId="0" fontId="26" fillId="3" borderId="9" xfId="0" applyFont="1" applyFill="1" applyBorder="1">
      <alignment vertical="center"/>
    </xf>
    <xf numFmtId="0" fontId="2" fillId="3" borderId="0" xfId="31" applyBorder="1">
      <alignment vertical="center"/>
    </xf>
    <xf numFmtId="184" fontId="2" fillId="3" borderId="0" xfId="31" applyNumberFormat="1">
      <alignment vertical="center"/>
    </xf>
    <xf numFmtId="184" fontId="2" fillId="3" borderId="1" xfId="31" applyNumberFormat="1" applyBorder="1" applyAlignment="1">
      <alignment horizontal="center" vertical="center"/>
    </xf>
    <xf numFmtId="0" fontId="2" fillId="3" borderId="12" xfId="31" applyBorder="1">
      <alignment vertical="center"/>
    </xf>
    <xf numFmtId="184" fontId="2" fillId="3" borderId="12" xfId="31" applyNumberFormat="1" applyBorder="1">
      <alignment vertical="center"/>
    </xf>
    <xf numFmtId="0" fontId="2" fillId="3" borderId="1" xfId="31" applyBorder="1">
      <alignment vertical="center"/>
    </xf>
    <xf numFmtId="184" fontId="2" fillId="3" borderId="1" xfId="31" applyNumberFormat="1" applyBorder="1">
      <alignment vertical="center"/>
    </xf>
    <xf numFmtId="0" fontId="2" fillId="3" borderId="1" xfId="31" applyFont="1" applyBorder="1">
      <alignment vertical="center"/>
    </xf>
    <xf numFmtId="0" fontId="2" fillId="11" borderId="0" xfId="0" applyFont="1" applyFill="1" applyAlignment="1">
      <alignment horizontal="left" vertical="center"/>
    </xf>
    <xf numFmtId="0" fontId="2" fillId="11" borderId="0" xfId="0" applyFont="1" applyFill="1">
      <alignment vertical="center"/>
    </xf>
    <xf numFmtId="182" fontId="2" fillId="11" borderId="0" xfId="0" applyNumberFormat="1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181" fontId="2" fillId="11" borderId="0" xfId="0" applyNumberFormat="1" applyFont="1" applyFill="1" applyAlignment="1">
      <alignment horizontal="center" vertical="center"/>
    </xf>
    <xf numFmtId="0" fontId="27" fillId="11" borderId="42" xfId="0" applyFont="1" applyFill="1" applyBorder="1" applyAlignment="1">
      <alignment horizontal="center"/>
    </xf>
    <xf numFmtId="0" fontId="2" fillId="11" borderId="0" xfId="0" applyFont="1" applyFill="1" applyBorder="1" applyAlignment="1">
      <alignment vertical="center"/>
    </xf>
    <xf numFmtId="0" fontId="2" fillId="11" borderId="0" xfId="0" applyFont="1" applyFill="1" applyAlignment="1">
      <alignment vertical="center"/>
    </xf>
    <xf numFmtId="0" fontId="3" fillId="11" borderId="28" xfId="0" applyFont="1" applyFill="1" applyBorder="1" applyAlignment="1">
      <alignment vertical="center"/>
    </xf>
    <xf numFmtId="182" fontId="2" fillId="11" borderId="28" xfId="0" applyNumberFormat="1" applyFont="1" applyFill="1" applyBorder="1" applyAlignment="1">
      <alignment horizontal="center" vertical="center"/>
    </xf>
    <xf numFmtId="0" fontId="2" fillId="11" borderId="28" xfId="0" applyFont="1" applyFill="1" applyBorder="1" applyAlignment="1">
      <alignment vertical="center"/>
    </xf>
    <xf numFmtId="0" fontId="28" fillId="3" borderId="77" xfId="0" applyFont="1" applyFill="1" applyBorder="1" applyAlignment="1">
      <alignment horizontal="center" vertical="center"/>
    </xf>
    <xf numFmtId="0" fontId="9" fillId="9" borderId="39" xfId="0" applyNumberFormat="1" applyFont="1" applyFill="1" applyBorder="1" applyAlignment="1" applyProtection="1">
      <alignment horizontal="center" vertical="center"/>
      <protection locked="0"/>
    </xf>
    <xf numFmtId="0" fontId="9" fillId="9" borderId="40" xfId="0" applyNumberFormat="1" applyFont="1" applyFill="1" applyBorder="1" applyAlignment="1" applyProtection="1">
      <alignment horizontal="center" vertical="center"/>
      <protection locked="0"/>
    </xf>
    <xf numFmtId="0" fontId="2" fillId="11" borderId="16" xfId="0" applyFont="1" applyFill="1" applyBorder="1" applyAlignment="1">
      <alignment horizontal="left" vertical="center"/>
    </xf>
    <xf numFmtId="0" fontId="3" fillId="5" borderId="77" xfId="0" applyFont="1" applyFill="1" applyBorder="1" applyAlignment="1">
      <alignment horizontal="center" vertical="center"/>
    </xf>
    <xf numFmtId="0" fontId="2" fillId="11" borderId="62" xfId="0" applyFont="1" applyFill="1" applyBorder="1">
      <alignment vertical="center"/>
    </xf>
    <xf numFmtId="0" fontId="9" fillId="11" borderId="0" xfId="0" applyFont="1" applyFill="1" applyBorder="1">
      <alignment vertical="center"/>
    </xf>
    <xf numFmtId="0" fontId="28" fillId="3" borderId="48" xfId="0" applyFont="1" applyFill="1" applyBorder="1" applyAlignment="1">
      <alignment horizontal="center" vertical="center"/>
    </xf>
    <xf numFmtId="0" fontId="2" fillId="9" borderId="35" xfId="0" applyFont="1" applyFill="1" applyBorder="1" applyAlignment="1" applyProtection="1">
      <alignment horizontal="center" vertical="center"/>
      <protection locked="0"/>
    </xf>
    <xf numFmtId="0" fontId="2" fillId="11" borderId="19" xfId="0" applyFont="1" applyFill="1" applyBorder="1">
      <alignment vertical="center"/>
    </xf>
    <xf numFmtId="0" fontId="3" fillId="5" borderId="75" xfId="0" applyFont="1" applyFill="1" applyBorder="1" applyAlignment="1">
      <alignment horizontal="center" vertical="center"/>
    </xf>
    <xf numFmtId="0" fontId="2" fillId="11" borderId="53" xfId="0" applyFont="1" applyFill="1" applyBorder="1">
      <alignment vertical="center"/>
    </xf>
    <xf numFmtId="0" fontId="28" fillId="3" borderId="74" xfId="0" applyFont="1" applyFill="1" applyBorder="1" applyAlignment="1">
      <alignment horizontal="center" vertical="center"/>
    </xf>
    <xf numFmtId="0" fontId="28" fillId="3" borderId="46" xfId="0" applyFont="1" applyFill="1" applyBorder="1" applyAlignment="1">
      <alignment horizontal="center" vertical="center"/>
    </xf>
    <xf numFmtId="0" fontId="2" fillId="9" borderId="45" xfId="0" applyFont="1" applyFill="1" applyBorder="1" applyAlignment="1" applyProtection="1">
      <alignment horizontal="center" vertical="center"/>
      <protection locked="0"/>
    </xf>
    <xf numFmtId="0" fontId="29" fillId="5" borderId="77" xfId="0" applyFont="1" applyFill="1" applyBorder="1" applyAlignment="1">
      <alignment horizontal="center" vertical="center"/>
    </xf>
    <xf numFmtId="0" fontId="2" fillId="11" borderId="62" xfId="0" applyFont="1" applyFill="1" applyBorder="1" applyAlignment="1">
      <alignment horizontal="center" vertical="center"/>
    </xf>
    <xf numFmtId="0" fontId="2" fillId="11" borderId="0" xfId="0" applyFont="1" applyFill="1" applyBorder="1">
      <alignment vertical="center"/>
    </xf>
    <xf numFmtId="0" fontId="3" fillId="9" borderId="75" xfId="0" applyFont="1" applyFill="1" applyBorder="1" applyAlignment="1" applyProtection="1">
      <alignment horizontal="center" vertical="center"/>
      <protection locked="0"/>
    </xf>
    <xf numFmtId="0" fontId="2" fillId="11" borderId="52" xfId="0" applyFont="1" applyFill="1" applyBorder="1" applyAlignment="1">
      <alignment horizontal="center" vertical="center"/>
    </xf>
    <xf numFmtId="0" fontId="28" fillId="3" borderId="75" xfId="0" applyFont="1" applyFill="1" applyBorder="1" applyAlignment="1">
      <alignment horizontal="center" vertical="center"/>
    </xf>
    <xf numFmtId="10" fontId="2" fillId="9" borderId="38" xfId="0" applyNumberFormat="1" applyFont="1" applyFill="1" applyBorder="1" applyAlignment="1" applyProtection="1">
      <alignment horizontal="center" vertical="center"/>
      <protection locked="0"/>
    </xf>
    <xf numFmtId="10" fontId="2" fillId="9" borderId="30" xfId="0" applyNumberFormat="1" applyFont="1" applyFill="1" applyBorder="1" applyAlignment="1" applyProtection="1">
      <alignment horizontal="center" vertical="center"/>
      <protection locked="0"/>
    </xf>
    <xf numFmtId="0" fontId="2" fillId="11" borderId="17" xfId="0" applyFont="1" applyFill="1" applyBorder="1">
      <alignment vertical="center"/>
    </xf>
    <xf numFmtId="0" fontId="2" fillId="11" borderId="28" xfId="0" applyFont="1" applyFill="1" applyBorder="1">
      <alignment vertical="center"/>
    </xf>
    <xf numFmtId="182" fontId="2" fillId="11" borderId="17" xfId="0" applyNumberFormat="1" applyFont="1" applyFill="1" applyBorder="1" applyAlignment="1">
      <alignment horizontal="center" vertical="center"/>
    </xf>
    <xf numFmtId="0" fontId="29" fillId="5" borderId="39" xfId="0" applyFont="1" applyFill="1" applyBorder="1" applyAlignment="1">
      <alignment horizontal="center" vertical="center"/>
    </xf>
    <xf numFmtId="0" fontId="2" fillId="11" borderId="50" xfId="0" applyFont="1" applyFill="1" applyBorder="1">
      <alignment vertical="center"/>
    </xf>
    <xf numFmtId="0" fontId="2" fillId="11" borderId="52" xfId="0" applyFont="1" applyFill="1" applyBorder="1">
      <alignment vertical="center"/>
    </xf>
    <xf numFmtId="0" fontId="30" fillId="5" borderId="16" xfId="0" applyFont="1" applyFill="1" applyBorder="1" applyAlignment="1">
      <alignment horizontal="center" vertical="center"/>
    </xf>
    <xf numFmtId="182" fontId="30" fillId="5" borderId="39" xfId="0" applyNumberFormat="1" applyFont="1" applyFill="1" applyBorder="1" applyAlignment="1">
      <alignment horizontal="center" vertical="center"/>
    </xf>
    <xf numFmtId="182" fontId="30" fillId="5" borderId="40" xfId="0" applyNumberFormat="1" applyFont="1" applyFill="1" applyBorder="1" applyAlignment="1">
      <alignment horizontal="center" vertical="center"/>
    </xf>
    <xf numFmtId="0" fontId="4" fillId="9" borderId="33" xfId="0" applyFont="1" applyFill="1" applyBorder="1" applyAlignment="1" applyProtection="1">
      <alignment horizontal="center" vertical="center"/>
      <protection locked="0"/>
    </xf>
    <xf numFmtId="0" fontId="9" fillId="11" borderId="60" xfId="0" applyFont="1" applyFill="1" applyBorder="1">
      <alignment vertical="center"/>
    </xf>
    <xf numFmtId="0" fontId="30" fillId="5" borderId="24" xfId="0" applyFont="1" applyFill="1" applyBorder="1" applyAlignment="1">
      <alignment horizontal="center" vertical="center"/>
    </xf>
    <xf numFmtId="182" fontId="30" fillId="5" borderId="38" xfId="0" applyNumberFormat="1" applyFont="1" applyFill="1" applyBorder="1" applyAlignment="1">
      <alignment horizontal="center" vertical="center"/>
    </xf>
    <xf numFmtId="182" fontId="30" fillId="5" borderId="30" xfId="0" applyNumberFormat="1" applyFont="1" applyFill="1" applyBorder="1" applyAlignment="1">
      <alignment horizontal="center" vertical="center"/>
    </xf>
    <xf numFmtId="0" fontId="2" fillId="11" borderId="72" xfId="0" applyFont="1" applyFill="1" applyBorder="1" applyAlignment="1">
      <alignment horizontal="center" vertical="center"/>
    </xf>
    <xf numFmtId="0" fontId="9" fillId="7" borderId="77" xfId="0" applyNumberFormat="1" applyFont="1" applyFill="1" applyBorder="1" applyAlignment="1" applyProtection="1">
      <alignment horizontal="left" vertical="center"/>
      <protection locked="0"/>
    </xf>
    <xf numFmtId="182" fontId="31" fillId="3" borderId="11" xfId="0" applyNumberFormat="1" applyFont="1" applyFill="1" applyBorder="1" applyAlignment="1">
      <alignment horizontal="center" vertical="center"/>
    </xf>
    <xf numFmtId="182" fontId="32" fillId="3" borderId="12" xfId="0" applyNumberFormat="1" applyFont="1" applyFill="1" applyBorder="1" applyAlignment="1">
      <alignment horizontal="center" vertical="center"/>
    </xf>
    <xf numFmtId="0" fontId="2" fillId="11" borderId="52" xfId="0" applyFont="1" applyFill="1" applyBorder="1" applyAlignment="1">
      <alignment horizontal="left" vertical="center"/>
    </xf>
    <xf numFmtId="0" fontId="9" fillId="7" borderId="74" xfId="0" applyNumberFormat="1" applyFont="1" applyFill="1" applyBorder="1" applyAlignment="1" applyProtection="1">
      <alignment horizontal="left" vertical="center"/>
      <protection locked="0"/>
    </xf>
    <xf numFmtId="182" fontId="31" fillId="3" borderId="9" xfId="0" applyNumberFormat="1" applyFont="1" applyFill="1" applyBorder="1" applyAlignment="1">
      <alignment horizontal="center" vertical="center"/>
    </xf>
    <xf numFmtId="182" fontId="32" fillId="3" borderId="1" xfId="0" applyNumberFormat="1" applyFont="1" applyFill="1" applyBorder="1" applyAlignment="1">
      <alignment horizontal="center" vertical="center"/>
    </xf>
    <xf numFmtId="0" fontId="2" fillId="11" borderId="19" xfId="0" applyFont="1" applyFill="1" applyBorder="1" applyAlignment="1">
      <alignment horizontal="left" vertical="center"/>
    </xf>
    <xf numFmtId="0" fontId="4" fillId="9" borderId="38" xfId="0" applyFont="1" applyFill="1" applyBorder="1" applyAlignment="1" applyProtection="1">
      <alignment horizontal="center" vertical="center"/>
      <protection locked="0"/>
    </xf>
    <xf numFmtId="0" fontId="2" fillId="11" borderId="0" xfId="0" applyFont="1" applyFill="1" applyBorder="1" applyAlignment="1">
      <alignment horizontal="center" vertical="center"/>
    </xf>
    <xf numFmtId="0" fontId="2" fillId="11" borderId="52" xfId="0" applyFont="1" applyFill="1" applyBorder="1" applyAlignment="1">
      <alignment vertical="center"/>
    </xf>
    <xf numFmtId="0" fontId="2" fillId="11" borderId="19" xfId="0" applyFont="1" applyFill="1" applyBorder="1" applyAlignment="1" applyProtection="1">
      <alignment horizontal="left" vertical="center"/>
      <protection locked="0"/>
    </xf>
    <xf numFmtId="0" fontId="2" fillId="11" borderId="19" xfId="0" applyFont="1" applyFill="1" applyBorder="1" applyAlignment="1">
      <alignment vertical="center"/>
    </xf>
    <xf numFmtId="0" fontId="2" fillId="11" borderId="72" xfId="0" applyFont="1" applyFill="1" applyBorder="1">
      <alignment vertical="center"/>
    </xf>
    <xf numFmtId="0" fontId="2" fillId="11" borderId="19" xfId="0" applyFont="1" applyFill="1" applyBorder="1" applyAlignment="1" applyProtection="1">
      <alignment horizontal="left" vertical="center"/>
    </xf>
    <xf numFmtId="182" fontId="0" fillId="9" borderId="50" xfId="0" applyNumberFormat="1" applyFont="1" applyFill="1" applyBorder="1" applyAlignment="1" applyProtection="1">
      <alignment horizontal="center" vertical="center"/>
      <protection locked="0"/>
    </xf>
    <xf numFmtId="0" fontId="2" fillId="11" borderId="42" xfId="0" applyFont="1" applyFill="1" applyBorder="1">
      <alignment vertical="center"/>
    </xf>
    <xf numFmtId="0" fontId="29" fillId="5" borderId="38" xfId="0" applyFont="1" applyFill="1" applyBorder="1" applyAlignment="1">
      <alignment horizontal="center" vertical="center"/>
    </xf>
    <xf numFmtId="0" fontId="4" fillId="9" borderId="60" xfId="0" applyNumberFormat="1" applyFont="1" applyFill="1" applyBorder="1" applyAlignment="1" applyProtection="1">
      <alignment horizontal="center" vertical="center"/>
      <protection locked="0"/>
    </xf>
    <xf numFmtId="0" fontId="2" fillId="11" borderId="19" xfId="0" applyFont="1" applyFill="1" applyBorder="1" applyAlignment="1">
      <alignment vertical="center" wrapText="1"/>
    </xf>
    <xf numFmtId="182" fontId="31" fillId="3" borderId="35" xfId="0" applyNumberFormat="1" applyFont="1" applyFill="1" applyBorder="1" applyAlignment="1">
      <alignment horizontal="center" vertical="center"/>
    </xf>
    <xf numFmtId="0" fontId="9" fillId="7" borderId="75" xfId="0" applyNumberFormat="1" applyFont="1" applyFill="1" applyBorder="1" applyAlignment="1" applyProtection="1">
      <alignment horizontal="left" vertical="center"/>
      <protection locked="0"/>
    </xf>
    <xf numFmtId="182" fontId="31" fillId="3" borderId="38" xfId="0" applyNumberFormat="1" applyFont="1" applyFill="1" applyBorder="1" applyAlignment="1">
      <alignment horizontal="center" vertical="center"/>
    </xf>
    <xf numFmtId="182" fontId="32" fillId="3" borderId="30" xfId="0" applyNumberFormat="1" applyFont="1" applyFill="1" applyBorder="1" applyAlignment="1">
      <alignment horizontal="center" vertical="center"/>
    </xf>
    <xf numFmtId="0" fontId="33" fillId="12" borderId="77" xfId="0" applyNumberFormat="1" applyFont="1" applyFill="1" applyBorder="1" applyAlignment="1" applyProtection="1">
      <alignment horizontal="left" vertical="center"/>
      <protection locked="0"/>
    </xf>
    <xf numFmtId="182" fontId="31" fillId="13" borderId="39" xfId="0" applyNumberFormat="1" applyFont="1" applyFill="1" applyBorder="1" applyAlignment="1">
      <alignment horizontal="center" vertical="center"/>
    </xf>
    <xf numFmtId="182" fontId="32" fillId="13" borderId="40" xfId="0" applyNumberFormat="1" applyFont="1" applyFill="1" applyBorder="1" applyAlignment="1">
      <alignment horizontal="center" vertical="center"/>
    </xf>
    <xf numFmtId="0" fontId="33" fillId="12" borderId="75" xfId="0" applyNumberFormat="1" applyFont="1" applyFill="1" applyBorder="1" applyAlignment="1" applyProtection="1">
      <alignment horizontal="left" vertical="center"/>
      <protection locked="0"/>
    </xf>
    <xf numFmtId="182" fontId="31" fillId="13" borderId="38" xfId="0" applyNumberFormat="1" applyFont="1" applyFill="1" applyBorder="1" applyAlignment="1">
      <alignment horizontal="center" vertical="center"/>
    </xf>
    <xf numFmtId="182" fontId="32" fillId="13" borderId="30" xfId="0" applyNumberFormat="1" applyFont="1" applyFill="1" applyBorder="1" applyAlignment="1">
      <alignment horizontal="center" vertical="center"/>
    </xf>
    <xf numFmtId="0" fontId="34" fillId="11" borderId="52" xfId="0" applyFont="1" applyFill="1" applyBorder="1" applyAlignment="1">
      <alignment vertical="center"/>
    </xf>
    <xf numFmtId="0" fontId="34" fillId="11" borderId="0" xfId="0" applyFont="1" applyFill="1" applyBorder="1" applyAlignment="1">
      <alignment vertical="center"/>
    </xf>
    <xf numFmtId="0" fontId="34" fillId="11" borderId="80" xfId="0" applyFont="1" applyFill="1" applyBorder="1" applyAlignment="1">
      <alignment vertical="center"/>
    </xf>
    <xf numFmtId="0" fontId="35" fillId="5" borderId="81" xfId="0" applyFont="1" applyFill="1" applyBorder="1" applyAlignment="1">
      <alignment horizontal="center" vertical="center" wrapText="1"/>
    </xf>
    <xf numFmtId="182" fontId="36" fillId="14" borderId="82" xfId="0" applyNumberFormat="1" applyFont="1" applyFill="1" applyBorder="1" applyAlignment="1">
      <alignment horizontal="center" vertical="center" wrapText="1"/>
    </xf>
    <xf numFmtId="0" fontId="17" fillId="0" borderId="12" xfId="0" applyNumberFormat="1" applyFont="1" applyFill="1" applyBorder="1" applyAlignment="1" applyProtection="1">
      <alignment horizontal="center" vertical="center"/>
      <protection locked="0"/>
    </xf>
    <xf numFmtId="0" fontId="37" fillId="14" borderId="43" xfId="0" applyFont="1" applyFill="1" applyBorder="1" applyAlignment="1">
      <alignment horizontal="center" vertical="center"/>
    </xf>
    <xf numFmtId="0" fontId="37" fillId="14" borderId="78" xfId="0" applyFont="1" applyFill="1" applyBorder="1" applyAlignment="1">
      <alignment horizontal="center" vertical="center"/>
    </xf>
    <xf numFmtId="0" fontId="35" fillId="5" borderId="83" xfId="0" applyFont="1" applyFill="1" applyBorder="1" applyAlignment="1">
      <alignment horizontal="center" vertical="center" wrapText="1"/>
    </xf>
    <xf numFmtId="182" fontId="36" fillId="14" borderId="84" xfId="0" applyNumberFormat="1" applyFont="1" applyFill="1" applyBorder="1" applyAlignment="1">
      <alignment horizontal="center" vertical="center" wrapText="1"/>
    </xf>
    <xf numFmtId="182" fontId="33" fillId="12" borderId="85" xfId="0" applyNumberFormat="1" applyFont="1" applyFill="1" applyBorder="1" applyAlignment="1" applyProtection="1">
      <alignment horizontal="center" vertical="center"/>
      <protection locked="0"/>
    </xf>
    <xf numFmtId="0" fontId="34" fillId="11" borderId="53" xfId="0" applyFont="1" applyFill="1" applyBorder="1" applyAlignment="1">
      <alignment vertical="center"/>
    </xf>
    <xf numFmtId="0" fontId="2" fillId="9" borderId="86" xfId="0" applyFont="1" applyFill="1" applyBorder="1" applyAlignment="1" applyProtection="1">
      <alignment horizontal="center" vertical="center"/>
      <protection locked="0"/>
    </xf>
    <xf numFmtId="0" fontId="37" fillId="14" borderId="60" xfId="0" applyFont="1" applyFill="1" applyBorder="1" applyAlignment="1">
      <alignment horizontal="center" vertical="center"/>
    </xf>
    <xf numFmtId="0" fontId="35" fillId="5" borderId="87" xfId="0" applyFont="1" applyFill="1" applyBorder="1" applyAlignment="1">
      <alignment horizontal="center" vertical="center" wrapText="1"/>
    </xf>
    <xf numFmtId="182" fontId="36" fillId="14" borderId="88" xfId="0" applyNumberFormat="1" applyFont="1" applyFill="1" applyBorder="1" applyAlignment="1">
      <alignment horizontal="center" vertical="center" wrapText="1"/>
    </xf>
    <xf numFmtId="182" fontId="33" fillId="12" borderId="89" xfId="0" applyNumberFormat="1" applyFont="1" applyFill="1" applyBorder="1" applyAlignment="1" applyProtection="1">
      <alignment horizontal="center" vertical="center"/>
      <protection locked="0"/>
    </xf>
    <xf numFmtId="0" fontId="4" fillId="11" borderId="0" xfId="0" applyFont="1" applyFill="1" applyBorder="1" applyAlignment="1">
      <alignment vertical="center"/>
    </xf>
    <xf numFmtId="0" fontId="3" fillId="11" borderId="0" xfId="0" applyFont="1" applyFill="1" applyBorder="1" applyAlignment="1">
      <alignment horizontal="left" vertical="center"/>
    </xf>
    <xf numFmtId="0" fontId="2" fillId="11" borderId="0" xfId="0" applyFont="1" applyFill="1" applyBorder="1" applyAlignment="1">
      <alignment horizontal="left" vertical="center"/>
    </xf>
    <xf numFmtId="0" fontId="4" fillId="11" borderId="0" xfId="0" applyFont="1" applyFill="1" applyBorder="1" applyAlignment="1">
      <alignment horizontal="left" vertical="center"/>
    </xf>
    <xf numFmtId="182" fontId="2" fillId="11" borderId="0" xfId="0" applyNumberFormat="1" applyFont="1" applyFill="1" applyBorder="1" applyAlignment="1">
      <alignment horizontal="center" vertical="center"/>
    </xf>
    <xf numFmtId="0" fontId="13" fillId="11" borderId="0" xfId="0" applyFont="1" applyFill="1" applyBorder="1" applyAlignment="1">
      <alignment horizontal="left" vertical="center"/>
    </xf>
    <xf numFmtId="0" fontId="13" fillId="11" borderId="0" xfId="0" applyFont="1" applyFill="1" applyBorder="1" applyAlignment="1">
      <alignment horizontal="left" vertical="center" wrapText="1"/>
    </xf>
    <xf numFmtId="0" fontId="13" fillId="11" borderId="0" xfId="0" applyFont="1" applyFill="1" applyAlignment="1">
      <alignment horizontal="left" vertical="center"/>
    </xf>
    <xf numFmtId="0" fontId="13" fillId="11" borderId="0" xfId="0" applyFont="1" applyFill="1" applyAlignment="1">
      <alignment vertical="center"/>
    </xf>
    <xf numFmtId="0" fontId="3" fillId="11" borderId="0" xfId="0" applyFont="1" applyFill="1" applyAlignment="1">
      <alignment horizontal="left" vertical="top"/>
    </xf>
    <xf numFmtId="182" fontId="3" fillId="11" borderId="0" xfId="0" applyNumberFormat="1" applyFont="1" applyFill="1" applyAlignment="1">
      <alignment horizontal="center" vertical="top"/>
    </xf>
    <xf numFmtId="0" fontId="2" fillId="11" borderId="28" xfId="0" applyFont="1" applyFill="1" applyBorder="1" applyAlignment="1">
      <alignment horizontal="center" vertical="center"/>
    </xf>
    <xf numFmtId="182" fontId="9" fillId="9" borderId="50" xfId="0" applyNumberFormat="1" applyFont="1" applyFill="1" applyBorder="1" applyAlignment="1" applyProtection="1">
      <alignment horizontal="center" vertical="center"/>
      <protection locked="0"/>
    </xf>
    <xf numFmtId="0" fontId="37" fillId="14" borderId="3" xfId="0" applyFont="1" applyFill="1" applyBorder="1" applyAlignment="1">
      <alignment horizontal="center" vertical="center"/>
    </xf>
    <xf numFmtId="182" fontId="2" fillId="9" borderId="51" xfId="0" applyNumberFormat="1" applyFont="1" applyFill="1" applyBorder="1" applyAlignment="1" applyProtection="1">
      <alignment horizontal="center" vertical="center"/>
      <protection locked="0"/>
    </xf>
    <xf numFmtId="182" fontId="37" fillId="14" borderId="34" xfId="0" applyNumberFormat="1" applyFont="1" applyFill="1" applyBorder="1" applyAlignment="1">
      <alignment horizontal="center" vertical="center"/>
    </xf>
    <xf numFmtId="182" fontId="37" fillId="14" borderId="35" xfId="0" applyNumberFormat="1" applyFont="1" applyFill="1" applyBorder="1" applyAlignment="1">
      <alignment horizontal="center" vertical="center"/>
    </xf>
    <xf numFmtId="182" fontId="2" fillId="9" borderId="64" xfId="0" applyNumberFormat="1" applyFont="1" applyFill="1" applyBorder="1" applyAlignment="1" applyProtection="1">
      <alignment horizontal="center" vertical="center"/>
      <protection locked="0"/>
    </xf>
    <xf numFmtId="182" fontId="37" fillId="14" borderId="45" xfId="0" applyNumberFormat="1" applyFont="1" applyFill="1" applyBorder="1" applyAlignment="1">
      <alignment horizontal="center" vertical="center"/>
    </xf>
    <xf numFmtId="10" fontId="2" fillId="9" borderId="60" xfId="0" applyNumberFormat="1" applyFont="1" applyFill="1" applyBorder="1" applyAlignment="1" applyProtection="1">
      <alignment horizontal="center" vertical="center"/>
      <protection locked="0"/>
    </xf>
    <xf numFmtId="182" fontId="37" fillId="14" borderId="38" xfId="0" applyNumberFormat="1" applyFont="1" applyFill="1" applyBorder="1" applyAlignment="1">
      <alignment horizontal="center" vertical="center"/>
    </xf>
    <xf numFmtId="0" fontId="2" fillId="11" borderId="17" xfId="0" applyFont="1" applyFill="1" applyBorder="1" applyAlignment="1">
      <alignment horizontal="center" vertical="center"/>
    </xf>
    <xf numFmtId="182" fontId="30" fillId="5" borderId="54" xfId="0" applyNumberFormat="1" applyFont="1" applyFill="1" applyBorder="1" applyAlignment="1">
      <alignment horizontal="center" vertical="center"/>
    </xf>
    <xf numFmtId="0" fontId="38" fillId="5" borderId="77" xfId="0" applyFont="1" applyFill="1" applyBorder="1" applyAlignment="1">
      <alignment horizontal="center" vertical="center"/>
    </xf>
    <xf numFmtId="0" fontId="30" fillId="5" borderId="31" xfId="0" applyFont="1" applyFill="1" applyBorder="1" applyAlignment="1">
      <alignment horizontal="center" vertical="center"/>
    </xf>
    <xf numFmtId="182" fontId="30" fillId="5" borderId="32" xfId="0" applyNumberFormat="1" applyFont="1" applyFill="1" applyBorder="1" applyAlignment="1">
      <alignment horizontal="center" vertical="center"/>
    </xf>
    <xf numFmtId="182" fontId="30" fillId="5" borderId="57" xfId="0" applyNumberFormat="1" applyFont="1" applyFill="1" applyBorder="1" applyAlignment="1">
      <alignment horizontal="center" vertical="center"/>
    </xf>
    <xf numFmtId="0" fontId="38" fillId="5" borderId="75" xfId="0" applyFont="1" applyFill="1" applyBorder="1" applyAlignment="1">
      <alignment horizontal="center" vertical="center"/>
    </xf>
    <xf numFmtId="0" fontId="30" fillId="5" borderId="33" xfId="0" applyFont="1" applyFill="1" applyBorder="1" applyAlignment="1">
      <alignment horizontal="center" vertical="center"/>
    </xf>
    <xf numFmtId="182" fontId="30" fillId="5" borderId="26" xfId="0" applyNumberFormat="1" applyFont="1" applyFill="1" applyBorder="1" applyAlignment="1">
      <alignment horizontal="center" vertical="center"/>
    </xf>
    <xf numFmtId="182" fontId="39" fillId="3" borderId="40" xfId="0" applyNumberFormat="1" applyFont="1" applyFill="1" applyBorder="1" applyAlignment="1">
      <alignment horizontal="center" vertical="center"/>
    </xf>
    <xf numFmtId="182" fontId="39" fillId="3" borderId="50" xfId="0" applyNumberFormat="1" applyFont="1" applyFill="1" applyBorder="1" applyAlignment="1">
      <alignment horizontal="center" vertical="center"/>
    </xf>
    <xf numFmtId="0" fontId="40" fillId="15" borderId="48" xfId="0" applyNumberFormat="1" applyFont="1" applyFill="1" applyBorder="1" applyAlignment="1">
      <alignment horizontal="center" vertical="center"/>
    </xf>
    <xf numFmtId="0" fontId="17" fillId="3" borderId="31" xfId="0" applyFont="1" applyFill="1" applyBorder="1" applyAlignment="1">
      <alignment horizontal="left" vertical="center"/>
    </xf>
    <xf numFmtId="182" fontId="31" fillId="3" borderId="40" xfId="0" applyNumberFormat="1" applyFont="1" applyFill="1" applyBorder="1" applyAlignment="1">
      <alignment horizontal="center" vertical="center"/>
    </xf>
    <xf numFmtId="182" fontId="41" fillId="3" borderId="40" xfId="0" applyNumberFormat="1" applyFont="1" applyFill="1" applyBorder="1" applyAlignment="1">
      <alignment horizontal="center" vertical="center"/>
    </xf>
    <xf numFmtId="182" fontId="32" fillId="3" borderId="40" xfId="0" applyNumberFormat="1" applyFont="1" applyFill="1" applyBorder="1" applyAlignment="1">
      <alignment horizontal="center" vertical="center"/>
    </xf>
    <xf numFmtId="182" fontId="39" fillId="3" borderId="1" xfId="0" applyNumberFormat="1" applyFont="1" applyFill="1" applyBorder="1" applyAlignment="1">
      <alignment horizontal="center" vertical="center"/>
    </xf>
    <xf numFmtId="182" fontId="39" fillId="3" borderId="51" xfId="0" applyNumberFormat="1" applyFont="1" applyFill="1" applyBorder="1" applyAlignment="1">
      <alignment horizontal="center" vertical="center"/>
    </xf>
    <xf numFmtId="0" fontId="40" fillId="15" borderId="74" xfId="0" applyNumberFormat="1" applyFont="1" applyFill="1" applyBorder="1" applyAlignment="1">
      <alignment horizontal="center" vertical="center"/>
    </xf>
    <xf numFmtId="0" fontId="17" fillId="3" borderId="34" xfId="0" applyFont="1" applyFill="1" applyBorder="1" applyAlignment="1">
      <alignment horizontal="left" vertical="center"/>
    </xf>
    <xf numFmtId="182" fontId="31" fillId="3" borderId="1" xfId="0" applyNumberFormat="1" applyFont="1" applyFill="1" applyBorder="1" applyAlignment="1">
      <alignment horizontal="center" vertical="center"/>
    </xf>
    <xf numFmtId="182" fontId="41" fillId="3" borderId="1" xfId="0" applyNumberFormat="1" applyFont="1" applyFill="1" applyBorder="1" applyAlignment="1">
      <alignment horizontal="center" vertical="center"/>
    </xf>
    <xf numFmtId="0" fontId="40" fillId="15" borderId="46" xfId="0" applyNumberFormat="1" applyFont="1" applyFill="1" applyBorder="1" applyAlignment="1">
      <alignment horizontal="center" vertical="center"/>
    </xf>
    <xf numFmtId="0" fontId="17" fillId="3" borderId="45" xfId="0" applyFont="1" applyFill="1" applyBorder="1" applyAlignment="1">
      <alignment horizontal="left" vertical="center"/>
    </xf>
    <xf numFmtId="182" fontId="42" fillId="3" borderId="1" xfId="0" applyNumberFormat="1" applyFont="1" applyFill="1" applyBorder="1" applyAlignment="1">
      <alignment horizontal="center" vertical="center"/>
    </xf>
    <xf numFmtId="182" fontId="39" fillId="3" borderId="30" xfId="0" applyNumberFormat="1" applyFont="1" applyFill="1" applyBorder="1" applyAlignment="1">
      <alignment horizontal="center" vertical="center"/>
    </xf>
    <xf numFmtId="182" fontId="39" fillId="3" borderId="60" xfId="0" applyNumberFormat="1" applyFont="1" applyFill="1" applyBorder="1" applyAlignment="1">
      <alignment horizontal="center" vertical="center"/>
    </xf>
    <xf numFmtId="0" fontId="40" fillId="15" borderId="75" xfId="0" applyNumberFormat="1" applyFont="1" applyFill="1" applyBorder="1" applyAlignment="1">
      <alignment horizontal="center" vertical="center"/>
    </xf>
    <xf numFmtId="0" fontId="17" fillId="3" borderId="33" xfId="0" applyFont="1" applyFill="1" applyBorder="1" applyAlignment="1">
      <alignment horizontal="left" vertical="center"/>
    </xf>
    <xf numFmtId="182" fontId="31" fillId="3" borderId="30" xfId="0" applyNumberFormat="1" applyFont="1" applyFill="1" applyBorder="1" applyAlignment="1">
      <alignment horizontal="center" vertical="center"/>
    </xf>
    <xf numFmtId="182" fontId="41" fillId="3" borderId="30" xfId="0" applyNumberFormat="1" applyFont="1" applyFill="1" applyBorder="1" applyAlignment="1">
      <alignment horizontal="center" vertical="center"/>
    </xf>
    <xf numFmtId="182" fontId="39" fillId="13" borderId="40" xfId="0" applyNumberFormat="1" applyFont="1" applyFill="1" applyBorder="1" applyAlignment="1">
      <alignment horizontal="center" vertical="center"/>
    </xf>
    <xf numFmtId="182" fontId="39" fillId="13" borderId="50" xfId="0" applyNumberFormat="1" applyFont="1" applyFill="1" applyBorder="1" applyAlignment="1">
      <alignment horizontal="center" vertical="center"/>
    </xf>
    <xf numFmtId="0" fontId="40" fillId="15" borderId="77" xfId="0" applyNumberFormat="1" applyFont="1" applyFill="1" applyBorder="1" applyAlignment="1">
      <alignment horizontal="center" vertical="center"/>
    </xf>
    <xf numFmtId="0" fontId="43" fillId="13" borderId="39" xfId="0" applyFont="1" applyFill="1" applyBorder="1" applyAlignment="1">
      <alignment horizontal="left" vertical="center"/>
    </xf>
    <xf numFmtId="182" fontId="31" fillId="13" borderId="40" xfId="0" applyNumberFormat="1" applyFont="1" applyFill="1" applyBorder="1" applyAlignment="1">
      <alignment horizontal="center" vertical="center"/>
    </xf>
    <xf numFmtId="182" fontId="41" fillId="13" borderId="40" xfId="0" applyNumberFormat="1" applyFont="1" applyFill="1" applyBorder="1" applyAlignment="1">
      <alignment horizontal="center" vertical="center"/>
    </xf>
    <xf numFmtId="182" fontId="39" fillId="13" borderId="30" xfId="0" applyNumberFormat="1" applyFont="1" applyFill="1" applyBorder="1" applyAlignment="1">
      <alignment horizontal="center" vertical="center"/>
    </xf>
    <xf numFmtId="182" fontId="39" fillId="13" borderId="60" xfId="0" applyNumberFormat="1" applyFont="1" applyFill="1" applyBorder="1" applyAlignment="1">
      <alignment horizontal="center" vertical="center"/>
    </xf>
    <xf numFmtId="0" fontId="43" fillId="13" borderId="38" xfId="0" applyFont="1" applyFill="1" applyBorder="1" applyAlignment="1">
      <alignment horizontal="left" vertical="center"/>
    </xf>
    <xf numFmtId="182" fontId="31" fillId="13" borderId="30" xfId="0" applyNumberFormat="1" applyFont="1" applyFill="1" applyBorder="1" applyAlignment="1">
      <alignment horizontal="center" vertical="center"/>
    </xf>
    <xf numFmtId="182" fontId="41" fillId="13" borderId="30" xfId="0" applyNumberFormat="1" applyFont="1" applyFill="1" applyBorder="1" applyAlignment="1">
      <alignment horizontal="center" vertical="center"/>
    </xf>
    <xf numFmtId="182" fontId="44" fillId="16" borderId="11" xfId="0" applyNumberFormat="1" applyFont="1" applyFill="1" applyBorder="1" applyAlignment="1">
      <alignment horizontal="center" vertical="center"/>
    </xf>
    <xf numFmtId="182" fontId="44" fillId="16" borderId="15" xfId="0" applyNumberFormat="1" applyFont="1" applyFill="1" applyBorder="1" applyAlignment="1">
      <alignment horizontal="center" vertical="center"/>
    </xf>
    <xf numFmtId="0" fontId="45" fillId="5" borderId="48" xfId="0" applyFont="1" applyFill="1" applyBorder="1" applyAlignment="1">
      <alignment horizontal="center" vertical="center"/>
    </xf>
    <xf numFmtId="0" fontId="44" fillId="16" borderId="11" xfId="0" applyFont="1" applyFill="1" applyBorder="1" applyAlignment="1">
      <alignment horizontal="center" vertical="center"/>
    </xf>
    <xf numFmtId="182" fontId="44" fillId="16" borderId="12" xfId="0" applyNumberFormat="1" applyFont="1" applyFill="1" applyBorder="1" applyAlignment="1">
      <alignment horizontal="center" vertical="center"/>
    </xf>
    <xf numFmtId="182" fontId="31" fillId="13" borderId="1" xfId="0" applyNumberFormat="1" applyFont="1" applyFill="1" applyBorder="1" applyAlignment="1">
      <alignment horizontal="center" vertical="center"/>
    </xf>
    <xf numFmtId="182" fontId="39" fillId="13" borderId="1" xfId="0" applyNumberFormat="1" applyFont="1" applyFill="1" applyBorder="1" applyAlignment="1">
      <alignment horizontal="center" vertical="center"/>
    </xf>
    <xf numFmtId="0" fontId="43" fillId="13" borderId="35" xfId="0" applyFont="1" applyFill="1" applyBorder="1" applyAlignment="1">
      <alignment horizontal="left" vertical="center"/>
    </xf>
    <xf numFmtId="0" fontId="2" fillId="11" borderId="0" xfId="0" applyFont="1" applyFill="1" applyAlignment="1">
      <alignment horizontal="center" vertical="center" wrapText="1"/>
    </xf>
    <xf numFmtId="182" fontId="2" fillId="11" borderId="0" xfId="0" applyNumberFormat="1" applyFont="1" applyFill="1" applyAlignment="1">
      <alignment horizontal="center" vertical="center" wrapText="1"/>
    </xf>
    <xf numFmtId="0" fontId="3" fillId="11" borderId="0" xfId="0" applyFont="1" applyFill="1" applyAlignment="1">
      <alignment horizontal="center" vertical="top"/>
    </xf>
    <xf numFmtId="182" fontId="4" fillId="11" borderId="0" xfId="0" applyNumberFormat="1" applyFont="1" applyFill="1" applyAlignment="1">
      <alignment horizontal="left" vertical="center"/>
    </xf>
    <xf numFmtId="0" fontId="2" fillId="11" borderId="0" xfId="0" applyFont="1" applyFill="1" applyAlignment="1" applyProtection="1">
      <alignment horizontal="center" vertical="center"/>
    </xf>
    <xf numFmtId="0" fontId="2" fillId="11" borderId="0" xfId="0" applyFont="1" applyFill="1" applyProtection="1">
      <alignment vertical="center"/>
    </xf>
    <xf numFmtId="0" fontId="37" fillId="14" borderId="17" xfId="0" applyFont="1" applyFill="1" applyBorder="1" applyAlignment="1">
      <alignment horizontal="center" vertical="center"/>
    </xf>
    <xf numFmtId="0" fontId="37" fillId="14" borderId="4" xfId="0" applyFont="1" applyFill="1" applyBorder="1" applyAlignment="1">
      <alignment horizontal="center" vertical="center"/>
    </xf>
    <xf numFmtId="0" fontId="2" fillId="11" borderId="0" xfId="0" applyFont="1" applyFill="1" applyAlignment="1" applyProtection="1">
      <alignment vertical="center"/>
    </xf>
    <xf numFmtId="0" fontId="35" fillId="5" borderId="65" xfId="0" applyFont="1" applyFill="1" applyBorder="1" applyAlignment="1">
      <alignment horizontal="center" vertical="center"/>
    </xf>
    <xf numFmtId="0" fontId="35" fillId="5" borderId="62" xfId="0" applyFont="1" applyFill="1" applyBorder="1" applyAlignment="1">
      <alignment horizontal="center" vertical="center"/>
    </xf>
    <xf numFmtId="0" fontId="2" fillId="11" borderId="15" xfId="0" applyFont="1" applyFill="1" applyBorder="1" applyAlignment="1">
      <alignment horizontal="center" vertical="center"/>
    </xf>
    <xf numFmtId="182" fontId="37" fillId="14" borderId="12" xfId="0" applyNumberFormat="1" applyFont="1" applyFill="1" applyBorder="1" applyAlignment="1">
      <alignment horizontal="center" vertical="center"/>
    </xf>
    <xf numFmtId="0" fontId="2" fillId="11" borderId="58" xfId="0" applyFont="1" applyFill="1" applyBorder="1" applyAlignment="1">
      <alignment horizontal="center" vertical="center"/>
    </xf>
    <xf numFmtId="0" fontId="35" fillId="5" borderId="73" xfId="0" applyFont="1" applyFill="1" applyBorder="1" applyAlignment="1">
      <alignment horizontal="center" vertical="center"/>
    </xf>
    <xf numFmtId="0" fontId="35" fillId="5" borderId="53" xfId="0" applyFont="1" applyFill="1" applyBorder="1" applyAlignment="1">
      <alignment horizontal="center" vertical="center"/>
    </xf>
    <xf numFmtId="0" fontId="2" fillId="11" borderId="2" xfId="0" applyFont="1" applyFill="1" applyBorder="1" applyAlignment="1">
      <alignment horizontal="center" vertical="center"/>
    </xf>
    <xf numFmtId="182" fontId="37" fillId="14" borderId="1" xfId="0" applyNumberFormat="1" applyFont="1" applyFill="1" applyBorder="1" applyAlignment="1">
      <alignment horizontal="center" vertical="center"/>
    </xf>
    <xf numFmtId="0" fontId="2" fillId="11" borderId="51" xfId="0" applyFont="1" applyFill="1" applyBorder="1" applyAlignment="1">
      <alignment horizontal="center" vertical="center"/>
    </xf>
    <xf numFmtId="0" fontId="46" fillId="5" borderId="77" xfId="0" applyFont="1" applyFill="1" applyBorder="1" applyAlignment="1">
      <alignment horizontal="center" vertical="center"/>
    </xf>
    <xf numFmtId="1" fontId="2" fillId="3" borderId="77" xfId="0" applyNumberFormat="1" applyFont="1" applyFill="1" applyBorder="1" applyAlignment="1">
      <alignment horizontal="center" vertical="center"/>
    </xf>
    <xf numFmtId="0" fontId="46" fillId="5" borderId="74" xfId="0" applyFont="1" applyFill="1" applyBorder="1" applyAlignment="1">
      <alignment horizontal="center" vertical="center"/>
    </xf>
    <xf numFmtId="0" fontId="2" fillId="3" borderId="74" xfId="0" applyFont="1" applyFill="1" applyBorder="1" applyAlignment="1">
      <alignment horizontal="center" vertical="center"/>
    </xf>
    <xf numFmtId="0" fontId="2" fillId="11" borderId="56" xfId="0" applyFont="1" applyFill="1" applyBorder="1" applyAlignment="1">
      <alignment horizontal="center" vertical="center"/>
    </xf>
    <xf numFmtId="0" fontId="46" fillId="5" borderId="74" xfId="32" applyFont="1" applyFill="1" applyBorder="1" applyAlignment="1">
      <alignment horizontal="center" vertical="center"/>
    </xf>
    <xf numFmtId="0" fontId="2" fillId="0" borderId="74" xfId="0" applyFont="1" applyFill="1" applyBorder="1" applyAlignment="1" applyProtection="1">
      <alignment horizontal="center" vertical="center"/>
      <protection locked="0"/>
    </xf>
    <xf numFmtId="0" fontId="2" fillId="11" borderId="30" xfId="0" applyFont="1" applyFill="1" applyBorder="1" applyAlignment="1">
      <alignment horizontal="center" vertical="center"/>
    </xf>
    <xf numFmtId="182" fontId="37" fillId="14" borderId="30" xfId="0" applyNumberFormat="1" applyFont="1" applyFill="1" applyBorder="1" applyAlignment="1">
      <alignment horizontal="center" vertical="center"/>
    </xf>
    <xf numFmtId="0" fontId="2" fillId="11" borderId="60" xfId="0" applyFont="1" applyFill="1" applyBorder="1" applyAlignment="1">
      <alignment horizontal="center" vertical="center"/>
    </xf>
    <xf numFmtId="0" fontId="2" fillId="11" borderId="0" xfId="0" applyFont="1" applyFill="1" applyBorder="1" applyProtection="1">
      <alignment vertical="center"/>
    </xf>
    <xf numFmtId="0" fontId="46" fillId="5" borderId="75" xfId="0" applyFont="1" applyFill="1" applyBorder="1" applyAlignment="1">
      <alignment vertical="center"/>
    </xf>
    <xf numFmtId="0" fontId="2" fillId="9" borderId="24" xfId="0" applyFont="1" applyFill="1" applyBorder="1" applyAlignment="1" applyProtection="1">
      <alignment horizontal="center" vertical="center"/>
      <protection locked="0"/>
    </xf>
    <xf numFmtId="0" fontId="2" fillId="11" borderId="0" xfId="0" applyFont="1" applyFill="1" applyBorder="1" applyAlignment="1" applyProtection="1">
      <alignment horizontal="center" vertical="center"/>
    </xf>
    <xf numFmtId="0" fontId="2" fillId="11" borderId="0" xfId="0" applyFont="1" applyFill="1" applyAlignment="1" applyProtection="1">
      <alignment horizontal="right" vertical="center"/>
    </xf>
    <xf numFmtId="0" fontId="30" fillId="5" borderId="32" xfId="0" applyFont="1" applyFill="1" applyBorder="1" applyAlignment="1">
      <alignment horizontal="center" vertical="center"/>
    </xf>
    <xf numFmtId="0" fontId="30" fillId="5" borderId="54" xfId="0" applyFont="1" applyFill="1" applyBorder="1" applyAlignment="1">
      <alignment horizontal="center" vertical="center"/>
    </xf>
    <xf numFmtId="0" fontId="30" fillId="5" borderId="76" xfId="0" applyFont="1" applyFill="1" applyBorder="1" applyAlignment="1">
      <alignment horizontal="center" vertical="center"/>
    </xf>
    <xf numFmtId="0" fontId="33" fillId="7" borderId="39" xfId="0" applyNumberFormat="1" applyFont="1" applyFill="1" applyBorder="1" applyAlignment="1" applyProtection="1">
      <alignment horizontal="center" vertical="center"/>
      <protection locked="0"/>
    </xf>
    <xf numFmtId="0" fontId="30" fillId="5" borderId="62" xfId="0" applyFont="1" applyFill="1" applyBorder="1" applyAlignment="1">
      <alignment horizontal="center" vertical="center"/>
    </xf>
    <xf numFmtId="0" fontId="30" fillId="5" borderId="26" xfId="0" applyFont="1" applyFill="1" applyBorder="1" applyAlignment="1">
      <alignment horizontal="center" vertical="center"/>
    </xf>
    <xf numFmtId="0" fontId="30" fillId="5" borderId="57" xfId="0" applyFont="1" applyFill="1" applyBorder="1" applyAlignment="1">
      <alignment horizontal="center" vertical="center"/>
    </xf>
    <xf numFmtId="0" fontId="30" fillId="5" borderId="27" xfId="0" applyFont="1" applyFill="1" applyBorder="1" applyAlignment="1">
      <alignment horizontal="center" vertical="center"/>
    </xf>
    <xf numFmtId="0" fontId="33" fillId="7" borderId="38" xfId="0" applyNumberFormat="1" applyFont="1" applyFill="1" applyBorder="1" applyAlignment="1" applyProtection="1">
      <alignment horizontal="center" vertical="center"/>
      <protection locked="0"/>
    </xf>
    <xf numFmtId="0" fontId="30" fillId="5" borderId="53" xfId="0" applyFont="1" applyFill="1" applyBorder="1" applyAlignment="1">
      <alignment horizontal="center" vertical="center"/>
    </xf>
    <xf numFmtId="0" fontId="39" fillId="3" borderId="40" xfId="0" applyFont="1" applyFill="1" applyBorder="1" applyAlignment="1">
      <alignment horizontal="center" vertical="center"/>
    </xf>
    <xf numFmtId="181" fontId="39" fillId="3" borderId="40" xfId="0" applyNumberFormat="1" applyFont="1" applyFill="1" applyBorder="1" applyAlignment="1">
      <alignment horizontal="center" vertical="center"/>
    </xf>
    <xf numFmtId="0" fontId="4" fillId="3" borderId="50" xfId="0" applyNumberFormat="1" applyFont="1" applyFill="1" applyBorder="1" applyAlignment="1">
      <alignment horizontal="center" vertical="center"/>
    </xf>
    <xf numFmtId="1" fontId="39" fillId="3" borderId="39" xfId="0" applyNumberFormat="1" applyFont="1" applyFill="1" applyBorder="1" applyAlignment="1">
      <alignment horizontal="center" vertical="center"/>
    </xf>
    <xf numFmtId="0" fontId="47" fillId="3" borderId="50" xfId="0" applyNumberFormat="1" applyFont="1" applyFill="1" applyBorder="1" applyAlignment="1" applyProtection="1">
      <alignment horizontal="center" vertical="center"/>
    </xf>
    <xf numFmtId="0" fontId="39" fillId="3" borderId="1" xfId="0" applyFont="1" applyFill="1" applyBorder="1" applyAlignment="1">
      <alignment horizontal="center" vertical="center"/>
    </xf>
    <xf numFmtId="181" fontId="39" fillId="3" borderId="1" xfId="0" applyNumberFormat="1" applyFont="1" applyFill="1" applyBorder="1" applyAlignment="1">
      <alignment horizontal="center" vertical="center"/>
    </xf>
    <xf numFmtId="0" fontId="4" fillId="3" borderId="51" xfId="0" applyNumberFormat="1" applyFont="1" applyFill="1" applyBorder="1" applyAlignment="1">
      <alignment horizontal="center" vertical="center"/>
    </xf>
    <xf numFmtId="1" fontId="39" fillId="3" borderId="35" xfId="0" applyNumberFormat="1" applyFont="1" applyFill="1" applyBorder="1" applyAlignment="1">
      <alignment horizontal="center" vertical="center"/>
    </xf>
    <xf numFmtId="0" fontId="47" fillId="3" borderId="51" xfId="0" applyNumberFormat="1" applyFont="1" applyFill="1" applyBorder="1" applyAlignment="1" applyProtection="1">
      <alignment horizontal="center" vertical="center"/>
    </xf>
    <xf numFmtId="0" fontId="39" fillId="3" borderId="30" xfId="0" applyFont="1" applyFill="1" applyBorder="1" applyAlignment="1">
      <alignment horizontal="center" vertical="center"/>
    </xf>
    <xf numFmtId="181" fontId="39" fillId="3" borderId="30" xfId="0" applyNumberFormat="1" applyFont="1" applyFill="1" applyBorder="1" applyAlignment="1">
      <alignment horizontal="center" vertical="center"/>
    </xf>
    <xf numFmtId="0" fontId="4" fillId="3" borderId="60" xfId="0" applyNumberFormat="1" applyFont="1" applyFill="1" applyBorder="1" applyAlignment="1">
      <alignment horizontal="center" vertical="center"/>
    </xf>
    <xf numFmtId="1" fontId="39" fillId="3" borderId="38" xfId="0" applyNumberFormat="1" applyFont="1" applyFill="1" applyBorder="1" applyAlignment="1">
      <alignment horizontal="center" vertical="center"/>
    </xf>
    <xf numFmtId="0" fontId="47" fillId="3" borderId="60" xfId="0" applyNumberFormat="1" applyFont="1" applyFill="1" applyBorder="1" applyAlignment="1" applyProtection="1">
      <alignment horizontal="center" vertical="center"/>
    </xf>
    <xf numFmtId="0" fontId="39" fillId="13" borderId="40" xfId="0" applyFont="1" applyFill="1" applyBorder="1" applyAlignment="1">
      <alignment horizontal="center" vertical="center"/>
    </xf>
    <xf numFmtId="181" fontId="39" fillId="13" borderId="40" xfId="0" applyNumberFormat="1" applyFont="1" applyFill="1" applyBorder="1" applyAlignment="1">
      <alignment horizontal="center" vertical="center"/>
    </xf>
    <xf numFmtId="0" fontId="4" fillId="16" borderId="44" xfId="0" applyNumberFormat="1" applyFont="1" applyFill="1" applyBorder="1" applyAlignment="1">
      <alignment horizontal="center" vertical="center"/>
    </xf>
    <xf numFmtId="1" fontId="48" fillId="16" borderId="41" xfId="0" applyNumberFormat="1" applyFont="1" applyFill="1" applyBorder="1" applyAlignment="1">
      <alignment horizontal="center" vertical="center"/>
    </xf>
    <xf numFmtId="1" fontId="48" fillId="16" borderId="78" xfId="0" applyNumberFormat="1" applyFont="1" applyFill="1" applyBorder="1" applyAlignment="1">
      <alignment horizontal="center" vertical="center"/>
    </xf>
    <xf numFmtId="0" fontId="39" fillId="13" borderId="30" xfId="0" applyFont="1" applyFill="1" applyBorder="1" applyAlignment="1">
      <alignment horizontal="center" vertical="center"/>
    </xf>
    <xf numFmtId="181" fontId="39" fillId="13" borderId="30" xfId="0" applyNumberFormat="1" applyFont="1" applyFill="1" applyBorder="1" applyAlignment="1">
      <alignment horizontal="center" vertical="center"/>
    </xf>
    <xf numFmtId="0" fontId="4" fillId="16" borderId="90" xfId="0" applyNumberFormat="1" applyFont="1" applyFill="1" applyBorder="1" applyAlignment="1">
      <alignment horizontal="center" vertical="center"/>
    </xf>
    <xf numFmtId="1" fontId="48" fillId="16" borderId="49" xfId="0" applyNumberFormat="1" applyFont="1" applyFill="1" applyBorder="1" applyAlignment="1">
      <alignment horizontal="center" vertical="center"/>
    </xf>
    <xf numFmtId="1" fontId="48" fillId="16" borderId="70" xfId="0" applyNumberFormat="1" applyFont="1" applyFill="1" applyBorder="1" applyAlignment="1">
      <alignment horizontal="center" vertical="center"/>
    </xf>
    <xf numFmtId="182" fontId="36" fillId="14" borderId="34" xfId="0" applyNumberFormat="1" applyFont="1" applyFill="1" applyBorder="1" applyAlignment="1">
      <alignment horizontal="center" vertical="center" wrapText="1"/>
    </xf>
    <xf numFmtId="182" fontId="44" fillId="5" borderId="91" xfId="0" applyNumberFormat="1" applyFont="1" applyFill="1" applyBorder="1" applyAlignment="1">
      <alignment horizontal="center" vertical="center"/>
    </xf>
    <xf numFmtId="0" fontId="44" fillId="5" borderId="12" xfId="0" applyFont="1" applyFill="1" applyBorder="1" applyAlignment="1">
      <alignment horizontal="center" vertical="center"/>
    </xf>
    <xf numFmtId="0" fontId="44" fillId="5" borderId="58" xfId="0" applyFont="1" applyFill="1" applyBorder="1" applyAlignment="1">
      <alignment horizontal="center" vertical="center"/>
    </xf>
    <xf numFmtId="182" fontId="36" fillId="14" borderId="35" xfId="0" applyNumberFormat="1" applyFont="1" applyFill="1" applyBorder="1" applyAlignment="1">
      <alignment horizontal="center" vertical="center" wrapText="1"/>
    </xf>
    <xf numFmtId="182" fontId="49" fillId="7" borderId="85" xfId="0" applyNumberFormat="1" applyFont="1" applyFill="1" applyBorder="1" applyAlignment="1" applyProtection="1">
      <alignment horizontal="center" vertical="center"/>
      <protection locked="0"/>
    </xf>
    <xf numFmtId="182" fontId="33" fillId="7" borderId="9" xfId="0" applyNumberFormat="1" applyFont="1" applyFill="1" applyBorder="1" applyAlignment="1" applyProtection="1">
      <alignment horizontal="center" vertical="center"/>
      <protection locked="0"/>
    </xf>
    <xf numFmtId="10" fontId="2" fillId="9" borderId="92" xfId="0" applyNumberFormat="1" applyFont="1" applyFill="1" applyBorder="1" applyAlignment="1" applyProtection="1">
      <alignment horizontal="center" vertical="center"/>
      <protection locked="0"/>
    </xf>
    <xf numFmtId="182" fontId="36" fillId="14" borderId="93" xfId="0" applyNumberFormat="1" applyFont="1" applyFill="1" applyBorder="1" applyAlignment="1">
      <alignment horizontal="center" vertical="center" wrapText="1"/>
    </xf>
    <xf numFmtId="182" fontId="49" fillId="7" borderId="89" xfId="0" applyNumberFormat="1" applyFont="1" applyFill="1" applyBorder="1" applyAlignment="1" applyProtection="1">
      <alignment horizontal="center" vertical="center"/>
      <protection locked="0"/>
    </xf>
    <xf numFmtId="182" fontId="33" fillId="7" borderId="94" xfId="0" applyNumberFormat="1" applyFont="1" applyFill="1" applyBorder="1" applyAlignment="1" applyProtection="1">
      <alignment horizontal="center" vertical="center"/>
      <protection locked="0"/>
    </xf>
    <xf numFmtId="10" fontId="2" fillId="9" borderId="95" xfId="0" applyNumberFormat="1" applyFont="1" applyFill="1" applyBorder="1" applyAlignment="1" applyProtection="1">
      <alignment horizontal="center" vertical="center"/>
      <protection locked="0"/>
    </xf>
    <xf numFmtId="0" fontId="13" fillId="11" borderId="0" xfId="0" applyFont="1" applyFill="1" applyBorder="1" applyAlignment="1">
      <alignment horizontal="center" vertical="center"/>
    </xf>
    <xf numFmtId="0" fontId="13" fillId="11" borderId="0" xfId="0" applyFont="1" applyFill="1" applyAlignment="1">
      <alignment horizontal="center" vertical="center"/>
    </xf>
    <xf numFmtId="0" fontId="2" fillId="11" borderId="96" xfId="0" applyFont="1" applyFill="1" applyBorder="1" applyAlignment="1" applyProtection="1">
      <alignment horizontal="right" vertical="center"/>
    </xf>
    <xf numFmtId="0" fontId="2" fillId="11" borderId="97" xfId="0" applyFont="1" applyFill="1" applyBorder="1" applyAlignment="1" applyProtection="1">
      <alignment horizontal="right" vertical="center"/>
    </xf>
    <xf numFmtId="181" fontId="2" fillId="11" borderId="97" xfId="0" applyNumberFormat="1" applyFont="1" applyFill="1" applyBorder="1" applyAlignment="1" applyProtection="1">
      <alignment horizontal="center" vertical="center"/>
    </xf>
    <xf numFmtId="182" fontId="2" fillId="11" borderId="97" xfId="0" applyNumberFormat="1" applyFont="1" applyFill="1" applyBorder="1" applyAlignment="1" applyProtection="1">
      <alignment horizontal="center" vertical="center"/>
    </xf>
    <xf numFmtId="0" fontId="2" fillId="11" borderId="97" xfId="0" applyFont="1" applyFill="1" applyBorder="1" applyAlignment="1" applyProtection="1">
      <alignment horizontal="center" vertical="center"/>
    </xf>
    <xf numFmtId="0" fontId="2" fillId="11" borderId="98" xfId="0" applyFont="1" applyFill="1" applyBorder="1" applyAlignment="1" applyProtection="1">
      <alignment horizontal="right" vertical="center"/>
    </xf>
    <xf numFmtId="0" fontId="2" fillId="11" borderId="0" xfId="0" applyFont="1" applyFill="1" applyBorder="1" applyAlignment="1" applyProtection="1">
      <alignment horizontal="right" vertical="center"/>
    </xf>
    <xf numFmtId="181" fontId="2" fillId="11" borderId="0" xfId="0" applyNumberFormat="1" applyFont="1" applyFill="1" applyBorder="1" applyAlignment="1" applyProtection="1">
      <alignment horizontal="center" vertical="center"/>
    </xf>
    <xf numFmtId="182" fontId="2" fillId="11" borderId="0" xfId="0" applyNumberFormat="1" applyFont="1" applyFill="1" applyBorder="1" applyAlignment="1" applyProtection="1">
      <alignment horizontal="center" vertical="center"/>
    </xf>
    <xf numFmtId="0" fontId="2" fillId="11" borderId="99" xfId="0" applyFont="1" applyFill="1" applyBorder="1">
      <alignment vertical="center"/>
    </xf>
    <xf numFmtId="182" fontId="2" fillId="11" borderId="100" xfId="0" applyNumberFormat="1" applyFont="1" applyFill="1" applyBorder="1" applyAlignment="1">
      <alignment horizontal="center" vertical="center"/>
    </xf>
    <xf numFmtId="0" fontId="2" fillId="11" borderId="100" xfId="0" applyFont="1" applyFill="1" applyBorder="1" applyAlignment="1">
      <alignment horizontal="center" vertical="center"/>
    </xf>
    <xf numFmtId="181" fontId="2" fillId="11" borderId="100" xfId="0" applyNumberFormat="1" applyFont="1" applyFill="1" applyBorder="1" applyAlignment="1">
      <alignment horizontal="center" vertical="center"/>
    </xf>
    <xf numFmtId="182" fontId="2" fillId="11" borderId="101" xfId="0" applyNumberFormat="1" applyFont="1" applyFill="1" applyBorder="1" applyAlignment="1" applyProtection="1">
      <alignment vertical="center"/>
    </xf>
    <xf numFmtId="181" fontId="2" fillId="11" borderId="97" xfId="0" applyNumberFormat="1" applyFont="1" applyFill="1" applyBorder="1" applyAlignment="1" applyProtection="1">
      <alignment vertical="center"/>
    </xf>
    <xf numFmtId="181" fontId="2" fillId="11" borderId="102" xfId="0" applyNumberFormat="1" applyFont="1" applyFill="1" applyBorder="1" applyAlignment="1" applyProtection="1">
      <alignment horizontal="center" vertical="center"/>
    </xf>
    <xf numFmtId="0" fontId="2" fillId="11" borderId="102" xfId="0" applyFont="1" applyFill="1" applyBorder="1" applyAlignment="1" applyProtection="1">
      <alignment horizontal="center" vertical="center"/>
    </xf>
    <xf numFmtId="0" fontId="2" fillId="11" borderId="103" xfId="0" applyFont="1" applyFill="1" applyBorder="1" applyProtection="1">
      <alignment vertical="center"/>
    </xf>
    <xf numFmtId="0" fontId="2" fillId="11" borderId="104" xfId="0" applyFont="1" applyFill="1" applyBorder="1">
      <alignment vertical="center"/>
    </xf>
    <xf numFmtId="0" fontId="2" fillId="11" borderId="103" xfId="0" applyFont="1" applyFill="1" applyBorder="1">
      <alignment vertical="center"/>
    </xf>
    <xf numFmtId="0" fontId="2" fillId="11" borderId="98" xfId="0" applyFont="1" applyFill="1" applyBorder="1" applyAlignment="1">
      <alignment horizontal="center" vertical="center"/>
    </xf>
    <xf numFmtId="0" fontId="2" fillId="11" borderId="105" xfId="0" applyFont="1" applyFill="1" applyBorder="1" applyAlignment="1" applyProtection="1">
      <alignment horizontal="center" vertical="center"/>
    </xf>
    <xf numFmtId="0" fontId="2" fillId="11" borderId="23" xfId="0" applyFont="1" applyFill="1" applyBorder="1" applyAlignment="1" applyProtection="1">
      <alignment horizontal="center" vertical="center"/>
    </xf>
    <xf numFmtId="1" fontId="2" fillId="11" borderId="1" xfId="0" applyNumberFormat="1" applyFont="1" applyFill="1" applyBorder="1" applyAlignment="1" applyProtection="1">
      <alignment horizontal="center" vertical="center"/>
    </xf>
    <xf numFmtId="0" fontId="2" fillId="11" borderId="106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11" borderId="98" xfId="0" applyFont="1" applyFill="1" applyBorder="1">
      <alignment vertical="center"/>
    </xf>
    <xf numFmtId="1" fontId="2" fillId="11" borderId="21" xfId="0" applyNumberFormat="1" applyFont="1" applyFill="1" applyBorder="1" applyAlignment="1" applyProtection="1">
      <alignment horizontal="center" vertical="center"/>
    </xf>
    <xf numFmtId="0" fontId="2" fillId="11" borderId="107" xfId="0" applyFont="1" applyFill="1" applyBorder="1" applyAlignment="1">
      <alignment horizontal="center" vertical="center"/>
    </xf>
    <xf numFmtId="0" fontId="2" fillId="11" borderId="108" xfId="0" applyFont="1" applyFill="1" applyBorder="1">
      <alignment vertical="center"/>
    </xf>
    <xf numFmtId="0" fontId="2" fillId="11" borderId="108" xfId="0" applyFont="1" applyFill="1" applyBorder="1" applyProtection="1">
      <alignment vertical="center"/>
    </xf>
    <xf numFmtId="0" fontId="2" fillId="11" borderId="109" xfId="0" applyFont="1" applyFill="1" applyBorder="1">
      <alignment vertical="center"/>
    </xf>
    <xf numFmtId="0" fontId="2" fillId="11" borderId="110" xfId="0" applyFont="1" applyFill="1" applyBorder="1" applyAlignment="1" applyProtection="1">
      <alignment horizontal="center" vertical="center"/>
    </xf>
    <xf numFmtId="0" fontId="2" fillId="11" borderId="111" xfId="0" applyFont="1" applyFill="1" applyBorder="1" applyAlignment="1" applyProtection="1">
      <alignment horizontal="center" vertical="center"/>
    </xf>
    <xf numFmtId="0" fontId="2" fillId="11" borderId="112" xfId="0" applyFont="1" applyFill="1" applyBorder="1" applyAlignment="1" applyProtection="1">
      <alignment horizontal="center" vertical="center"/>
    </xf>
    <xf numFmtId="0" fontId="2" fillId="11" borderId="113" xfId="0" applyFont="1" applyFill="1" applyBorder="1" applyAlignment="1">
      <alignment horizontal="center" vertical="center"/>
    </xf>
    <xf numFmtId="0" fontId="2" fillId="11" borderId="114" xfId="0" applyFont="1" applyFill="1" applyBorder="1" applyAlignment="1">
      <alignment horizontal="center" vertical="center"/>
    </xf>
    <xf numFmtId="0" fontId="2" fillId="11" borderId="115" xfId="0" applyFont="1" applyFill="1" applyBorder="1" applyAlignment="1" applyProtection="1">
      <alignment horizontal="center" vertical="center"/>
    </xf>
    <xf numFmtId="0" fontId="2" fillId="11" borderId="116" xfId="0" applyFont="1" applyFill="1" applyBorder="1" applyAlignment="1" applyProtection="1">
      <alignment horizontal="center" vertical="center"/>
    </xf>
    <xf numFmtId="0" fontId="2" fillId="11" borderId="107" xfId="0" applyFont="1" applyFill="1" applyBorder="1" applyAlignment="1" applyProtection="1">
      <alignment horizontal="center" vertical="center"/>
    </xf>
    <xf numFmtId="0" fontId="2" fillId="11" borderId="108" xfId="0" applyFont="1" applyFill="1" applyBorder="1" applyAlignment="1" applyProtection="1">
      <alignment horizontal="center" vertical="center"/>
    </xf>
    <xf numFmtId="0" fontId="2" fillId="11" borderId="109" xfId="0" applyFont="1" applyFill="1" applyBorder="1" applyAlignment="1" applyProtection="1">
      <alignment horizontal="center" vertical="center"/>
    </xf>
    <xf numFmtId="181" fontId="2" fillId="11" borderId="0" xfId="0" applyNumberFormat="1" applyFont="1" applyFill="1">
      <alignment vertical="center"/>
    </xf>
    <xf numFmtId="182" fontId="2" fillId="11" borderId="0" xfId="0" applyNumberFormat="1" applyFont="1" applyFill="1">
      <alignment vertical="center"/>
    </xf>
    <xf numFmtId="0" fontId="2" fillId="11" borderId="97" xfId="0" applyFont="1" applyFill="1" applyBorder="1">
      <alignment vertical="center"/>
    </xf>
    <xf numFmtId="182" fontId="2" fillId="11" borderId="117" xfId="0" applyNumberFormat="1" applyFont="1" applyFill="1" applyBorder="1" applyAlignment="1">
      <alignment horizontal="center" vertical="center"/>
    </xf>
    <xf numFmtId="181" fontId="2" fillId="11" borderId="104" xfId="0" applyNumberFormat="1" applyFont="1" applyFill="1" applyBorder="1" applyAlignment="1" applyProtection="1">
      <alignment horizontal="center" vertical="center"/>
    </xf>
    <xf numFmtId="182" fontId="2" fillId="11" borderId="118" xfId="0" applyNumberFormat="1" applyFont="1" applyFill="1" applyBorder="1" applyAlignment="1" applyProtection="1">
      <alignment horizontal="center" vertical="center"/>
    </xf>
    <xf numFmtId="0" fontId="2" fillId="11" borderId="119" xfId="0" applyFont="1" applyFill="1" applyBorder="1" applyAlignment="1" applyProtection="1">
      <alignment horizontal="center" vertical="center"/>
    </xf>
    <xf numFmtId="0" fontId="2" fillId="11" borderId="117" xfId="0" applyFont="1" applyFill="1" applyBorder="1" applyAlignment="1" applyProtection="1">
      <alignment horizontal="center" vertical="center"/>
    </xf>
    <xf numFmtId="181" fontId="2" fillId="11" borderId="106" xfId="0" applyNumberFormat="1" applyFont="1" applyFill="1" applyBorder="1" applyAlignment="1" applyProtection="1">
      <alignment horizontal="center" vertical="center"/>
    </xf>
    <xf numFmtId="182" fontId="2" fillId="11" borderId="2" xfId="0" applyNumberFormat="1" applyFont="1" applyFill="1" applyBorder="1" applyAlignment="1" applyProtection="1">
      <alignment horizontal="center" vertical="center"/>
    </xf>
    <xf numFmtId="0" fontId="2" fillId="11" borderId="35" xfId="0" applyFont="1" applyFill="1" applyBorder="1" applyAlignment="1" applyProtection="1">
      <alignment horizontal="center" vertical="center"/>
    </xf>
    <xf numFmtId="0" fontId="2" fillId="11" borderId="38" xfId="0" applyFont="1" applyFill="1" applyBorder="1" applyAlignment="1">
      <alignment horizontal="center" vertical="center"/>
    </xf>
    <xf numFmtId="181" fontId="2" fillId="11" borderId="120" xfId="0" applyNumberFormat="1" applyFont="1" applyFill="1" applyBorder="1" applyAlignment="1" applyProtection="1">
      <alignment horizontal="center" vertical="center"/>
    </xf>
    <xf numFmtId="182" fontId="2" fillId="11" borderId="51" xfId="0" applyNumberFormat="1" applyFont="1" applyFill="1" applyBorder="1" applyAlignment="1" applyProtection="1">
      <alignment horizontal="center" vertical="center"/>
    </xf>
    <xf numFmtId="0" fontId="2" fillId="11" borderId="39" xfId="0" applyFont="1" applyFill="1" applyBorder="1" applyAlignment="1">
      <alignment horizontal="center" vertical="center"/>
    </xf>
    <xf numFmtId="0" fontId="2" fillId="11" borderId="117" xfId="0" applyFont="1" applyFill="1" applyBorder="1">
      <alignment vertical="center"/>
    </xf>
    <xf numFmtId="181" fontId="2" fillId="11" borderId="121" xfId="0" applyNumberFormat="1" applyFont="1" applyFill="1" applyBorder="1" applyAlignment="1" applyProtection="1">
      <alignment horizontal="center" vertical="center"/>
    </xf>
    <xf numFmtId="182" fontId="2" fillId="11" borderId="60" xfId="0" applyNumberFormat="1" applyFont="1" applyFill="1" applyBorder="1" applyAlignment="1" applyProtection="1">
      <alignment horizontal="center" vertical="center"/>
    </xf>
    <xf numFmtId="0" fontId="2" fillId="11" borderId="38" xfId="0" applyFont="1" applyFill="1" applyBorder="1" applyAlignment="1" applyProtection="1">
      <alignment horizontal="center" vertical="center"/>
    </xf>
    <xf numFmtId="181" fontId="2" fillId="11" borderId="122" xfId="0" applyNumberFormat="1" applyFont="1" applyFill="1" applyBorder="1" applyAlignment="1">
      <alignment horizontal="center" vertical="center"/>
    </xf>
    <xf numFmtId="1" fontId="2" fillId="11" borderId="28" xfId="0" applyNumberFormat="1" applyFont="1" applyFill="1" applyBorder="1" applyAlignment="1">
      <alignment horizontal="center" vertical="center"/>
    </xf>
    <xf numFmtId="182" fontId="2" fillId="11" borderId="120" xfId="0" applyNumberFormat="1" applyFont="1" applyFill="1" applyBorder="1" applyAlignment="1">
      <alignment horizontal="center" vertical="center"/>
    </xf>
    <xf numFmtId="181" fontId="2" fillId="11" borderId="123" xfId="0" applyNumberFormat="1" applyFont="1" applyFill="1" applyBorder="1" applyAlignment="1">
      <alignment horizontal="center" vertical="center"/>
    </xf>
    <xf numFmtId="182" fontId="2" fillId="11" borderId="40" xfId="0" applyNumberFormat="1" applyFont="1" applyFill="1" applyBorder="1" applyAlignment="1">
      <alignment horizontal="center" vertical="center"/>
    </xf>
    <xf numFmtId="1" fontId="2" fillId="11" borderId="40" xfId="0" applyNumberFormat="1" applyFont="1" applyFill="1" applyBorder="1" applyAlignment="1">
      <alignment horizontal="center" vertical="center"/>
    </xf>
    <xf numFmtId="0" fontId="2" fillId="11" borderId="124" xfId="0" applyFont="1" applyFill="1" applyBorder="1">
      <alignment vertical="center"/>
    </xf>
    <xf numFmtId="0" fontId="2" fillId="11" borderId="125" xfId="0" applyFont="1" applyFill="1" applyBorder="1">
      <alignment vertical="center"/>
    </xf>
    <xf numFmtId="0" fontId="2" fillId="11" borderId="124" xfId="0" applyFont="1" applyFill="1" applyBorder="1" applyAlignment="1">
      <alignment horizontal="center" vertical="center"/>
    </xf>
    <xf numFmtId="181" fontId="2" fillId="11" borderId="106" xfId="0" applyNumberFormat="1" applyFont="1" applyFill="1" applyBorder="1" applyAlignment="1">
      <alignment horizontal="center" vertical="center"/>
    </xf>
    <xf numFmtId="182" fontId="2" fillId="11" borderId="1" xfId="0" applyNumberFormat="1" applyFont="1" applyFill="1" applyBorder="1" applyAlignment="1">
      <alignment horizontal="center" vertical="center"/>
    </xf>
    <xf numFmtId="1" fontId="2" fillId="11" borderId="1" xfId="0" applyNumberFormat="1" applyFont="1" applyFill="1" applyBorder="1" applyAlignment="1">
      <alignment horizontal="center" vertical="center"/>
    </xf>
    <xf numFmtId="0" fontId="2" fillId="11" borderId="126" xfId="0" applyFont="1" applyFill="1" applyBorder="1" applyAlignment="1">
      <alignment horizontal="center" vertical="center"/>
    </xf>
    <xf numFmtId="0" fontId="2" fillId="11" borderId="127" xfId="0" applyFont="1" applyFill="1" applyBorder="1" applyAlignment="1">
      <alignment horizontal="center" vertical="center"/>
    </xf>
    <xf numFmtId="1" fontId="2" fillId="11" borderId="106" xfId="0" applyNumberFormat="1" applyFont="1" applyFill="1" applyBorder="1" applyAlignment="1">
      <alignment horizontal="center" vertical="center"/>
    </xf>
    <xf numFmtId="1" fontId="2" fillId="11" borderId="121" xfId="0" applyNumberFormat="1" applyFont="1" applyFill="1" applyBorder="1" applyAlignment="1">
      <alignment horizontal="center" vertical="center"/>
    </xf>
    <xf numFmtId="182" fontId="2" fillId="11" borderId="30" xfId="0" applyNumberFormat="1" applyFont="1" applyFill="1" applyBorder="1" applyAlignment="1">
      <alignment horizontal="center" vertical="center"/>
    </xf>
    <xf numFmtId="1" fontId="2" fillId="11" borderId="30" xfId="0" applyNumberFormat="1" applyFont="1" applyFill="1" applyBorder="1" applyAlignment="1">
      <alignment horizontal="center" vertical="center"/>
    </xf>
    <xf numFmtId="181" fontId="2" fillId="11" borderId="98" xfId="0" applyNumberFormat="1" applyFont="1" applyFill="1" applyBorder="1" applyAlignment="1">
      <alignment horizontal="center" vertical="center"/>
    </xf>
    <xf numFmtId="1" fontId="2" fillId="11" borderId="123" xfId="0" applyNumberFormat="1" applyFont="1" applyFill="1" applyBorder="1" applyAlignment="1">
      <alignment horizontal="center" vertical="center"/>
    </xf>
    <xf numFmtId="0" fontId="2" fillId="11" borderId="40" xfId="0" applyFont="1" applyFill="1" applyBorder="1" applyAlignment="1">
      <alignment horizontal="center" vertical="center"/>
    </xf>
    <xf numFmtId="0" fontId="2" fillId="11" borderId="123" xfId="0" applyFont="1" applyFill="1" applyBorder="1" applyAlignment="1">
      <alignment horizontal="center" vertical="center"/>
    </xf>
    <xf numFmtId="0" fontId="2" fillId="11" borderId="128" xfId="0" applyFont="1" applyFill="1" applyBorder="1" applyAlignment="1">
      <alignment horizontal="center" vertical="center"/>
    </xf>
    <xf numFmtId="0" fontId="2" fillId="11" borderId="129" xfId="0" applyFont="1" applyFill="1" applyBorder="1" applyAlignment="1">
      <alignment horizontal="center" vertical="center"/>
    </xf>
    <xf numFmtId="0" fontId="2" fillId="11" borderId="115" xfId="0" applyFont="1" applyFill="1" applyBorder="1" applyAlignment="1">
      <alignment horizontal="center" vertical="center"/>
    </xf>
    <xf numFmtId="0" fontId="2" fillId="11" borderId="116" xfId="0" applyFont="1" applyFill="1" applyBorder="1" applyAlignment="1">
      <alignment horizontal="center" vertical="center"/>
    </xf>
    <xf numFmtId="0" fontId="2" fillId="11" borderId="130" xfId="0" applyFont="1" applyFill="1" applyBorder="1" applyAlignment="1">
      <alignment horizontal="center" vertical="center"/>
    </xf>
    <xf numFmtId="0" fontId="2" fillId="11" borderId="131" xfId="0" applyFont="1" applyFill="1" applyBorder="1" applyAlignment="1">
      <alignment horizontal="center" vertical="center"/>
    </xf>
    <xf numFmtId="0" fontId="2" fillId="11" borderId="109" xfId="0" applyFont="1" applyFill="1" applyBorder="1" applyAlignment="1">
      <alignment horizontal="center" vertical="center"/>
    </xf>
    <xf numFmtId="182" fontId="2" fillId="11" borderId="114" xfId="0" applyNumberFormat="1" applyFont="1" applyFill="1" applyBorder="1" applyAlignment="1">
      <alignment horizontal="center" vertical="center"/>
    </xf>
    <xf numFmtId="181" fontId="2" fillId="11" borderId="103" xfId="0" applyNumberFormat="1" applyFont="1" applyFill="1" applyBorder="1" applyAlignment="1">
      <alignment horizontal="center" vertical="center"/>
    </xf>
    <xf numFmtId="182" fontId="2" fillId="11" borderId="103" xfId="0" applyNumberFormat="1" applyFont="1" applyFill="1" applyBorder="1" applyAlignment="1">
      <alignment horizontal="center" vertical="center"/>
    </xf>
    <xf numFmtId="0" fontId="2" fillId="11" borderId="103" xfId="0" applyFont="1" applyFill="1" applyBorder="1" applyAlignment="1">
      <alignment horizontal="center" vertical="center"/>
    </xf>
    <xf numFmtId="0" fontId="2" fillId="11" borderId="132" xfId="0" applyFont="1" applyFill="1" applyBorder="1" applyAlignment="1">
      <alignment horizontal="center" vertical="center"/>
    </xf>
    <xf numFmtId="0" fontId="2" fillId="11" borderId="97" xfId="0" applyFont="1" applyFill="1" applyBorder="1" applyAlignment="1">
      <alignment horizontal="center" vertical="center"/>
    </xf>
    <xf numFmtId="181" fontId="2" fillId="11" borderId="1" xfId="0" applyNumberFormat="1" applyFont="1" applyFill="1" applyBorder="1" applyAlignment="1" applyProtection="1">
      <alignment horizontal="center" vertical="center"/>
    </xf>
    <xf numFmtId="182" fontId="2" fillId="11" borderId="1" xfId="0" applyNumberFormat="1" applyFont="1" applyFill="1" applyBorder="1" applyAlignment="1" applyProtection="1">
      <alignment horizontal="center" vertical="center"/>
    </xf>
    <xf numFmtId="0" fontId="2" fillId="11" borderId="1" xfId="0" applyFont="1" applyFill="1" applyBorder="1" applyAlignment="1" applyProtection="1">
      <alignment horizontal="center" vertical="center"/>
    </xf>
    <xf numFmtId="0" fontId="2" fillId="11" borderId="51" xfId="0" applyFont="1" applyFill="1" applyBorder="1" applyAlignment="1" applyProtection="1">
      <alignment horizontal="center" vertical="center"/>
    </xf>
    <xf numFmtId="181" fontId="2" fillId="11" borderId="30" xfId="0" applyNumberFormat="1" applyFont="1" applyFill="1" applyBorder="1" applyAlignment="1" applyProtection="1">
      <alignment horizontal="center" vertical="center"/>
    </xf>
    <xf numFmtId="182" fontId="2" fillId="11" borderId="30" xfId="0" applyNumberFormat="1" applyFont="1" applyFill="1" applyBorder="1" applyAlignment="1" applyProtection="1">
      <alignment horizontal="center" vertical="center"/>
    </xf>
    <xf numFmtId="0" fontId="2" fillId="11" borderId="30" xfId="0" applyFont="1" applyFill="1" applyBorder="1" applyAlignment="1" applyProtection="1">
      <alignment horizontal="center" vertical="center"/>
    </xf>
    <xf numFmtId="0" fontId="2" fillId="11" borderId="60" xfId="0" applyFont="1" applyFill="1" applyBorder="1" applyAlignment="1" applyProtection="1">
      <alignment horizontal="center" vertical="center"/>
    </xf>
    <xf numFmtId="181" fontId="2" fillId="11" borderId="40" xfId="0" applyNumberFormat="1" applyFont="1" applyFill="1" applyBorder="1" applyAlignment="1">
      <alignment horizontal="center" vertical="center"/>
    </xf>
    <xf numFmtId="0" fontId="2" fillId="11" borderId="40" xfId="0" applyNumberFormat="1" applyFont="1" applyFill="1" applyBorder="1" applyAlignment="1">
      <alignment horizontal="center" vertical="center"/>
    </xf>
    <xf numFmtId="181" fontId="2" fillId="11" borderId="50" xfId="0" applyNumberFormat="1" applyFont="1" applyFill="1" applyBorder="1" applyAlignment="1">
      <alignment horizontal="center" vertical="center"/>
    </xf>
    <xf numFmtId="0" fontId="2" fillId="11" borderId="1" xfId="0" applyNumberFormat="1" applyFont="1" applyFill="1" applyBorder="1" applyAlignment="1" applyProtection="1">
      <alignment horizontal="center" vertical="center"/>
    </xf>
    <xf numFmtId="0" fontId="2" fillId="11" borderId="30" xfId="0" applyNumberFormat="1" applyFont="1" applyFill="1" applyBorder="1" applyAlignment="1" applyProtection="1">
      <alignment horizontal="center" vertical="center"/>
    </xf>
    <xf numFmtId="181" fontId="2" fillId="11" borderId="28" xfId="0" applyNumberFormat="1" applyFont="1" applyFill="1" applyBorder="1" applyAlignment="1">
      <alignment horizontal="center" vertical="center"/>
    </xf>
    <xf numFmtId="0" fontId="2" fillId="11" borderId="50" xfId="0" applyFont="1" applyFill="1" applyBorder="1" applyAlignment="1">
      <alignment horizontal="center" vertical="center"/>
    </xf>
    <xf numFmtId="182" fontId="2" fillId="11" borderId="39" xfId="0" applyNumberFormat="1" applyFont="1" applyFill="1" applyBorder="1" applyAlignment="1">
      <alignment horizontal="center" vertical="center"/>
    </xf>
    <xf numFmtId="182" fontId="2" fillId="11" borderId="50" xfId="0" applyNumberFormat="1" applyFont="1" applyFill="1" applyBorder="1" applyAlignment="1">
      <alignment horizontal="center" vertical="center"/>
    </xf>
    <xf numFmtId="181" fontId="2" fillId="11" borderId="1" xfId="0" applyNumberFormat="1" applyFont="1" applyFill="1" applyBorder="1" applyAlignment="1">
      <alignment horizontal="center" vertical="center"/>
    </xf>
    <xf numFmtId="0" fontId="2" fillId="11" borderId="21" xfId="0" applyFont="1" applyFill="1" applyBorder="1" applyAlignment="1">
      <alignment horizontal="center" vertical="center"/>
    </xf>
    <xf numFmtId="181" fontId="2" fillId="11" borderId="64" xfId="0" applyNumberFormat="1" applyFont="1" applyFill="1" applyBorder="1" applyAlignment="1">
      <alignment horizontal="center" vertical="center"/>
    </xf>
    <xf numFmtId="182" fontId="2" fillId="11" borderId="35" xfId="0" applyNumberFormat="1" applyFont="1" applyFill="1" applyBorder="1" applyAlignment="1">
      <alignment horizontal="center" vertical="center"/>
    </xf>
    <xf numFmtId="181" fontId="2" fillId="11" borderId="2" xfId="0" applyNumberFormat="1" applyFont="1" applyFill="1" applyBorder="1" applyAlignment="1">
      <alignment horizontal="center" vertical="center"/>
    </xf>
    <xf numFmtId="0" fontId="2" fillId="11" borderId="42" xfId="0" applyFont="1" applyFill="1" applyBorder="1" applyAlignment="1">
      <alignment horizontal="center" vertical="center"/>
    </xf>
    <xf numFmtId="0" fontId="2" fillId="11" borderId="35" xfId="0" applyFont="1" applyFill="1" applyBorder="1" applyAlignment="1">
      <alignment horizontal="center" vertical="center"/>
    </xf>
    <xf numFmtId="181" fontId="2" fillId="11" borderId="30" xfId="0" applyNumberFormat="1" applyFont="1" applyFill="1" applyBorder="1" applyAlignment="1">
      <alignment horizontal="center" vertical="center"/>
    </xf>
    <xf numFmtId="0" fontId="2" fillId="11" borderId="26" xfId="0" applyFont="1" applyFill="1" applyBorder="1" applyAlignment="1">
      <alignment horizontal="center" vertical="center"/>
    </xf>
    <xf numFmtId="0" fontId="2" fillId="11" borderId="57" xfId="0" applyFont="1" applyFill="1" applyBorder="1" applyAlignment="1">
      <alignment horizontal="center" vertical="center"/>
    </xf>
    <xf numFmtId="182" fontId="2" fillId="11" borderId="38" xfId="0" applyNumberFormat="1" applyFont="1" applyFill="1" applyBorder="1" applyAlignment="1">
      <alignment horizontal="center" vertical="center"/>
    </xf>
    <xf numFmtId="0" fontId="2" fillId="11" borderId="64" xfId="0" applyFont="1" applyFill="1" applyBorder="1" applyAlignment="1">
      <alignment horizontal="center" vertical="center"/>
    </xf>
    <xf numFmtId="181" fontId="2" fillId="11" borderId="114" xfId="0" applyNumberFormat="1" applyFont="1" applyFill="1" applyBorder="1" applyAlignment="1">
      <alignment horizontal="center" vertical="center"/>
    </xf>
    <xf numFmtId="0" fontId="2" fillId="11" borderId="108" xfId="0" applyFont="1" applyFill="1" applyBorder="1" applyAlignment="1">
      <alignment horizontal="center" vertical="center"/>
    </xf>
    <xf numFmtId="0" fontId="2" fillId="11" borderId="133" xfId="0" applyFont="1" applyFill="1" applyBorder="1" applyAlignment="1">
      <alignment horizontal="center" vertical="center"/>
    </xf>
    <xf numFmtId="0" fontId="2" fillId="11" borderId="134" xfId="0" applyFont="1" applyFill="1" applyBorder="1" applyAlignment="1">
      <alignment horizontal="center" vertical="center"/>
    </xf>
    <xf numFmtId="0" fontId="2" fillId="11" borderId="135" xfId="0" applyFont="1" applyFill="1" applyBorder="1" applyAlignment="1">
      <alignment horizontal="center" vertical="center"/>
    </xf>
    <xf numFmtId="0" fontId="2" fillId="11" borderId="136" xfId="0" applyFont="1" applyFill="1" applyBorder="1">
      <alignment vertical="center"/>
    </xf>
    <xf numFmtId="0" fontId="2" fillId="11" borderId="77" xfId="0" applyFont="1" applyFill="1" applyBorder="1" applyAlignment="1">
      <alignment horizontal="center" vertical="center"/>
    </xf>
    <xf numFmtId="0" fontId="2" fillId="11" borderId="74" xfId="0" applyFont="1" applyFill="1" applyBorder="1" applyAlignment="1">
      <alignment horizontal="center" vertical="center"/>
    </xf>
    <xf numFmtId="0" fontId="2" fillId="11" borderId="75" xfId="0" applyFont="1" applyFill="1" applyBorder="1" applyAlignment="1">
      <alignment horizontal="center" vertical="center"/>
    </xf>
    <xf numFmtId="0" fontId="2" fillId="11" borderId="137" xfId="0" applyFont="1" applyFill="1" applyBorder="1" applyAlignment="1">
      <alignment horizontal="center" vertical="center"/>
    </xf>
    <xf numFmtId="0" fontId="2" fillId="11" borderId="120" xfId="0" applyFont="1" applyFill="1" applyBorder="1">
      <alignment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  <cellStyle name="常规 4" xfId="51"/>
    <cellStyle name="常规 5" xfId="52"/>
  </cellStyles>
  <dxfs count="59">
    <dxf>
      <font>
        <b val="0"/>
        <i val="0"/>
        <color indexed="13"/>
      </font>
      <fill>
        <patternFill patternType="solid">
          <fgColor indexed="10"/>
          <bgColor indexed="17"/>
        </patternFill>
      </fill>
    </dxf>
    <dxf>
      <font>
        <b val="0"/>
        <i val="0"/>
        <color indexed="9"/>
      </font>
      <fill>
        <patternFill patternType="solid">
          <fgColor indexed="10"/>
          <bgColor indexed="10"/>
        </patternFill>
      </fill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42"/>
      </font>
    </dxf>
    <dxf>
      <font>
        <b val="0"/>
        <i val="0"/>
        <color indexed="42"/>
      </font>
    </dxf>
    <dxf>
      <font>
        <b val="0"/>
        <i val="0"/>
        <color indexed="42"/>
      </font>
    </dxf>
    <dxf>
      <font>
        <b val="0"/>
        <i val="0"/>
        <color indexed="10"/>
      </font>
    </dxf>
    <dxf>
      <font>
        <name val="宋体"/>
        <b val="0"/>
        <i val="0"/>
        <color indexed="58"/>
      </font>
    </dxf>
    <dxf>
      <font>
        <b val="0"/>
        <i val="0"/>
        <color indexed="58"/>
      </font>
    </dxf>
    <dxf>
      <font>
        <b val="0"/>
        <i val="0"/>
        <color indexed="10"/>
      </font>
    </dxf>
    <dxf>
      <font>
        <b val="0"/>
        <i val="0"/>
        <color indexed="58"/>
      </font>
    </dxf>
    <dxf>
      <font>
        <b val="0"/>
        <i val="0"/>
        <color indexed="10"/>
      </font>
    </dxf>
    <dxf>
      <font>
        <b val="0"/>
        <i val="0"/>
        <color indexed="58"/>
      </font>
    </dxf>
    <dxf>
      <font>
        <b val="0"/>
        <i val="0"/>
        <color indexed="10"/>
      </font>
    </dxf>
    <dxf>
      <font>
        <b val="0"/>
        <i val="0"/>
        <color indexed="58"/>
      </font>
    </dxf>
    <dxf>
      <font>
        <b val="0"/>
        <i val="0"/>
        <color indexed="10"/>
      </font>
    </dxf>
    <dxf>
      <font>
        <b val="0"/>
        <i val="0"/>
        <color indexed="58"/>
      </font>
    </dxf>
    <dxf>
      <font>
        <b val="0"/>
        <i val="0"/>
        <color indexed="10"/>
      </font>
    </dxf>
    <dxf>
      <font>
        <b val="0"/>
        <i val="0"/>
        <color indexed="58"/>
      </font>
    </dxf>
    <dxf>
      <font>
        <b val="0"/>
        <i val="0"/>
        <color indexed="10"/>
      </font>
    </dxf>
    <dxf>
      <font>
        <b val="0"/>
        <i val="0"/>
        <color indexed="58"/>
      </font>
    </dxf>
    <dxf>
      <font>
        <b val="0"/>
        <i val="0"/>
        <color indexed="10"/>
      </font>
    </dxf>
    <dxf>
      <font>
        <b val="0"/>
        <i val="0"/>
        <color indexed="42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21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</dxfs>
  <colors>
    <mruColors>
      <color rgb="00CCFFCC"/>
      <color rgb="00008000"/>
      <color rgb="00003366"/>
      <color rgb="00FFCC00"/>
      <color rgb="00FFFF99"/>
    </mru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ctrlProps/ctrlProp1.xml><?xml version="1.0" encoding="utf-8"?>
<formControlPr xmlns="http://schemas.microsoft.com/office/spreadsheetml/2009/9/main" objectType="Spin" dx="16" fmlaLink="A$17" max="8" min="5" noThreeD="1" page="10" val="8"/>
</file>

<file path=xl/ctrlProps/ctrlProp2.xml><?xml version="1.0" encoding="utf-8"?>
<formControlPr xmlns="http://schemas.microsoft.com/office/spreadsheetml/2009/9/main" objectType="Spin" dx="16" fmlaLink="$C$10" inc="3" max="999" noThreeD="1" page="10" val="609"/>
</file>

<file path=xl/ctrlProps/ctrlProp3.xml><?xml version="1.0" encoding="utf-8"?>
<formControlPr xmlns="http://schemas.microsoft.com/office/spreadsheetml/2009/9/main" objectType="Spin" dx="16" fmlaLink="$C$13" inc="3" max="999" noThreeD="1" page="10" val="600"/>
</file>

<file path=xl/ctrlProps/ctrlProp4.xml><?xml version="1.0" encoding="utf-8"?>
<formControlPr xmlns="http://schemas.microsoft.com/office/spreadsheetml/2009/9/main" objectType="Spin" dx="16" fmlaLink="$C$17" inc="3" max="999" noThreeD="1" page="10" val="0"/>
</file>

<file path=xl/ctrlProps/ctrlProp5.xml><?xml version="1.0" encoding="utf-8"?>
<formControlPr xmlns="http://schemas.microsoft.com/office/spreadsheetml/2009/9/main" objectType="Spin" dx="16" fmlaLink="$C$7" max="999" min="1" noThreeD="1" page="10" val="180"/>
</file>

<file path=xl/ctrlProps/ctrlProp6.xml><?xml version="1.0" encoding="utf-8"?>
<formControlPr xmlns="http://schemas.microsoft.com/office/spreadsheetml/2009/9/main" objectType="List" dropLines="49244" dx="22" fmlaLink="$A$19" fmlaRange="总队伍" max="4" page="32" sel="6" val="4"/>
</file>

<file path=xl/ctrlProps/ctrlProp7.xml><?xml version="1.0" encoding="utf-8"?>
<formControlPr xmlns="http://schemas.microsoft.com/office/spreadsheetml/2009/9/main" objectType="Spin" dx="16" fmlaLink="$C$10" inc="15" max="999" noThreeD="1" page="10" val="609"/>
</file>

<file path=xl/ctrlProps/ctrlProp8.xml><?xml version="1.0" encoding="utf-8"?>
<formControlPr xmlns="http://schemas.microsoft.com/office/spreadsheetml/2009/9/main" objectType="Spin" dx="16" fmlaLink="$C$13" inc="15" max="999" noThreeD="1" page="10" val="600"/>
</file>

<file path=xl/ctrlProps/ctrlProp9.xml><?xml version="1.0" encoding="utf-8"?>
<formControlPr xmlns="http://schemas.microsoft.com/office/spreadsheetml/2009/9/main" objectType="Spin" dx="16" fmlaLink="$C$17" inc="15" max="999" noThreeD="1" page="10" val="0"/>
</file>

<file path=xl/ctrlProps/ctrlProp10.xml><?xml version="1.0" encoding="utf-8"?>
<formControlPr xmlns="http://schemas.microsoft.com/office/spreadsheetml/2009/9/main" objectType="Spin" dx="16" fmlaLink="$C$17" inc="3" max="999" noThreeD="1" page="10" val="0"/>
</file>

<file path=xl/ctrlProps/ctrlProp11.xml><?xml version="1.0" encoding="utf-8"?>
<formControlPr xmlns="http://schemas.microsoft.com/office/spreadsheetml/2009/9/main" objectType="Spin" dx="16" fmlaLink="$C$17" inc="15" max="999" noThreeD="1" page="10" val="0"/>
</file>

<file path=xl/ctrlProps/ctrlProp12.xml><?xml version="1.0" encoding="utf-8"?>
<formControlPr xmlns="http://schemas.microsoft.com/office/spreadsheetml/2009/9/main" objectType="Spin" dx="16" fmlaLink="$C$17" inc="3" max="999" noThreeD="1" page="10" val="0"/>
</file>

<file path=xl/ctrlProps/ctrlProp13.xml><?xml version="1.0" encoding="utf-8"?>
<formControlPr xmlns="http://schemas.microsoft.com/office/spreadsheetml/2009/9/main" objectType="Spin" dx="16" fmlaLink="$C$17" inc="15" max="999" noThreeD="1" page="10" val="0"/>
</file>

<file path=xl/ctrlProps/ctrlProp14.xml><?xml version="1.0" encoding="utf-8"?>
<formControlPr xmlns="http://schemas.microsoft.com/office/spreadsheetml/2009/9/main" objectType="Spin" dx="16" fmlaLink="$C$19" inc="3" max="999" noThreeD="1" page="10" val="0"/>
</file>

<file path=xl/ctrlProps/ctrlProp15.xml><?xml version="1.0" encoding="utf-8"?>
<formControlPr xmlns="http://schemas.microsoft.com/office/spreadsheetml/2009/9/main" objectType="Spin" dx="16" fmlaLink="$C$19" inc="15" max="999" noThreeD="1" page="10" val="0"/>
</file>

<file path=xl/ctrlProps/ctrlProp16.xml><?xml version="1.0" encoding="utf-8"?>
<formControlPr xmlns="http://schemas.microsoft.com/office/spreadsheetml/2009/9/main" objectType="Spin" dx="16" fmlaLink="$C$17" inc="3" max="999" noThreeD="1" page="10" val="0"/>
</file>

<file path=xl/ctrlProps/ctrlProp17.xml><?xml version="1.0" encoding="utf-8"?>
<formControlPr xmlns="http://schemas.microsoft.com/office/spreadsheetml/2009/9/main" objectType="Spin" dx="16" fmlaLink="$C$17" inc="15" max="999" noThreeD="1" page="10" val="0"/>
</file>

<file path=xl/ctrlProps/ctrlProp18.xml><?xml version="1.0" encoding="utf-8"?>
<formControlPr xmlns="http://schemas.microsoft.com/office/spreadsheetml/2009/9/main" objectType="Spin" dx="16" fmlaLink="$C$16" inc="3" max="999" noThreeD="1" page="10" val="0"/>
</file>

<file path=xl/ctrlProps/ctrlProp19.xml><?xml version="1.0" encoding="utf-8"?>
<formControlPr xmlns="http://schemas.microsoft.com/office/spreadsheetml/2009/9/main" objectType="Spin" dx="16" fmlaLink="$C$16" inc="15" max="999" noThreeD="1" page="10" val="0"/>
</file>

<file path=xl/ctrlProps/ctrlProp20.xml><?xml version="1.0" encoding="utf-8"?>
<formControlPr xmlns="http://schemas.microsoft.com/office/spreadsheetml/2009/9/main" objectType="Radio" checked="Checked" firstButton="1" fmlaLink="$A$16" noThreeD="1" val="0"/>
</file>

<file path=xl/ctrlProps/ctrlProp21.xml><?xml version="1.0" encoding="utf-8"?>
<formControlPr xmlns="http://schemas.microsoft.com/office/spreadsheetml/2009/9/main" objectType="Radio" noThreeD="1" val="0"/>
</file>

<file path=xl/ctrlProps/ctrlProp22.xml><?xml version="1.0" encoding="utf-8"?>
<formControlPr xmlns="http://schemas.microsoft.com/office/spreadsheetml/2009/9/main" objectType="List" dropLines="49244" dx="22" fmlaLink="$A$31" fmlaRange="弟子基础属性!$C$3:$C$67" max="39" page="18" sel="18" val="10"/>
</file>

<file path=xl/ctrlProps/ctrlProp23.xml><?xml version="1.0" encoding="utf-8"?>
<formControlPr xmlns="http://schemas.microsoft.com/office/spreadsheetml/2009/9/main" objectType="Spin" dx="16" fmlaLink="$I$14" max="999" min="1" page="10" val="171"/>
</file>

<file path=xl/ctrlProps/ctrlProp24.xml><?xml version="1.0" encoding="utf-8"?>
<formControlPr xmlns="http://schemas.microsoft.com/office/spreadsheetml/2009/9/main" objectType="Spin" dx="16" fmlaLink="$G$18" max="999" min="1" page="10" val="240"/>
</file>

<file path=xl/ctrlProps/ctrlProp25.xml><?xml version="1.0" encoding="utf-8"?>
<formControlPr xmlns="http://schemas.microsoft.com/office/spreadsheetml/2009/9/main" objectType="Spin" dx="16" fmlaLink="$I$18" max="999" min="1" page="10" val="250"/>
</file>

<file path=xl/ctrlProps/ctrlProp26.xml><?xml version="1.0" encoding="utf-8"?>
<formControlPr xmlns="http://schemas.microsoft.com/office/spreadsheetml/2009/9/main" objectType="List" dropLines="49244" dx="22" fmlaLink="$S$13" fmlaRange="弟子基础属性!$C$3:$C$67" max="54" noThreeD="1" page="9" sel="41" val="54"/>
</file>

<file path=xl/ctrlProps/ctrlProp27.xml><?xml version="1.0" encoding="utf-8"?>
<formControlPr xmlns="http://schemas.microsoft.com/office/spreadsheetml/2009/9/main" objectType="List" dropLines="49244" dx="22" fmlaLink="$B$48" fmlaRange="弟子基础属性!$C$3:$C$48" max="29" page="12" sel="33" val="28"/>
</file>

<file path=xl/ctrlProps/ctrlProp28.xml><?xml version="1.0" encoding="utf-8"?>
<formControlPr xmlns="http://schemas.microsoft.com/office/spreadsheetml/2009/9/main" objectType="Spin" dx="16" fmlaLink="$V$2" max="999" min="1" noThreeD="1" page="10" val="100"/>
</file>

<file path=xl/ctrlProps/ctrlProp29.xml><?xml version="1.0" encoding="utf-8"?>
<formControlPr xmlns="http://schemas.microsoft.com/office/spreadsheetml/2009/9/main" objectType="Spin" dx="16" fmlaLink="$S$2" max="999" min="1" noThreeD="1" page="10" val="100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2</xdr:row>
          <xdr:rowOff>9525</xdr:rowOff>
        </xdr:from>
        <xdr:to>
          <xdr:col>3</xdr:col>
          <xdr:colOff>619125</xdr:colOff>
          <xdr:row>3</xdr:row>
          <xdr:rowOff>180975</xdr:rowOff>
        </xdr:to>
        <xdr:sp>
          <xdr:nvSpPr>
            <xdr:cNvPr id="25606" name="Spinner 1030" hidden="1">
              <a:extLst>
                <a:ext uri="{63B3BB69-23CF-44E3-9099-C40C66FF867C}">
                  <a14:compatExt spid="_x0000_s25606"/>
                </a:ext>
              </a:extLst>
            </xdr:cNvPr>
            <xdr:cNvSpPr/>
          </xdr:nvSpPr>
          <xdr:spPr>
            <a:xfrm>
              <a:off x="1647825" y="314325"/>
              <a:ext cx="609600" cy="36195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8</xdr:row>
          <xdr:rowOff>9525</xdr:rowOff>
        </xdr:from>
        <xdr:to>
          <xdr:col>3</xdr:col>
          <xdr:colOff>314325</xdr:colOff>
          <xdr:row>10</xdr:row>
          <xdr:rowOff>0</xdr:rowOff>
        </xdr:to>
        <xdr:sp>
          <xdr:nvSpPr>
            <xdr:cNvPr id="25607" name="Spinner 1031" hidden="1">
              <a:extLst>
                <a:ext uri="{63B3BB69-23CF-44E3-9099-C40C66FF867C}">
                  <a14:compatExt spid="_x0000_s25607"/>
                </a:ext>
              </a:extLst>
            </xdr:cNvPr>
            <xdr:cNvSpPr/>
          </xdr:nvSpPr>
          <xdr:spPr>
            <a:xfrm>
              <a:off x="1647825" y="138112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11</xdr:row>
          <xdr:rowOff>9525</xdr:rowOff>
        </xdr:from>
        <xdr:to>
          <xdr:col>3</xdr:col>
          <xdr:colOff>314325</xdr:colOff>
          <xdr:row>13</xdr:row>
          <xdr:rowOff>0</xdr:rowOff>
        </xdr:to>
        <xdr:sp>
          <xdr:nvSpPr>
            <xdr:cNvPr id="25608" name="Spinner 1032" hidden="1">
              <a:extLst>
                <a:ext uri="{63B3BB69-23CF-44E3-9099-C40C66FF867C}">
                  <a14:compatExt spid="_x0000_s25608"/>
                </a:ext>
              </a:extLst>
            </xdr:cNvPr>
            <xdr:cNvSpPr/>
          </xdr:nvSpPr>
          <xdr:spPr>
            <a:xfrm>
              <a:off x="1647825" y="1924050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14</xdr:row>
          <xdr:rowOff>9525</xdr:rowOff>
        </xdr:from>
        <xdr:to>
          <xdr:col>3</xdr:col>
          <xdr:colOff>314325</xdr:colOff>
          <xdr:row>16</xdr:row>
          <xdr:rowOff>0</xdr:rowOff>
        </xdr:to>
        <xdr:sp>
          <xdr:nvSpPr>
            <xdr:cNvPr id="25609" name="Spinner 1033" hidden="1">
              <a:extLst>
                <a:ext uri="{63B3BB69-23CF-44E3-9099-C40C66FF867C}">
                  <a14:compatExt spid="_x0000_s25609"/>
                </a:ext>
              </a:extLst>
            </xdr:cNvPr>
            <xdr:cNvSpPr/>
          </xdr:nvSpPr>
          <xdr:spPr>
            <a:xfrm>
              <a:off x="1647825" y="246697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5</xdr:row>
          <xdr:rowOff>9525</xdr:rowOff>
        </xdr:from>
        <xdr:to>
          <xdr:col>3</xdr:col>
          <xdr:colOff>609600</xdr:colOff>
          <xdr:row>6</xdr:row>
          <xdr:rowOff>180975</xdr:rowOff>
        </xdr:to>
        <xdr:sp>
          <xdr:nvSpPr>
            <xdr:cNvPr id="25610" name="Spinner 1034" hidden="1">
              <a:extLst>
                <a:ext uri="{63B3BB69-23CF-44E3-9099-C40C66FF867C}">
                  <a14:compatExt spid="_x0000_s25610"/>
                </a:ext>
              </a:extLst>
            </xdr:cNvPr>
            <xdr:cNvSpPr/>
          </xdr:nvSpPr>
          <xdr:spPr>
            <a:xfrm>
              <a:off x="1638300" y="885825"/>
              <a:ext cx="609600" cy="36195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9525</xdr:rowOff>
        </xdr:from>
        <xdr:to>
          <xdr:col>0</xdr:col>
          <xdr:colOff>952500</xdr:colOff>
          <xdr:row>31</xdr:row>
          <xdr:rowOff>161925</xdr:rowOff>
        </xdr:to>
        <xdr:sp>
          <xdr:nvSpPr>
            <xdr:cNvPr id="25601" name="总队伍" hidden="1">
              <a:extLst>
                <a:ext uri="{63B3BB69-23CF-44E3-9099-C40C66FF867C}">
                  <a14:compatExt spid="_x0000_s25601"/>
                </a:ext>
              </a:extLst>
            </xdr:cNvPr>
            <xdr:cNvSpPr/>
          </xdr:nvSpPr>
          <xdr:spPr>
            <a:xfrm>
              <a:off x="0" y="314325"/>
              <a:ext cx="952500" cy="5295900"/>
            </a:xfrm>
            <a:prstGeom prst="rect">
              <a:avLst/>
            </a:prstGeom>
          </xdr:spPr>
        </xdr:sp>
        <xdr:clientData fPrintsWithSheet="0"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314325</xdr:colOff>
          <xdr:row>8</xdr:row>
          <xdr:rowOff>9525</xdr:rowOff>
        </xdr:from>
        <xdr:to>
          <xdr:col>3</xdr:col>
          <xdr:colOff>619125</xdr:colOff>
          <xdr:row>10</xdr:row>
          <xdr:rowOff>0</xdr:rowOff>
        </xdr:to>
        <xdr:sp>
          <xdr:nvSpPr>
            <xdr:cNvPr id="25684" name="Spinner 1108" hidden="1">
              <a:extLst>
                <a:ext uri="{63B3BB69-23CF-44E3-9099-C40C66FF867C}">
                  <a14:compatExt spid="_x0000_s25684"/>
                </a:ext>
              </a:extLst>
            </xdr:cNvPr>
            <xdr:cNvSpPr/>
          </xdr:nvSpPr>
          <xdr:spPr>
            <a:xfrm>
              <a:off x="1952625" y="138112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314325</xdr:colOff>
          <xdr:row>11</xdr:row>
          <xdr:rowOff>9525</xdr:rowOff>
        </xdr:from>
        <xdr:to>
          <xdr:col>3</xdr:col>
          <xdr:colOff>619125</xdr:colOff>
          <xdr:row>13</xdr:row>
          <xdr:rowOff>0</xdr:rowOff>
        </xdr:to>
        <xdr:sp>
          <xdr:nvSpPr>
            <xdr:cNvPr id="25685" name="Spinner 1109" hidden="1">
              <a:extLst>
                <a:ext uri="{63B3BB69-23CF-44E3-9099-C40C66FF867C}">
                  <a14:compatExt spid="_x0000_s25685"/>
                </a:ext>
              </a:extLst>
            </xdr:cNvPr>
            <xdr:cNvSpPr/>
          </xdr:nvSpPr>
          <xdr:spPr>
            <a:xfrm>
              <a:off x="1952625" y="1924050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314325</xdr:colOff>
          <xdr:row>14</xdr:row>
          <xdr:rowOff>9525</xdr:rowOff>
        </xdr:from>
        <xdr:to>
          <xdr:col>3</xdr:col>
          <xdr:colOff>619125</xdr:colOff>
          <xdr:row>16</xdr:row>
          <xdr:rowOff>0</xdr:rowOff>
        </xdr:to>
        <xdr:sp>
          <xdr:nvSpPr>
            <xdr:cNvPr id="25687" name="Spinner 1111" hidden="1">
              <a:extLst>
                <a:ext uri="{63B3BB69-23CF-44E3-9099-C40C66FF867C}">
                  <a14:compatExt spid="_x0000_s25687"/>
                </a:ext>
              </a:extLst>
            </xdr:cNvPr>
            <xdr:cNvSpPr/>
          </xdr:nvSpPr>
          <xdr:spPr>
            <a:xfrm>
              <a:off x="1952625" y="246697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14</xdr:row>
          <xdr:rowOff>9525</xdr:rowOff>
        </xdr:from>
        <xdr:to>
          <xdr:col>3</xdr:col>
          <xdr:colOff>314325</xdr:colOff>
          <xdr:row>16</xdr:row>
          <xdr:rowOff>0</xdr:rowOff>
        </xdr:to>
        <xdr:sp>
          <xdr:nvSpPr>
            <xdr:cNvPr id="25743" name="Spinner 1167" hidden="1">
              <a:extLst>
                <a:ext uri="{63B3BB69-23CF-44E3-9099-C40C66FF867C}">
                  <a14:compatExt spid="_x0000_s25743"/>
                </a:ext>
              </a:extLst>
            </xdr:cNvPr>
            <xdr:cNvSpPr/>
          </xdr:nvSpPr>
          <xdr:spPr>
            <a:xfrm>
              <a:off x="1647825" y="246697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314325</xdr:colOff>
          <xdr:row>14</xdr:row>
          <xdr:rowOff>9525</xdr:rowOff>
        </xdr:from>
        <xdr:to>
          <xdr:col>3</xdr:col>
          <xdr:colOff>619125</xdr:colOff>
          <xdr:row>16</xdr:row>
          <xdr:rowOff>0</xdr:rowOff>
        </xdr:to>
        <xdr:sp>
          <xdr:nvSpPr>
            <xdr:cNvPr id="25744" name="Spinner 1168" hidden="1">
              <a:extLst>
                <a:ext uri="{63B3BB69-23CF-44E3-9099-C40C66FF867C}">
                  <a14:compatExt spid="_x0000_s25744"/>
                </a:ext>
              </a:extLst>
            </xdr:cNvPr>
            <xdr:cNvSpPr/>
          </xdr:nvSpPr>
          <xdr:spPr>
            <a:xfrm>
              <a:off x="1952625" y="246697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17</xdr:row>
          <xdr:rowOff>9525</xdr:rowOff>
        </xdr:from>
        <xdr:to>
          <xdr:col>3</xdr:col>
          <xdr:colOff>314325</xdr:colOff>
          <xdr:row>19</xdr:row>
          <xdr:rowOff>0</xdr:rowOff>
        </xdr:to>
        <xdr:sp>
          <xdr:nvSpPr>
            <xdr:cNvPr id="25745" name="Spinner 1169" hidden="1">
              <a:extLst>
                <a:ext uri="{63B3BB69-23CF-44E3-9099-C40C66FF867C}">
                  <a14:compatExt spid="_x0000_s25745"/>
                </a:ext>
              </a:extLst>
            </xdr:cNvPr>
            <xdr:cNvSpPr/>
          </xdr:nvSpPr>
          <xdr:spPr>
            <a:xfrm>
              <a:off x="1647825" y="3009900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314325</xdr:colOff>
          <xdr:row>17</xdr:row>
          <xdr:rowOff>9525</xdr:rowOff>
        </xdr:from>
        <xdr:to>
          <xdr:col>3</xdr:col>
          <xdr:colOff>619125</xdr:colOff>
          <xdr:row>19</xdr:row>
          <xdr:rowOff>0</xdr:rowOff>
        </xdr:to>
        <xdr:sp>
          <xdr:nvSpPr>
            <xdr:cNvPr id="25746" name="Spinner 1170" hidden="1">
              <a:extLst>
                <a:ext uri="{63B3BB69-23CF-44E3-9099-C40C66FF867C}">
                  <a14:compatExt spid="_x0000_s25746"/>
                </a:ext>
              </a:extLst>
            </xdr:cNvPr>
            <xdr:cNvSpPr/>
          </xdr:nvSpPr>
          <xdr:spPr>
            <a:xfrm>
              <a:off x="1952625" y="3009900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17</xdr:row>
          <xdr:rowOff>9525</xdr:rowOff>
        </xdr:from>
        <xdr:to>
          <xdr:col>3</xdr:col>
          <xdr:colOff>314325</xdr:colOff>
          <xdr:row>19</xdr:row>
          <xdr:rowOff>0</xdr:rowOff>
        </xdr:to>
        <xdr:sp>
          <xdr:nvSpPr>
            <xdr:cNvPr id="25747" name="Spinner 1171" hidden="1">
              <a:extLst>
                <a:ext uri="{63B3BB69-23CF-44E3-9099-C40C66FF867C}">
                  <a14:compatExt spid="_x0000_s25747"/>
                </a:ext>
              </a:extLst>
            </xdr:cNvPr>
            <xdr:cNvSpPr/>
          </xdr:nvSpPr>
          <xdr:spPr>
            <a:xfrm>
              <a:off x="1647825" y="3009900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314325</xdr:colOff>
          <xdr:row>17</xdr:row>
          <xdr:rowOff>9525</xdr:rowOff>
        </xdr:from>
        <xdr:to>
          <xdr:col>3</xdr:col>
          <xdr:colOff>619125</xdr:colOff>
          <xdr:row>19</xdr:row>
          <xdr:rowOff>0</xdr:rowOff>
        </xdr:to>
        <xdr:sp>
          <xdr:nvSpPr>
            <xdr:cNvPr id="25748" name="Spinner 1172" hidden="1">
              <a:extLst>
                <a:ext uri="{63B3BB69-23CF-44E3-9099-C40C66FF867C}">
                  <a14:compatExt spid="_x0000_s25748"/>
                </a:ext>
              </a:extLst>
            </xdr:cNvPr>
            <xdr:cNvSpPr/>
          </xdr:nvSpPr>
          <xdr:spPr>
            <a:xfrm>
              <a:off x="1952625" y="3009900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14</xdr:row>
          <xdr:rowOff>9525</xdr:rowOff>
        </xdr:from>
        <xdr:to>
          <xdr:col>3</xdr:col>
          <xdr:colOff>314325</xdr:colOff>
          <xdr:row>16</xdr:row>
          <xdr:rowOff>0</xdr:rowOff>
        </xdr:to>
        <xdr:sp>
          <xdr:nvSpPr>
            <xdr:cNvPr id="25749" name="Spinner 1173" hidden="1">
              <a:extLst>
                <a:ext uri="{63B3BB69-23CF-44E3-9099-C40C66FF867C}">
                  <a14:compatExt spid="_x0000_s25749"/>
                </a:ext>
              </a:extLst>
            </xdr:cNvPr>
            <xdr:cNvSpPr/>
          </xdr:nvSpPr>
          <xdr:spPr>
            <a:xfrm>
              <a:off x="1647825" y="246697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314325</xdr:colOff>
          <xdr:row>14</xdr:row>
          <xdr:rowOff>9525</xdr:rowOff>
        </xdr:from>
        <xdr:to>
          <xdr:col>3</xdr:col>
          <xdr:colOff>619125</xdr:colOff>
          <xdr:row>16</xdr:row>
          <xdr:rowOff>0</xdr:rowOff>
        </xdr:to>
        <xdr:sp>
          <xdr:nvSpPr>
            <xdr:cNvPr id="25750" name="Spinner 1174" hidden="1">
              <a:extLst>
                <a:ext uri="{63B3BB69-23CF-44E3-9099-C40C66FF867C}">
                  <a14:compatExt spid="_x0000_s25750"/>
                </a:ext>
              </a:extLst>
            </xdr:cNvPr>
            <xdr:cNvSpPr/>
          </xdr:nvSpPr>
          <xdr:spPr>
            <a:xfrm>
              <a:off x="1952625" y="246697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14</xdr:row>
          <xdr:rowOff>9525</xdr:rowOff>
        </xdr:from>
        <xdr:to>
          <xdr:col>3</xdr:col>
          <xdr:colOff>314325</xdr:colOff>
          <xdr:row>16</xdr:row>
          <xdr:rowOff>0</xdr:rowOff>
        </xdr:to>
        <xdr:sp>
          <xdr:nvSpPr>
            <xdr:cNvPr id="25751" name="Spinner 1175" hidden="1">
              <a:extLst>
                <a:ext uri="{63B3BB69-23CF-44E3-9099-C40C66FF867C}">
                  <a14:compatExt spid="_x0000_s25751"/>
                </a:ext>
              </a:extLst>
            </xdr:cNvPr>
            <xdr:cNvSpPr/>
          </xdr:nvSpPr>
          <xdr:spPr>
            <a:xfrm>
              <a:off x="1647825" y="246697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314325</xdr:colOff>
          <xdr:row>14</xdr:row>
          <xdr:rowOff>9525</xdr:rowOff>
        </xdr:from>
        <xdr:to>
          <xdr:col>3</xdr:col>
          <xdr:colOff>619125</xdr:colOff>
          <xdr:row>16</xdr:row>
          <xdr:rowOff>0</xdr:rowOff>
        </xdr:to>
        <xdr:sp>
          <xdr:nvSpPr>
            <xdr:cNvPr id="25752" name="Spinner 1176" hidden="1">
              <a:extLst>
                <a:ext uri="{63B3BB69-23CF-44E3-9099-C40C66FF867C}">
                  <a14:compatExt spid="_x0000_s25752"/>
                </a:ext>
              </a:extLst>
            </xdr:cNvPr>
            <xdr:cNvSpPr/>
          </xdr:nvSpPr>
          <xdr:spPr>
            <a:xfrm>
              <a:off x="1952625" y="246697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0</xdr:row>
          <xdr:rowOff>104775</xdr:rowOff>
        </xdr:from>
        <xdr:to>
          <xdr:col>3</xdr:col>
          <xdr:colOff>47625</xdr:colOff>
          <xdr:row>1</xdr:row>
          <xdr:rowOff>152400</xdr:rowOff>
        </xdr:to>
        <xdr:sp>
          <xdr:nvSpPr>
            <xdr:cNvPr id="25901" name="Option Button 1325" hidden="1">
              <a:extLst>
                <a:ext uri="{63B3BB69-23CF-44E3-9099-C40C66FF867C}">
                  <a14:compatExt spid="_x0000_s25901"/>
                </a:ext>
              </a:extLst>
            </xdr:cNvPr>
            <xdr:cNvSpPr/>
          </xdr:nvSpPr>
          <xdr:spPr>
            <a:xfrm>
              <a:off x="1085850" y="104775"/>
              <a:ext cx="600075" cy="161925"/>
            </a:xfrm>
            <a:prstGeom prst="rect">
              <a:avLst/>
            </a:prstGeom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普通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Microsoft YaHei UI"/>
                <a:ea typeface="Microsoft YaHei UI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0</xdr:row>
          <xdr:rowOff>104775</xdr:rowOff>
        </xdr:from>
        <xdr:to>
          <xdr:col>3</xdr:col>
          <xdr:colOff>581025</xdr:colOff>
          <xdr:row>1</xdr:row>
          <xdr:rowOff>152400</xdr:rowOff>
        </xdr:to>
        <xdr:sp>
          <xdr:nvSpPr>
            <xdr:cNvPr id="25902" name="Option Button 1326" hidden="1">
              <a:extLst>
                <a:ext uri="{63B3BB69-23CF-44E3-9099-C40C66FF867C}">
                  <a14:compatExt spid="_x0000_s25902"/>
                </a:ext>
              </a:extLst>
            </xdr:cNvPr>
            <xdr:cNvSpPr/>
          </xdr:nvSpPr>
          <xdr:spPr>
            <a:xfrm>
              <a:off x="1685925" y="104775"/>
              <a:ext cx="533400" cy="161925"/>
            </a:xfrm>
            <a:prstGeom prst="rect">
              <a:avLst/>
            </a:prstGeom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敌后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Microsoft YaHei UI"/>
                <a:ea typeface="Microsoft YaHei UI"/>
              </a:endParaRP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12</xdr:col>
      <xdr:colOff>247650</xdr:colOff>
      <xdr:row>19</xdr:row>
      <xdr:rowOff>152400</xdr:rowOff>
    </xdr:from>
    <xdr:to>
      <xdr:col>14</xdr:col>
      <xdr:colOff>466725</xdr:colOff>
      <xdr:row>23</xdr:row>
      <xdr:rowOff>142875</xdr:rowOff>
    </xdr:to>
    <xdr:sp>
      <xdr:nvSpPr>
        <xdr:cNvPr id="5124" name="矩形 4"/>
        <xdr:cNvSpPr>
          <a:spLocks noChangeArrowheads="1"/>
        </xdr:cNvSpPr>
      </xdr:nvSpPr>
      <xdr:spPr>
        <a:xfrm>
          <a:off x="8896350" y="3390900"/>
          <a:ext cx="1590675" cy="704850"/>
        </a:xfrm>
        <a:prstGeom prst="rect">
          <a:avLst/>
        </a:prstGeom>
        <a:solidFill>
          <a:srgbClr val="FF3300"/>
        </a:solidFill>
        <a:ln>
          <a:noFill/>
        </a:ln>
        <a:effectLst>
          <a:outerShdw sy="23000" kx="1200039" algn="br" rotWithShape="0">
            <a:srgbClr val="000000">
              <a:alpha val="20000"/>
            </a:srgbClr>
          </a:outerShdw>
        </a:effectLst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64008" tIns="73152" rIns="64008" bIns="0" anchor="t" upright="1"/>
        <a:lstStyle/>
        <a:p>
          <a:pPr algn="ctr" rtl="0">
            <a:defRPr sz="1000"/>
          </a:pPr>
          <a:r>
            <a:rPr lang="zh-CN" altLang="en-US" sz="3600" b="0" i="0" u="none" strike="noStrike" baseline="0">
              <a:solidFill>
                <a:srgbClr val="FFCC00"/>
              </a:solidFill>
              <a:latin typeface="华文行楷"/>
              <a:ea typeface="华文行楷"/>
            </a:rPr>
            <a:t>少室山</a:t>
          </a:r>
          <a:endParaRPr lang="zh-CN" altLang="en-US" sz="3600" b="0" i="0" u="none" strike="noStrike" baseline="0">
            <a:solidFill>
              <a:srgbClr val="FFCC00"/>
            </a:solidFill>
            <a:latin typeface="华文行楷"/>
            <a:ea typeface="华文行楷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absolute">
        <xdr:from>
          <xdr:col>1</xdr:col>
          <xdr:colOff>9525</xdr:colOff>
          <xdr:row>7</xdr:row>
          <xdr:rowOff>9525</xdr:rowOff>
        </xdr:from>
        <xdr:to>
          <xdr:col>2</xdr:col>
          <xdr:colOff>685800</xdr:colOff>
          <xdr:row>24</xdr:row>
          <xdr:rowOff>180975</xdr:rowOff>
        </xdr:to>
        <xdr:sp>
          <xdr:nvSpPr>
            <xdr:cNvPr id="32795" name="List Box 2075" hidden="1">
              <a:extLst>
                <a:ext uri="{63B3BB69-23CF-44E3-9099-C40C66FF867C}">
                  <a14:compatExt spid="_x0000_s32795"/>
                </a:ext>
              </a:extLst>
            </xdr:cNvPr>
            <xdr:cNvSpPr/>
          </xdr:nvSpPr>
          <xdr:spPr>
            <a:xfrm>
              <a:off x="857250" y="1295400"/>
              <a:ext cx="1390650" cy="3009900"/>
            </a:xfrm>
            <a:prstGeom prst="rect">
              <a:avLst/>
            </a:prstGeom>
          </xdr:spPr>
        </xdr:sp>
        <xdr:clientData fLocksWithSheet="0"/>
      </xdr:twoCellAnchor>
    </mc:Choice>
    <mc:Fallback/>
  </mc:AlternateContent>
  <xdr:twoCellAnchor editAs="absolute">
    <xdr:from>
      <xdr:col>6</xdr:col>
      <xdr:colOff>171450</xdr:colOff>
      <xdr:row>17</xdr:row>
      <xdr:rowOff>57150</xdr:rowOff>
    </xdr:from>
    <xdr:to>
      <xdr:col>6</xdr:col>
      <xdr:colOff>542925</xdr:colOff>
      <xdr:row>18</xdr:row>
      <xdr:rowOff>295275</xdr:rowOff>
    </xdr:to>
    <xdr:sp>
      <xdr:nvSpPr>
        <xdr:cNvPr id="5121" name="下箭头 1"/>
        <xdr:cNvSpPr>
          <a:spLocks noChangeAspect="1" noChangeArrowheads="1"/>
        </xdr:cNvSpPr>
      </xdr:nvSpPr>
      <xdr:spPr>
        <a:xfrm>
          <a:off x="4591050" y="2771775"/>
          <a:ext cx="371475" cy="419100"/>
        </a:xfrm>
        <a:prstGeom prst="downArrow">
          <a:avLst>
            <a:gd name="adj1" fmla="val 50000"/>
            <a:gd name="adj2" fmla="val 49996"/>
          </a:avLst>
        </a:prstGeom>
        <a:solidFill>
          <a:srgbClr val="00B0F0"/>
        </a:solidFill>
        <a:ln w="25400">
          <a:solidFill>
            <a:srgbClr val="00B0F0"/>
          </a:solidFill>
          <a:round/>
        </a:ln>
        <a:effectLst>
          <a:outerShdw dist="38100" dir="5400000" algn="t" rotWithShape="0">
            <a:srgbClr val="000000">
              <a:alpha val="39999"/>
            </a:srgbClr>
          </a:outerShdw>
        </a:effectLst>
      </xdr:spPr>
    </xdr: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114300</xdr:colOff>
      <xdr:row>17</xdr:row>
      <xdr:rowOff>104775</xdr:rowOff>
    </xdr:from>
    <xdr:to>
      <xdr:col>7</xdr:col>
      <xdr:colOff>666750</xdr:colOff>
      <xdr:row>20</xdr:row>
      <xdr:rowOff>66675</xdr:rowOff>
    </xdr:to>
    <xdr:sp>
      <xdr:nvSpPr>
        <xdr:cNvPr id="6145" name="右箭头 1"/>
        <xdr:cNvSpPr>
          <a:spLocks noChangeArrowheads="1"/>
        </xdr:cNvSpPr>
      </xdr:nvSpPr>
      <xdr:spPr>
        <a:xfrm>
          <a:off x="4876800" y="3143250"/>
          <a:ext cx="552450" cy="476250"/>
        </a:xfrm>
        <a:prstGeom prst="rightArrow">
          <a:avLst>
            <a:gd name="adj1" fmla="val 50000"/>
            <a:gd name="adj2" fmla="val 29000"/>
          </a:avLst>
        </a:prstGeom>
        <a:solidFill>
          <a:srgbClr val="8CB3E3"/>
        </a:solidFill>
        <a:ln>
          <a:noFill/>
        </a:ln>
        <a:scene3d>
          <a:camera prst="legacyObliqueTopRight"/>
          <a:lightRig rig="legacyFlat3" dir="t"/>
        </a:scene3d>
        <a:sp3d prstMaterial="legacyMatte">
          <a:bevelT w="13500" h="13500" prst="angle"/>
          <a:bevelB w="13500" h="13500" prst="angle"/>
          <a:extrusionClr>
            <a:srgbClr val="4F81BD"/>
          </a:extrusionClr>
          <a:contourClr>
            <a:srgbClr val="8CB3E3"/>
          </a:contourClr>
        </a:sp3d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19050</xdr:colOff>
          <xdr:row>15</xdr:row>
          <xdr:rowOff>9525</xdr:rowOff>
        </xdr:from>
        <xdr:to>
          <xdr:col>8</xdr:col>
          <xdr:colOff>666750</xdr:colOff>
          <xdr:row>16</xdr:row>
          <xdr:rowOff>152400</xdr:rowOff>
        </xdr:to>
        <xdr:sp>
          <xdr:nvSpPr>
            <xdr:cNvPr id="34820" name="Spinner 2052" hidden="1">
              <a:extLst>
                <a:ext uri="{63B3BB69-23CF-44E3-9099-C40C66FF867C}">
                  <a14:compatExt spid="_x0000_s34820"/>
                </a:ext>
              </a:extLst>
            </xdr:cNvPr>
            <xdr:cNvSpPr/>
          </xdr:nvSpPr>
          <xdr:spPr>
            <a:xfrm>
              <a:off x="5543550" y="2705100"/>
              <a:ext cx="647700" cy="3143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19050</xdr:colOff>
          <xdr:row>19</xdr:row>
          <xdr:rowOff>9525</xdr:rowOff>
        </xdr:from>
        <xdr:to>
          <xdr:col>6</xdr:col>
          <xdr:colOff>666750</xdr:colOff>
          <xdr:row>20</xdr:row>
          <xdr:rowOff>152400</xdr:rowOff>
        </xdr:to>
        <xdr:sp>
          <xdr:nvSpPr>
            <xdr:cNvPr id="34821" name="Spinner 2053" hidden="1">
              <a:extLst>
                <a:ext uri="{63B3BB69-23CF-44E3-9099-C40C66FF867C}">
                  <a14:compatExt spid="_x0000_s34821"/>
                </a:ext>
              </a:extLst>
            </xdr:cNvPr>
            <xdr:cNvSpPr/>
          </xdr:nvSpPr>
          <xdr:spPr>
            <a:xfrm>
              <a:off x="4095750" y="3390900"/>
              <a:ext cx="647700" cy="3143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19050</xdr:colOff>
          <xdr:row>19</xdr:row>
          <xdr:rowOff>9525</xdr:rowOff>
        </xdr:from>
        <xdr:to>
          <xdr:col>8</xdr:col>
          <xdr:colOff>666750</xdr:colOff>
          <xdr:row>20</xdr:row>
          <xdr:rowOff>152400</xdr:rowOff>
        </xdr:to>
        <xdr:sp>
          <xdr:nvSpPr>
            <xdr:cNvPr id="34822" name="Spinner 2054" hidden="1">
              <a:extLst>
                <a:ext uri="{63B3BB69-23CF-44E3-9099-C40C66FF867C}">
                  <a14:compatExt spid="_x0000_s34822"/>
                </a:ext>
              </a:extLst>
            </xdr:cNvPr>
            <xdr:cNvSpPr/>
          </xdr:nvSpPr>
          <xdr:spPr>
            <a:xfrm>
              <a:off x="5543550" y="3390900"/>
              <a:ext cx="647700" cy="3143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13</xdr:row>
          <xdr:rowOff>19050</xdr:rowOff>
        </xdr:from>
        <xdr:to>
          <xdr:col>4</xdr:col>
          <xdr:colOff>676275</xdr:colOff>
          <xdr:row>20</xdr:row>
          <xdr:rowOff>152400</xdr:rowOff>
        </xdr:to>
        <xdr:sp>
          <xdr:nvSpPr>
            <xdr:cNvPr id="34827" name="List Box 2059" hidden="1">
              <a:extLst>
                <a:ext uri="{63B3BB69-23CF-44E3-9099-C40C66FF867C}">
                  <a14:compatExt spid="_x0000_s34827"/>
                </a:ext>
              </a:extLst>
            </xdr:cNvPr>
            <xdr:cNvSpPr/>
          </xdr:nvSpPr>
          <xdr:spPr>
            <a:xfrm>
              <a:off x="1981200" y="2362200"/>
              <a:ext cx="1343025" cy="1343025"/>
            </a:xfrm>
            <a:prstGeom prst="rect">
              <a:avLst/>
            </a:prstGeom>
          </xdr:spPr>
        </xdr:sp>
        <xdr:clientData fLocksWithSheet="0"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absolute">
        <xdr:from>
          <xdr:col>1</xdr:col>
          <xdr:colOff>9525</xdr:colOff>
          <xdr:row>45</xdr:row>
          <xdr:rowOff>133350</xdr:rowOff>
        </xdr:from>
        <xdr:to>
          <xdr:col>1</xdr:col>
          <xdr:colOff>790575</xdr:colOff>
          <xdr:row>57</xdr:row>
          <xdr:rowOff>95250</xdr:rowOff>
        </xdr:to>
        <xdr:sp>
          <xdr:nvSpPr>
            <xdr:cNvPr id="36869" name="List Box 1029" hidden="1">
              <a:extLst>
                <a:ext uri="{63B3BB69-23CF-44E3-9099-C40C66FF867C}">
                  <a14:compatExt spid="_x0000_s36869"/>
                </a:ext>
              </a:extLst>
            </xdr:cNvPr>
            <xdr:cNvSpPr/>
          </xdr:nvSpPr>
          <xdr:spPr>
            <a:xfrm>
              <a:off x="819150" y="8058150"/>
              <a:ext cx="781050" cy="2019300"/>
            </a:xfrm>
            <a:prstGeom prst="rect">
              <a:avLst/>
            </a:prstGeom>
          </xdr:spPr>
        </xdr:sp>
        <xdr:clientData fLocksWithSheet="0"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419100</xdr:colOff>
          <xdr:row>0</xdr:row>
          <xdr:rowOff>9525</xdr:rowOff>
        </xdr:from>
        <xdr:to>
          <xdr:col>22</xdr:col>
          <xdr:colOff>466725</xdr:colOff>
          <xdr:row>1</xdr:row>
          <xdr:rowOff>180975</xdr:rowOff>
        </xdr:to>
        <xdr:sp>
          <xdr:nvSpPr>
            <xdr:cNvPr id="12313" name="Spinner 1049" hidden="1">
              <a:extLst>
                <a:ext uri="{63B3BB69-23CF-44E3-9099-C40C66FF867C}">
                  <a14:compatExt spid="_x0000_s12313"/>
                </a:ext>
              </a:extLst>
            </xdr:cNvPr>
            <xdr:cNvSpPr/>
          </xdr:nvSpPr>
          <xdr:spPr>
            <a:xfrm>
              <a:off x="14611350" y="9525"/>
              <a:ext cx="495300" cy="36195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9525</xdr:colOff>
          <xdr:row>0</xdr:row>
          <xdr:rowOff>0</xdr:rowOff>
        </xdr:from>
        <xdr:to>
          <xdr:col>19</xdr:col>
          <xdr:colOff>504825</xdr:colOff>
          <xdr:row>2</xdr:row>
          <xdr:rowOff>0</xdr:rowOff>
        </xdr:to>
        <xdr:sp>
          <xdr:nvSpPr>
            <xdr:cNvPr id="38913" name="Spinner 10" hidden="1">
              <a:extLst>
                <a:ext uri="{63B3BB69-23CF-44E3-9099-C40C66FF867C}">
                  <a14:compatExt spid="_x0000_s38913"/>
                </a:ext>
              </a:extLst>
            </xdr:cNvPr>
            <xdr:cNvSpPr/>
          </xdr:nvSpPr>
          <xdr:spPr>
            <a:xfrm>
              <a:off x="11934825" y="0"/>
              <a:ext cx="495300" cy="38100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ctrlProp" Target="../ctrlProps/ctrlProp6.xml"/><Relationship Id="rId8" Type="http://schemas.openxmlformats.org/officeDocument/2006/relationships/ctrlProp" Target="../ctrlProps/ctrlProp5.xml"/><Relationship Id="rId7" Type="http://schemas.openxmlformats.org/officeDocument/2006/relationships/ctrlProp" Target="../ctrlProps/ctrlProp4.xml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Relationship Id="rId3" Type="http://schemas.openxmlformats.org/officeDocument/2006/relationships/vmlDrawing" Target="../drawings/vmlDrawing1.vml"/><Relationship Id="rId24" Type="http://schemas.openxmlformats.org/officeDocument/2006/relationships/ctrlProp" Target="../ctrlProps/ctrlProp21.xml"/><Relationship Id="rId23" Type="http://schemas.openxmlformats.org/officeDocument/2006/relationships/ctrlProp" Target="../ctrlProps/ctrlProp20.xml"/><Relationship Id="rId22" Type="http://schemas.openxmlformats.org/officeDocument/2006/relationships/ctrlProp" Target="../ctrlProps/ctrlProp19.xml"/><Relationship Id="rId21" Type="http://schemas.openxmlformats.org/officeDocument/2006/relationships/ctrlProp" Target="../ctrlProps/ctrlProp18.xml"/><Relationship Id="rId20" Type="http://schemas.openxmlformats.org/officeDocument/2006/relationships/ctrlProp" Target="../ctrlProps/ctrlProp17.xml"/><Relationship Id="rId2" Type="http://schemas.openxmlformats.org/officeDocument/2006/relationships/drawing" Target="../drawings/drawing1.xml"/><Relationship Id="rId19" Type="http://schemas.openxmlformats.org/officeDocument/2006/relationships/ctrlProp" Target="../ctrlProps/ctrlProp16.xml"/><Relationship Id="rId18" Type="http://schemas.openxmlformats.org/officeDocument/2006/relationships/ctrlProp" Target="../ctrlProps/ctrlProp15.xml"/><Relationship Id="rId17" Type="http://schemas.openxmlformats.org/officeDocument/2006/relationships/ctrlProp" Target="../ctrlProps/ctrlProp14.xml"/><Relationship Id="rId16" Type="http://schemas.openxmlformats.org/officeDocument/2006/relationships/ctrlProp" Target="../ctrlProps/ctrlProp13.xml"/><Relationship Id="rId15" Type="http://schemas.openxmlformats.org/officeDocument/2006/relationships/ctrlProp" Target="../ctrlProps/ctrlProp12.xml"/><Relationship Id="rId14" Type="http://schemas.openxmlformats.org/officeDocument/2006/relationships/ctrlProp" Target="../ctrlProps/ctrlProp11.xml"/><Relationship Id="rId13" Type="http://schemas.openxmlformats.org/officeDocument/2006/relationships/ctrlProp" Target="../ctrlProps/ctrlProp10.xml"/><Relationship Id="rId12" Type="http://schemas.openxmlformats.org/officeDocument/2006/relationships/ctrlProp" Target="../ctrlProps/ctrlProp9.xml"/><Relationship Id="rId11" Type="http://schemas.openxmlformats.org/officeDocument/2006/relationships/ctrlProp" Target="../ctrlProps/ctrlProp8.xml"/><Relationship Id="rId10" Type="http://schemas.openxmlformats.org/officeDocument/2006/relationships/ctrlProp" Target="../ctrlProps/ctrlProp7.xml"/><Relationship Id="rId1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2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6" Type="http://schemas.openxmlformats.org/officeDocument/2006/relationships/ctrlProp" Target="../ctrlProps/ctrlProp26.xml"/><Relationship Id="rId5" Type="http://schemas.openxmlformats.org/officeDocument/2006/relationships/ctrlProp" Target="../ctrlProps/ctrlProp25.xml"/><Relationship Id="rId4" Type="http://schemas.openxmlformats.org/officeDocument/2006/relationships/ctrlProp" Target="../ctrlProps/ctrlProp24.xml"/><Relationship Id="rId3" Type="http://schemas.openxmlformats.org/officeDocument/2006/relationships/ctrlProp" Target="../ctrlProps/ctrlProp2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27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4" Type="http://schemas.openxmlformats.org/officeDocument/2006/relationships/ctrlProp" Target="../ctrlProps/ctrlProp28.xml"/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comments" Target="../comments2.xml"/></Relationships>
</file>

<file path=xl/worksheets/_rels/sheet10.xml.rels><?xml version="1.0" encoding="UTF-8" standalone="yes"?>
<Relationships xmlns="http://schemas.openxmlformats.org/package/2006/relationships"><Relationship Id="rId4" Type="http://schemas.openxmlformats.org/officeDocument/2006/relationships/ctrlProp" Target="../ctrlProps/ctrlProp29.xml"/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X82"/>
  <sheetViews>
    <sheetView workbookViewId="0">
      <selection activeCell="C13" sqref="C13"/>
    </sheetView>
  </sheetViews>
  <sheetFormatPr defaultColWidth="9" defaultRowHeight="13.5"/>
  <cols>
    <col min="1" max="1" width="12.75" style="401" customWidth="1"/>
    <col min="2" max="2" width="0.875" style="402" customWidth="1"/>
    <col min="3" max="3" width="7.875" style="402" customWidth="1"/>
    <col min="4" max="4" width="8.25" style="402" customWidth="1"/>
    <col min="5" max="5" width="0.875" style="402" customWidth="1"/>
    <col min="6" max="6" width="8.625" style="402" customWidth="1"/>
    <col min="7" max="10" width="8.125" style="403" customWidth="1"/>
    <col min="11" max="11" width="8.5" style="403" customWidth="1"/>
    <col min="12" max="12" width="8.125" style="404" customWidth="1"/>
    <col min="13" max="13" width="8.5" style="404" customWidth="1"/>
    <col min="14" max="16" width="8.125" style="403" customWidth="1"/>
    <col min="17" max="17" width="8.625" style="403" customWidth="1"/>
    <col min="18" max="18" width="8.5" style="403" customWidth="1"/>
    <col min="19" max="19" width="7" style="404" hidden="1" customWidth="1"/>
    <col min="20" max="20" width="8.125" style="404" customWidth="1"/>
    <col min="21" max="21" width="9.25" style="402" hidden="1" customWidth="1"/>
    <col min="22" max="22" width="8.5" style="402" customWidth="1"/>
    <col min="23" max="23" width="7.875" style="402" customWidth="1"/>
    <col min="24" max="24" width="0.125" style="402" hidden="1" customWidth="1"/>
    <col min="25" max="25" width="3.5" style="402" hidden="1" customWidth="1"/>
    <col min="26" max="26" width="8" style="402" hidden="1" customWidth="1"/>
    <col min="27" max="27" width="6" style="402" hidden="1" customWidth="1"/>
    <col min="28" max="28" width="5.875" style="402" hidden="1" customWidth="1"/>
    <col min="29" max="29" width="8.625" style="402" hidden="1" customWidth="1"/>
    <col min="30" max="30" width="8.375" style="402" hidden="1" customWidth="1"/>
    <col min="31" max="31" width="8.75" style="405" hidden="1" customWidth="1"/>
    <col min="32" max="32" width="10.375" style="403" hidden="1" customWidth="1"/>
    <col min="33" max="33" width="8.25" style="404" hidden="1" customWidth="1"/>
    <col min="34" max="34" width="8.875" style="405" hidden="1" customWidth="1"/>
    <col min="35" max="35" width="9.5" style="403" hidden="1" customWidth="1"/>
    <col min="36" max="36" width="6.5" style="403" hidden="1" customWidth="1"/>
    <col min="37" max="37" width="8.25" style="403" hidden="1" customWidth="1"/>
    <col min="38" max="38" width="8.875" style="405" hidden="1" customWidth="1"/>
    <col min="39" max="39" width="9.125" style="404" hidden="1" customWidth="1"/>
    <col min="40" max="40" width="10.125" style="404" hidden="1" customWidth="1"/>
    <col min="41" max="41" width="0.5" style="402" hidden="1" customWidth="1"/>
    <col min="42" max="42" width="11.125" style="402" hidden="1" customWidth="1"/>
    <col min="43" max="43" width="8.125" style="402" hidden="1" customWidth="1"/>
    <col min="44" max="44" width="7.75" style="402" hidden="1" customWidth="1"/>
    <col min="45" max="45" width="11.875" style="402" hidden="1" customWidth="1"/>
    <col min="46" max="46" width="7.75" style="404" hidden="1" customWidth="1"/>
    <col min="47" max="47" width="12" style="404" hidden="1" customWidth="1"/>
    <col min="48" max="48" width="10.375" style="404" hidden="1" customWidth="1"/>
    <col min="49" max="49" width="9.875" style="404" hidden="1" customWidth="1"/>
    <col min="50" max="50" width="7.875" style="402" hidden="1" customWidth="1"/>
    <col min="51" max="54" width="8.625" style="402" customWidth="1"/>
    <col min="55" max="58" width="9" style="402"/>
    <col min="59" max="60" width="9" style="402" customWidth="1"/>
    <col min="61" max="16384" width="9" style="402"/>
  </cols>
  <sheetData>
    <row r="1" ht="9" customHeight="1" spans="1:50">
      <c r="A1" s="406" t="s">
        <v>0</v>
      </c>
      <c r="B1" s="407"/>
      <c r="C1" s="407"/>
      <c r="D1" s="407"/>
      <c r="E1" s="408"/>
      <c r="F1" s="409"/>
      <c r="G1" s="410"/>
      <c r="H1" s="410"/>
      <c r="I1" s="410"/>
      <c r="J1" s="410"/>
      <c r="K1" s="410"/>
      <c r="M1" s="508"/>
      <c r="N1" s="410"/>
      <c r="O1" s="501"/>
      <c r="P1" s="501"/>
      <c r="S1" s="572"/>
      <c r="T1" s="572"/>
      <c r="U1" s="573"/>
      <c r="V1" s="573"/>
      <c r="W1" s="573"/>
      <c r="Y1" s="651">
        <f ca="1">VLOOKUP($M$11,弟子基础属性!$C$1:$T$189,5,0)</f>
        <v>280</v>
      </c>
      <c r="Z1" s="652">
        <f ca="1">VLOOKUP(M11,弟子基础属性!$C$1:$T$189,10,0)</f>
        <v>12</v>
      </c>
      <c r="AA1" s="653">
        <f ca="1">VLOOKUP($M$11,弟子基础属性!$C$1:$T$189,6,0)</f>
        <v>100</v>
      </c>
      <c r="AB1" s="654">
        <f ca="1">VLOOKUP(M11,弟子基础属性!$C$1:$T$189,11,0)</f>
        <v>4.1</v>
      </c>
      <c r="AC1" s="655">
        <f ca="1">VLOOKUP($M$11,弟子基础属性!$C$1:$T$189,7,0)</f>
        <v>95</v>
      </c>
      <c r="AD1" s="653">
        <f ca="1">VLOOKUP(M11,弟子基础属性!$C$1:$T$189,12,0)</f>
        <v>6.4</v>
      </c>
      <c r="AE1" s="654">
        <f ca="1">VLOOKUP(M11,弟子基础属性!$C$1:$V$191,8,0)</f>
        <v>390</v>
      </c>
      <c r="AF1" s="653">
        <f ca="1">VLOOKUP(M11,弟子基础属性!$C$1:$V$191,13,0)</f>
        <v>12</v>
      </c>
      <c r="AG1" s="655" t="str">
        <f ca="1">VLOOKUP(M11,弟子基础属性!$C$1:$V$191,2,0)</f>
        <v>打狗棍法</v>
      </c>
      <c r="AH1" s="655">
        <f ca="1">VLOOKUP(M11,弟子基础属性!$C$1:$V$191,3,0)</f>
        <v>20</v>
      </c>
      <c r="AI1" s="695" t="str">
        <f ca="1">$M$11</f>
        <v>郭襄</v>
      </c>
      <c r="AJ1" s="696"/>
      <c r="AK1" s="695"/>
      <c r="AL1" s="697" t="str">
        <f ca="1">M31</f>
        <v>天山童姥</v>
      </c>
      <c r="AM1" s="698" t="str">
        <f>H31</f>
        <v>十一郎</v>
      </c>
      <c r="AN1" s="699"/>
      <c r="AO1" s="742"/>
      <c r="AP1" s="743"/>
      <c r="AQ1" s="742"/>
      <c r="AR1" s="744"/>
      <c r="AS1" s="745"/>
      <c r="AT1" s="655"/>
      <c r="AU1" s="746"/>
      <c r="AV1" s="746"/>
      <c r="AW1" s="746"/>
      <c r="AX1" s="781"/>
    </row>
    <row r="2" ht="15" customHeight="1" spans="1:50">
      <c r="A2" s="406"/>
      <c r="B2" s="407"/>
      <c r="C2" s="411"/>
      <c r="D2" s="411"/>
      <c r="E2" s="408"/>
      <c r="F2" s="412" t="s">
        <v>1</v>
      </c>
      <c r="G2" s="413" t="s">
        <v>2</v>
      </c>
      <c r="H2" s="414" t="s">
        <v>3</v>
      </c>
      <c r="I2" s="414" t="s">
        <v>4</v>
      </c>
      <c r="J2" s="414" t="s">
        <v>5</v>
      </c>
      <c r="K2" s="414" t="s">
        <v>6</v>
      </c>
      <c r="L2" s="414" t="s">
        <v>7</v>
      </c>
      <c r="M2" s="414" t="s">
        <v>8</v>
      </c>
      <c r="N2" s="414" t="s">
        <v>9</v>
      </c>
      <c r="O2" s="509" t="s">
        <v>10</v>
      </c>
      <c r="P2" s="510" t="str">
        <f>INDEX(总队伍,A19,1)</f>
        <v>G郭襄</v>
      </c>
      <c r="Q2" s="574"/>
      <c r="R2" s="574"/>
      <c r="S2" s="574"/>
      <c r="T2" s="575"/>
      <c r="U2" s="576"/>
      <c r="V2" s="577" t="s">
        <v>11</v>
      </c>
      <c r="W2" s="578"/>
      <c r="Y2" s="656">
        <f ca="1">VLOOKUP($M$13,弟子基础属性!$C$1:$T$189,5,0)</f>
        <v>10</v>
      </c>
      <c r="Z2" s="657">
        <f ca="1">VLOOKUP(M13,弟子基础属性!$C$1:$T$189,10,0)</f>
        <v>10</v>
      </c>
      <c r="AA2" s="658">
        <f ca="1">VLOOKUP($M$13,弟子基础属性!$C$1:$T$189,6,0)</f>
        <v>10</v>
      </c>
      <c r="AB2" s="659">
        <f ca="1">VLOOKUP(M13,弟子基础属性!$C$1:$T$189,11,0)</f>
        <v>7.1</v>
      </c>
      <c r="AC2" s="600">
        <f ca="1">VLOOKUP($M$13,弟子基础属性!$C$1:$T$189,7,0)</f>
        <v>10</v>
      </c>
      <c r="AD2" s="658">
        <f ca="1">VLOOKUP(M13,弟子基础属性!$C$1:$T$189,12,0)</f>
        <v>2.3</v>
      </c>
      <c r="AE2" s="659">
        <f ca="1">VLOOKUP(M13,弟子基础属性!$C$1:$V$191,8,0)</f>
        <v>0</v>
      </c>
      <c r="AF2" s="658">
        <f ca="1">VLOOKUP(M13,弟子基础属性!$C$1:$V$191,13,0)</f>
        <v>21</v>
      </c>
      <c r="AG2" s="600" t="str">
        <f ca="1">VLOOKUP(M13,弟子基础属性!$C$1:$V$191,2,0)</f>
        <v>天山六阳掌</v>
      </c>
      <c r="AH2" s="600">
        <f ca="1">VLOOKUP(M13,弟子基础属性!$C$1:$V$191,3,0)</f>
        <v>52</v>
      </c>
      <c r="AI2" s="429" t="str">
        <f ca="1">$M$13</f>
        <v>天山童姥</v>
      </c>
      <c r="AJ2" s="700" t="str">
        <f ca="1">INDIRECT("队伍表!"&amp;ADDRESS(2,$A$21))</f>
        <v>郭襄</v>
      </c>
      <c r="AK2" s="429"/>
      <c r="AL2" s="701" t="s">
        <v>12</v>
      </c>
      <c r="AM2" s="702" t="s">
        <v>12</v>
      </c>
      <c r="AN2" s="703"/>
      <c r="AO2" s="747"/>
      <c r="AP2" s="748"/>
      <c r="AQ2" s="747"/>
      <c r="AR2" s="749"/>
      <c r="AS2" s="750"/>
      <c r="AT2" s="600"/>
      <c r="AU2" s="459"/>
      <c r="AV2" s="459"/>
      <c r="AW2" s="459"/>
      <c r="AX2" s="708"/>
    </row>
    <row r="3" ht="15" customHeight="1" spans="1:50">
      <c r="A3" s="415"/>
      <c r="B3" s="404"/>
      <c r="C3" s="416" t="str">
        <f>A17&amp;"人阵"</f>
        <v>8人阵</v>
      </c>
      <c r="D3" s="417"/>
      <c r="E3" s="418"/>
      <c r="F3" s="419" t="s">
        <v>13</v>
      </c>
      <c r="G3" s="420">
        <v>43442</v>
      </c>
      <c r="H3" s="223">
        <v>24194</v>
      </c>
      <c r="I3" s="223">
        <v>50257</v>
      </c>
      <c r="J3" s="223">
        <v>23148</v>
      </c>
      <c r="K3" s="223">
        <v>59213</v>
      </c>
      <c r="L3" s="223">
        <v>26990</v>
      </c>
      <c r="M3" s="223">
        <v>21598</v>
      </c>
      <c r="N3" s="223">
        <v>90243</v>
      </c>
      <c r="O3" s="511">
        <v>20087</v>
      </c>
      <c r="P3" s="512" t="s">
        <v>14</v>
      </c>
      <c r="Q3" s="579">
        <f ca="1">N11</f>
        <v>514230</v>
      </c>
      <c r="R3" s="580" t="s">
        <v>15</v>
      </c>
      <c r="S3" s="459"/>
      <c r="T3" s="581">
        <f>D7</f>
        <v>28546</v>
      </c>
      <c r="U3" s="573"/>
      <c r="V3" s="582"/>
      <c r="W3" s="583"/>
      <c r="Y3" s="656">
        <f ca="1">VLOOKUP($M$15,弟子基础属性!$C$1:$T$189,5,0)</f>
        <v>280</v>
      </c>
      <c r="Z3" s="657">
        <f ca="1">VLOOKUP(M15,弟子基础属性!$C$1:$T$189,10,0)</f>
        <v>10</v>
      </c>
      <c r="AA3" s="658">
        <f ca="1">VLOOKUP($M$15,弟子基础属性!$C$1:$T$189,6,0)</f>
        <v>150</v>
      </c>
      <c r="AB3" s="659">
        <f ca="1">VLOOKUP(M15,弟子基础属性!$C$1:$T$189,11,0)</f>
        <v>4.1</v>
      </c>
      <c r="AC3" s="600">
        <f ca="1">VLOOKUP($M$15,弟子基础属性!$C$1:$T$189,7,0)</f>
        <v>160</v>
      </c>
      <c r="AD3" s="658">
        <f ca="1">VLOOKUP(M15,弟子基础属性!$C$1:$T$189,12,0)</f>
        <v>4.1</v>
      </c>
      <c r="AE3" s="659">
        <f ca="1">VLOOKUP(M15,弟子基础属性!$C$1:$V$191,8,0)</f>
        <v>500</v>
      </c>
      <c r="AF3" s="658">
        <f ca="1">VLOOKUP(M15,弟子基础属性!$C$1:$V$191,13,0)</f>
        <v>16</v>
      </c>
      <c r="AG3" s="600" t="str">
        <f ca="1">VLOOKUP(M15,弟子基础属性!$C$1:$V$191,2,0)</f>
        <v>太极拳</v>
      </c>
      <c r="AH3" s="600">
        <f ca="1">VLOOKUP(M15,弟子基础属性!$C$1:$V$191,3,0)</f>
        <v>54</v>
      </c>
      <c r="AI3" s="429" t="str">
        <f ca="1">$M$15</f>
        <v>张三丰</v>
      </c>
      <c r="AJ3" s="700">
        <f ca="1">VLOOKUP(M11,弟子基础属性!C3:O239,5,0)</f>
        <v>280</v>
      </c>
      <c r="AK3" s="429"/>
      <c r="AL3" s="701">
        <f ca="1">VLOOKUP(AL1,$M$11:$P$33,2,0)</f>
        <v>428190</v>
      </c>
      <c r="AM3" s="702">
        <f>VLOOKUP(AM1,$F$11:$H$32,2,0)</f>
        <v>191359</v>
      </c>
      <c r="AN3" s="704"/>
      <c r="AO3" s="751"/>
      <c r="AP3" s="752"/>
      <c r="AQ3" s="751"/>
      <c r="AR3" s="753"/>
      <c r="AS3" s="754"/>
      <c r="AT3" s="600"/>
      <c r="AU3" s="459"/>
      <c r="AV3" s="459"/>
      <c r="AW3" s="459"/>
      <c r="AX3" s="708"/>
    </row>
    <row r="4" ht="15" customHeight="1" spans="1:50">
      <c r="A4" s="421"/>
      <c r="B4" s="404"/>
      <c r="C4" s="422"/>
      <c r="D4" s="423"/>
      <c r="E4" s="418"/>
      <c r="F4" s="424" t="s">
        <v>16</v>
      </c>
      <c r="G4" s="420">
        <v>69812</v>
      </c>
      <c r="H4" s="223">
        <v>31490</v>
      </c>
      <c r="I4" s="223">
        <v>68277</v>
      </c>
      <c r="J4" s="223">
        <v>28908</v>
      </c>
      <c r="K4" s="223">
        <v>48018</v>
      </c>
      <c r="L4" s="223">
        <v>25828</v>
      </c>
      <c r="M4" s="223">
        <v>45115</v>
      </c>
      <c r="N4" s="223">
        <v>65393</v>
      </c>
      <c r="O4" s="511">
        <v>21218</v>
      </c>
      <c r="P4" s="513" t="s">
        <v>17</v>
      </c>
      <c r="Q4" s="584" t="str">
        <f ca="1">M11</f>
        <v>郭襄</v>
      </c>
      <c r="R4" s="585" t="s">
        <v>18</v>
      </c>
      <c r="S4" s="459"/>
      <c r="T4" s="586">
        <f>IF(VLOOKUP(P2,加成系数!A:E,2,0)="","",IF(ISNUMBER(VLOOKUP(P2,加成系数!A:E,2,0))=FALSE,"",VLOOKUP(P2,加成系数!A:E,2,0)))</f>
        <v>1.5</v>
      </c>
      <c r="U4" s="573"/>
      <c r="V4" s="587" t="s">
        <v>19</v>
      </c>
      <c r="W4" s="588">
        <f>Z25*(C19+100)*0.01</f>
        <v>3093</v>
      </c>
      <c r="Y4" s="656">
        <f ca="1">VLOOKUP($M$17,弟子基础属性!$C$1:$T$189,5,0)</f>
        <v>120</v>
      </c>
      <c r="Z4" s="657">
        <f ca="1">VLOOKUP(M17,弟子基础属性!$C$1:$T$189,10,0)</f>
        <v>8</v>
      </c>
      <c r="AA4" s="658">
        <f ca="1">VLOOKUP($M$17,弟子基础属性!$C$1:$T$189,6,0)</f>
        <v>79</v>
      </c>
      <c r="AB4" s="659">
        <f ca="1">VLOOKUP(M17,弟子基础属性!$C$1:$T$189,11,0)</f>
        <v>5.3</v>
      </c>
      <c r="AC4" s="600">
        <f ca="1">VLOOKUP($M$17,弟子基础属性!$C$1:$T$189,7,0)</f>
        <v>42</v>
      </c>
      <c r="AD4" s="658">
        <f ca="1">VLOOKUP(M17,弟子基础属性!$C$1:$T$189,12,0)</f>
        <v>2.8</v>
      </c>
      <c r="AE4" s="659">
        <f ca="1">VLOOKUP(M17,弟子基础属性!$C$1:$V$191,8,0)</f>
        <v>90</v>
      </c>
      <c r="AF4" s="658">
        <f ca="1">VLOOKUP(M17,弟子基础属性!$C$1:$V$191,13,0)</f>
        <v>6</v>
      </c>
      <c r="AG4" s="600" t="str">
        <f ca="1">VLOOKUP(M17,弟子基础属性!$C$1:$V$191,2,0)</f>
        <v>鹰爪手</v>
      </c>
      <c r="AH4" s="600">
        <f ca="1">VLOOKUP(M17,弟子基础属性!$C$1:$V$191,3,0)</f>
        <v>23</v>
      </c>
      <c r="AI4" s="429" t="str">
        <f ca="1">$M$17</f>
        <v>白眉鹰王</v>
      </c>
      <c r="AJ4" s="705">
        <f ca="1">VLOOKUP(M11,弟子基础属性!C3:O239,10,0)</f>
        <v>12</v>
      </c>
      <c r="AK4" s="429"/>
      <c r="AL4" s="701" t="s">
        <v>20</v>
      </c>
      <c r="AM4" s="706" t="s">
        <v>20</v>
      </c>
      <c r="AN4" s="707"/>
      <c r="AO4" s="755">
        <f ca="1">IF(H31="十一郎",AO5,IF(H31="萧远山",AO6,AO7))</f>
        <v>153573</v>
      </c>
      <c r="AP4" s="756">
        <f ca="1">IF(H31="十一郎",AP5,IF(H31="萧远山",AP6,AP7))</f>
        <v>-3</v>
      </c>
      <c r="AQ4" s="755">
        <f ca="1">IF(H31="十一郎",AQ5,IF(H31="萧远山",AQ6,AQ7))</f>
        <v>765299.52</v>
      </c>
      <c r="AR4" s="755">
        <f ca="1">IF(H31="十一郎",AR5,IF(H31="萧远山",AR6,AR7))</f>
        <v>0</v>
      </c>
      <c r="AS4" s="757">
        <f ca="1">IF(H31="十一郎",AS5,IF(H31="萧远山",AS6,AS7))</f>
        <v>274617</v>
      </c>
      <c r="AT4" s="600"/>
      <c r="AU4" s="459"/>
      <c r="AV4" s="459"/>
      <c r="AW4" s="459"/>
      <c r="AX4" s="708"/>
    </row>
    <row r="5" ht="15" customHeight="1" spans="1:50">
      <c r="A5" s="421"/>
      <c r="B5" s="404"/>
      <c r="E5" s="418"/>
      <c r="F5" s="425" t="s">
        <v>21</v>
      </c>
      <c r="G5" s="426">
        <v>24792</v>
      </c>
      <c r="H5" s="201">
        <v>43391</v>
      </c>
      <c r="I5" s="201">
        <v>17340</v>
      </c>
      <c r="J5" s="201">
        <v>38689</v>
      </c>
      <c r="K5" s="201">
        <v>12863</v>
      </c>
      <c r="L5" s="201">
        <v>37885</v>
      </c>
      <c r="M5" s="201">
        <v>14628</v>
      </c>
      <c r="N5" s="201">
        <v>7841</v>
      </c>
      <c r="O5" s="514">
        <v>11496</v>
      </c>
      <c r="P5" s="513" t="s">
        <v>22</v>
      </c>
      <c r="Q5" s="584">
        <f>A17</f>
        <v>8</v>
      </c>
      <c r="R5" s="585" t="s">
        <v>23</v>
      </c>
      <c r="S5" s="459"/>
      <c r="T5" s="586">
        <f>IF(VLOOKUP(P2,加成系数!A:E,3,0)="","",IF(ISNUMBER(VLOOKUP(P2,加成系数!A:E,3,0))=FALSE,"",VLOOKUP(P2,加成系数!A:E,3,0)))</f>
        <v>1.5</v>
      </c>
      <c r="U5" s="573"/>
      <c r="V5" s="589" t="s">
        <v>24</v>
      </c>
      <c r="W5" s="590">
        <f>VLOOKUP($Y$10,武功表!$A$2:$W$153,4,0)+AB10*(W6-1)</f>
        <v>35</v>
      </c>
      <c r="Y5" s="656">
        <f ca="1">VLOOKUP($M$19,弟子基础属性!$C$1:$T$189,5,0)</f>
        <v>200</v>
      </c>
      <c r="Z5" s="657">
        <f ca="1">VLOOKUP(M19,弟子基础属性!$C$1:$T$189,10,0)</f>
        <v>10</v>
      </c>
      <c r="AA5" s="658">
        <f ca="1">VLOOKUP($M$19,弟子基础属性!$C$1:$T$189,6,0)</f>
        <v>88</v>
      </c>
      <c r="AB5" s="659">
        <f ca="1">VLOOKUP(M19,弟子基础属性!$C$1:$T$189,11,0)</f>
        <v>4.4</v>
      </c>
      <c r="AC5" s="600">
        <f ca="1">VLOOKUP($M$19,弟子基础属性!$C$1:$T$189,7,0)</f>
        <v>104</v>
      </c>
      <c r="AD5" s="658">
        <f ca="1">VLOOKUP(M19,弟子基础属性!$C$1:$T$189,12,0)</f>
        <v>5.2</v>
      </c>
      <c r="AE5" s="659">
        <f ca="1">VLOOKUP(M19,弟子基础属性!$C$1:$V$191,8,0)</f>
        <v>270</v>
      </c>
      <c r="AF5" s="658">
        <f ca="1">VLOOKUP(M19,弟子基础属性!$C$1:$V$191,13,0)</f>
        <v>10</v>
      </c>
      <c r="AG5" s="600" t="str">
        <f ca="1">VLOOKUP(M19,弟子基础属性!$C$1:$V$191,2,0)</f>
        <v>乾坤大挪移</v>
      </c>
      <c r="AH5" s="600">
        <f ca="1">VLOOKUP(M19,弟子基础属性!$C$1:$V$191,3,0)</f>
        <v>68</v>
      </c>
      <c r="AI5" s="708" t="str">
        <f ca="1">$M$19</f>
        <v>张无忌</v>
      </c>
      <c r="AJ5" s="459"/>
      <c r="AK5" s="429"/>
      <c r="AL5" s="701">
        <f ca="1">VLOOKUP(AL1,$M$11:$P$33,3,0)</f>
        <v>304018</v>
      </c>
      <c r="AM5" s="706">
        <f>VLOOKUP(AM1,$F$11:$H$32,3,0)</f>
        <v>180796</v>
      </c>
      <c r="AN5" s="703" t="s">
        <v>7</v>
      </c>
      <c r="AO5" s="747">
        <f ca="1">IF(AS14=11,SUM(AU9:AU14),IF(AS14&lt;0,AW11,AW10))</f>
        <v>153573</v>
      </c>
      <c r="AP5" s="758">
        <f ca="1">AS14</f>
        <v>-3</v>
      </c>
      <c r="AQ5" s="747">
        <f ca="1">IF(AS14=11,SUM(AV9:AV14),IF(AS14&lt;0,AW14,AW13))</f>
        <v>765299.52</v>
      </c>
      <c r="AR5" s="749">
        <f ca="1">IF(AS14=11,AR11,IF(AS14&lt;0,AR12,AR13))</f>
        <v>0</v>
      </c>
      <c r="AS5" s="750">
        <f ca="1">IF(AS14=11,AS11,IF(AS14&lt;0,AS12,AS13))</f>
        <v>274617</v>
      </c>
      <c r="AT5" s="600"/>
      <c r="AU5" s="459"/>
      <c r="AV5" s="459"/>
      <c r="AW5" s="459"/>
      <c r="AX5" s="708"/>
    </row>
    <row r="6" ht="15" customHeight="1" spans="1:50">
      <c r="A6" s="421"/>
      <c r="B6" s="404"/>
      <c r="C6" s="427" t="s">
        <v>25</v>
      </c>
      <c r="D6" s="428"/>
      <c r="E6" s="429"/>
      <c r="F6" s="425" t="s">
        <v>26</v>
      </c>
      <c r="G6" s="426">
        <v>8706</v>
      </c>
      <c r="H6" s="201">
        <v>4126</v>
      </c>
      <c r="I6" s="201">
        <v>9012</v>
      </c>
      <c r="J6" s="201">
        <v>5755</v>
      </c>
      <c r="K6" s="201">
        <v>3111</v>
      </c>
      <c r="L6" s="201">
        <v>3487</v>
      </c>
      <c r="M6" s="201">
        <v>3093</v>
      </c>
      <c r="N6" s="201">
        <v>5721</v>
      </c>
      <c r="O6" s="514">
        <v>8505</v>
      </c>
      <c r="P6" s="515" t="s">
        <v>27</v>
      </c>
      <c r="Q6" s="591">
        <f ca="1">IF(ROUNDUP((Q3/T4-AJ3)/AJ4,)+1&lt;1,"",ROUNDUP((Q3/T4-AJ3)/AJ4,)+1)</f>
        <v>28546</v>
      </c>
      <c r="R6" s="585" t="s">
        <v>28</v>
      </c>
      <c r="S6" s="459"/>
      <c r="T6" s="586">
        <f>IF(VLOOKUP(P2,加成系数!A:E,4,0)="","",IF(ISNUMBER(VLOOKUP(P2,加成系数!A:E,4,0))=FALSE,"",VLOOKUP(P2,加成系数!A:E,4,0)))</f>
        <v>1.8</v>
      </c>
      <c r="U6" s="573"/>
      <c r="V6" s="592" t="s">
        <v>29</v>
      </c>
      <c r="W6" s="593">
        <v>3</v>
      </c>
      <c r="Y6" s="656">
        <f ca="1">VLOOKUP($M$21,弟子基础属性!$C$1:$T$189,5,0)</f>
        <v>180</v>
      </c>
      <c r="Z6" s="657">
        <f ca="1">VLOOKUP(M21,弟子基础属性!$C$1:$T$189,10,0)</f>
        <v>10</v>
      </c>
      <c r="AA6" s="658">
        <f ca="1">VLOOKUP($M$21,弟子基础属性!$C$1:$T$189,6,0)</f>
        <v>100</v>
      </c>
      <c r="AB6" s="659">
        <f ca="1">VLOOKUP(M21,弟子基础属性!$C$1:$T$189,11,0)</f>
        <v>4.6</v>
      </c>
      <c r="AC6" s="600">
        <f ca="1">VLOOKUP($M$21,弟子基础属性!$C$1:$T$189,7,0)</f>
        <v>120</v>
      </c>
      <c r="AD6" s="658">
        <f ca="1">VLOOKUP(M21,弟子基础属性!$C$1:$T$189,12,0)</f>
        <v>6.5</v>
      </c>
      <c r="AE6" s="659">
        <f ca="1">VLOOKUP(M21,弟子基础属性!$C$1:$V$191,8,0)</f>
        <v>360</v>
      </c>
      <c r="AF6" s="658">
        <f ca="1">VLOOKUP(M21,弟子基础属性!$C$1:$V$191,13,0)</f>
        <v>12</v>
      </c>
      <c r="AG6" s="600" t="str">
        <f ca="1">VLOOKUP(M21,弟子基础属性!$C$1:$V$191,2,0)</f>
        <v>玉女心经</v>
      </c>
      <c r="AH6" s="600">
        <f ca="1">VLOOKUP(M21,弟子基础属性!$C$1:$V$191,3,0)</f>
        <v>0</v>
      </c>
      <c r="AI6" s="708" t="str">
        <f ca="1">$M$21</f>
        <v>小龙女</v>
      </c>
      <c r="AJ6" s="459"/>
      <c r="AK6" s="429"/>
      <c r="AL6" s="701" t="s">
        <v>30</v>
      </c>
      <c r="AM6" s="706" t="s">
        <v>30</v>
      </c>
      <c r="AN6" s="703" t="s">
        <v>31</v>
      </c>
      <c r="AO6" s="747">
        <f ca="1">IF(AS21=11,SUM(AU16:AU21),IF(AS21&lt;0,AW18,AW17))</f>
        <v>0</v>
      </c>
      <c r="AP6" s="758">
        <f ca="1">AS21</f>
        <v>-1</v>
      </c>
      <c r="AQ6" s="747">
        <f ca="1">IF(AS21=11,SUM(AV16:AV21),IF(AS21&lt;0,AW21,AW20))</f>
        <v>253262.4</v>
      </c>
      <c r="AR6" s="749">
        <f ca="1">IF(AS21=11,AR18,IF(AS21&lt;0,AR19,AR20))</f>
        <v>0</v>
      </c>
      <c r="AS6" s="750">
        <f ca="1">IF(AS21=11,AS18,IF(AS21&lt;0,AS19,AS20))</f>
        <v>428190</v>
      </c>
      <c r="AT6" s="600"/>
      <c r="AU6" s="459"/>
      <c r="AV6" s="459"/>
      <c r="AW6" s="459"/>
      <c r="AX6" s="708"/>
    </row>
    <row r="7" ht="15" customHeight="1" spans="1:50">
      <c r="A7" s="421"/>
      <c r="B7" s="404"/>
      <c r="C7" s="430">
        <v>180</v>
      </c>
      <c r="D7" s="431">
        <f>IF(C7&lt;1,1,IF(ISNUMBER(C7)=FALSE,1,IF(ISNUMBER(血战等级!M4)=FALSE,1,IF(血战等级!M4&lt;1,1,血战等级!M4))))</f>
        <v>28546</v>
      </c>
      <c r="E7" s="429"/>
      <c r="F7" s="432" t="s">
        <v>32</v>
      </c>
      <c r="G7" s="433">
        <v>0</v>
      </c>
      <c r="H7" s="434">
        <v>0</v>
      </c>
      <c r="I7" s="434">
        <v>0.152</v>
      </c>
      <c r="J7" s="434">
        <v>0</v>
      </c>
      <c r="K7" s="434">
        <v>0</v>
      </c>
      <c r="L7" s="434">
        <v>0</v>
      </c>
      <c r="M7" s="434">
        <v>0</v>
      </c>
      <c r="N7" s="434">
        <v>0.426</v>
      </c>
      <c r="O7" s="516">
        <v>0</v>
      </c>
      <c r="P7" s="517" t="s">
        <v>33</v>
      </c>
      <c r="Q7" s="594">
        <f>C7</f>
        <v>180</v>
      </c>
      <c r="R7" s="595" t="s">
        <v>34</v>
      </c>
      <c r="S7" s="459"/>
      <c r="T7" s="596">
        <f>IF(VLOOKUP(P2,加成系数!A:E,5,0)="","",IF(ISNUMBER(VLOOKUP(P2,加成系数!A:E,5,0))=FALSE,"",VLOOKUP(P2,加成系数!A:E,5,0)))</f>
        <v>1.8</v>
      </c>
      <c r="U7" s="597"/>
      <c r="V7" s="598" t="s">
        <v>35</v>
      </c>
      <c r="W7" s="599">
        <v>1.3</v>
      </c>
      <c r="Y7" s="656">
        <f ca="1">VLOOKUP($M$23,弟子基础属性!$C$1:$T$189,5,0)</f>
        <v>240</v>
      </c>
      <c r="Z7" s="657">
        <f ca="1">VLOOKUP(M23,弟子基础属性!$C$1:$T$189,10,0)</f>
        <v>12</v>
      </c>
      <c r="AA7" s="658">
        <f ca="1">VLOOKUP($M$23,弟子基础属性!$C$1:$T$189,6,0)</f>
        <v>118</v>
      </c>
      <c r="AB7" s="659">
        <f ca="1">VLOOKUP(M23,弟子基础属性!$C$1:$T$189,11,0)</f>
        <v>5.9</v>
      </c>
      <c r="AC7" s="600">
        <f ca="1">VLOOKUP($M$23,弟子基础属性!$C$1:$T$189,7,0)</f>
        <v>76</v>
      </c>
      <c r="AD7" s="658">
        <f ca="1">VLOOKUP(M23,弟子基础属性!$C$1:$T$189,12,0)</f>
        <v>3.8</v>
      </c>
      <c r="AE7" s="659">
        <f ca="1">VLOOKUP(M23,弟子基础属性!$C$1:$V$191,8,0)</f>
        <v>300</v>
      </c>
      <c r="AF7" s="658">
        <f ca="1">VLOOKUP(M23,弟子基础属性!$C$1:$V$191,13,0)</f>
        <v>10</v>
      </c>
      <c r="AG7" s="600" t="str">
        <f ca="1">VLOOKUP(M23,弟子基础属性!$C$1:$V$191,2,0)</f>
        <v>降龙十八掌</v>
      </c>
      <c r="AH7" s="600">
        <f ca="1">VLOOKUP(M23,弟子基础属性!$C$1:$V$191,3,0)</f>
        <v>25</v>
      </c>
      <c r="AI7" s="708" t="str">
        <f ca="1">$M$23</f>
        <v>郭靖</v>
      </c>
      <c r="AJ7" s="459"/>
      <c r="AK7" s="429"/>
      <c r="AL7" s="709">
        <f ca="1">VLOOKUP(AL1,$M$11:$P$33,4,0)</f>
        <v>118193</v>
      </c>
      <c r="AM7" s="710">
        <f ca="1">VLOOKUP(AM1,$F$11:$I$32,4,0)</f>
        <v>38289</v>
      </c>
      <c r="AN7" s="711" t="s">
        <v>36</v>
      </c>
      <c r="AO7" s="751">
        <f ca="1">IF(AS28=11,SUM(AU23:AU28),IF(AS28&lt;0,AW25,AW24))</f>
        <v>0</v>
      </c>
      <c r="AP7" s="759">
        <f ca="1">AS28</f>
        <v>-1</v>
      </c>
      <c r="AQ7" s="751">
        <f ca="1">IF(AS28=11,SUM(AV23:AV28),IF(AS28&lt;0,AW28,AW27))</f>
        <v>255099.84</v>
      </c>
      <c r="AR7" s="753">
        <f ca="1">IF(AS28=11,AR25,IF(AS28&lt;0,AR26,AR27))</f>
        <v>0</v>
      </c>
      <c r="AS7" s="754">
        <f ca="1">IF(AS28=11,AS25,IF(AS28&lt;0,AS26,AS27))</f>
        <v>428190</v>
      </c>
      <c r="AT7" s="600"/>
      <c r="AU7" s="459" t="s">
        <v>37</v>
      </c>
      <c r="AV7" s="459" t="s">
        <v>38</v>
      </c>
      <c r="AW7" s="459"/>
      <c r="AX7" s="708"/>
    </row>
    <row r="8" ht="9" customHeight="1" spans="1:50">
      <c r="A8" s="421"/>
      <c r="B8" s="404"/>
      <c r="C8" s="435"/>
      <c r="D8" s="435"/>
      <c r="F8" s="436"/>
      <c r="G8" s="437"/>
      <c r="H8" s="437"/>
      <c r="I8" s="437"/>
      <c r="J8" s="437"/>
      <c r="K8" s="437"/>
      <c r="L8" s="518"/>
      <c r="M8" s="508"/>
      <c r="N8" s="410"/>
      <c r="O8" s="410"/>
      <c r="P8" s="410"/>
      <c r="Q8" s="410"/>
      <c r="R8" s="501"/>
      <c r="S8" s="600"/>
      <c r="T8" s="600"/>
      <c r="U8" s="597"/>
      <c r="V8" s="601"/>
      <c r="Y8" s="656">
        <f ca="1">VLOOKUP($M$25,弟子基础属性!$C$1:$T$189,5,0)</f>
        <v>280</v>
      </c>
      <c r="Z8" s="657">
        <f ca="1">VLOOKUP(M25,弟子基础属性!$C$1:$T$189,10,0)</f>
        <v>11</v>
      </c>
      <c r="AA8" s="658">
        <f ca="1">VLOOKUP($M$25,弟子基础属性!$C$1:$T$189,6,0)</f>
        <v>100</v>
      </c>
      <c r="AB8" s="659">
        <f ca="1">VLOOKUP(M25,弟子基础属性!$C$1:$T$189,11,0)</f>
        <v>2.1</v>
      </c>
      <c r="AC8" s="600">
        <f ca="1">VLOOKUP($M$25,弟子基础属性!$C$1:$T$189,7,0)</f>
        <v>100</v>
      </c>
      <c r="AD8" s="658">
        <f ca="1">VLOOKUP(M25,弟子基础属性!$C$1:$T$189,12,0)</f>
        <v>2.2</v>
      </c>
      <c r="AE8" s="659">
        <f ca="1">VLOOKUP(M25,弟子基础属性!$C$1:$V$191,8,0)</f>
        <v>380</v>
      </c>
      <c r="AF8" s="658">
        <f ca="1">VLOOKUP(M25,弟子基础属性!$C$1:$V$191,13,0)</f>
        <v>17</v>
      </c>
      <c r="AG8" s="600" t="str">
        <f ca="1">VLOOKUP(M25,弟子基础属性!$C$1:$V$191,2,0)</f>
        <v>长生功</v>
      </c>
      <c r="AH8" s="600">
        <f ca="1">VLOOKUP(M25,弟子基础属性!$C$1:$V$191,3,0)</f>
        <v>0</v>
      </c>
      <c r="AI8" s="708" t="str">
        <f ca="1">$M$25</f>
        <v>石破天</v>
      </c>
      <c r="AJ8" s="459"/>
      <c r="AK8" s="429"/>
      <c r="AL8" s="712"/>
      <c r="AM8" s="410" t="s">
        <v>39</v>
      </c>
      <c r="AN8" s="713"/>
      <c r="AO8" s="760" t="s">
        <v>40</v>
      </c>
      <c r="AP8" s="410" t="s">
        <v>41</v>
      </c>
      <c r="AQ8" s="760"/>
      <c r="AR8" s="508" t="s">
        <v>42</v>
      </c>
      <c r="AS8" s="508" t="s">
        <v>43</v>
      </c>
      <c r="AT8" s="459"/>
      <c r="AU8" s="459">
        <v>0</v>
      </c>
      <c r="AV8" s="459">
        <v>0</v>
      </c>
      <c r="AW8" s="459"/>
      <c r="AX8" s="708"/>
    </row>
    <row r="9" ht="14.25" customHeight="1" spans="1:50">
      <c r="A9" s="421"/>
      <c r="B9" s="404"/>
      <c r="C9" s="438" t="s">
        <v>44</v>
      </c>
      <c r="D9" s="439"/>
      <c r="E9" s="440"/>
      <c r="F9" s="441" t="s">
        <v>45</v>
      </c>
      <c r="G9" s="442" t="s">
        <v>46</v>
      </c>
      <c r="H9" s="443" t="s">
        <v>47</v>
      </c>
      <c r="I9" s="443" t="s">
        <v>48</v>
      </c>
      <c r="J9" s="443" t="s">
        <v>49</v>
      </c>
      <c r="K9" s="519" t="s">
        <v>42</v>
      </c>
      <c r="L9" s="520" t="s">
        <v>50</v>
      </c>
      <c r="M9" s="521" t="s">
        <v>51</v>
      </c>
      <c r="N9" s="522" t="s">
        <v>46</v>
      </c>
      <c r="O9" s="522" t="s">
        <v>47</v>
      </c>
      <c r="P9" s="522" t="s">
        <v>48</v>
      </c>
      <c r="Q9" s="522" t="s">
        <v>49</v>
      </c>
      <c r="R9" s="522" t="s">
        <v>52</v>
      </c>
      <c r="S9" s="602" t="s">
        <v>53</v>
      </c>
      <c r="T9" s="603" t="s">
        <v>54</v>
      </c>
      <c r="U9" s="604" t="s">
        <v>55</v>
      </c>
      <c r="V9" s="605" t="s">
        <v>8</v>
      </c>
      <c r="W9" s="606" t="s">
        <v>56</v>
      </c>
      <c r="Y9" s="660">
        <f ca="1">VLOOKUP($M$28,弟子基础属性!$C$1:$T$189,5,0)</f>
        <v>180</v>
      </c>
      <c r="Z9" s="402">
        <f ca="1">VLOOKUP(M28,弟子基础属性!$C$1:$T$189,10,0)</f>
        <v>10</v>
      </c>
      <c r="AA9" s="402">
        <f ca="1">VLOOKUP($M$28,弟子基础属性!$C$1:$T$189,6,0)</f>
        <v>150</v>
      </c>
      <c r="AB9" s="661">
        <f ca="1">VLOOKUP(M28,弟子基础属性!$C$1:$T$189,11,0)</f>
        <v>7.1</v>
      </c>
      <c r="AC9" s="662">
        <f ca="1">VLOOKUP($M$28,弟子基础属性!$C$1:$T$189,7,0)</f>
        <v>80</v>
      </c>
      <c r="AD9" s="429">
        <f ca="1">VLOOKUP(M28,弟子基础属性!$C$1:$T$189,12,0)</f>
        <v>4</v>
      </c>
      <c r="AE9" s="663">
        <f ca="1">VLOOKUP(M28,弟子基础属性!$C$1:$V$191,8,0)</f>
        <v>360</v>
      </c>
      <c r="AF9" s="661">
        <f ca="1">VLOOKUP(M28,弟子基础属性!$C$1:$V$191,13,0)</f>
        <v>12</v>
      </c>
      <c r="AG9" s="662" t="str">
        <f ca="1">VLOOKUP(M28,弟子基础属性!$C$1:$V$191,2,0)</f>
        <v>黯然销魂掌</v>
      </c>
      <c r="AH9" s="663">
        <f ca="1">VLOOKUP(M28,弟子基础属性!$C$1:$V$191,3,0)</f>
        <v>50</v>
      </c>
      <c r="AI9" s="714" t="str">
        <f ca="1">$M$28</f>
        <v>杨过</v>
      </c>
      <c r="AJ9" s="600"/>
      <c r="AK9" s="600"/>
      <c r="AL9" s="715">
        <f ca="1">IF(COUNTIF(AN9:AP9,0)=0,0,1)</f>
        <v>0</v>
      </c>
      <c r="AM9" s="716">
        <f ca="1">IF(AL1="西门吹雪",AL5*1.15,IF(AL1="丁鹏",AL5*1.1,AL5))</f>
        <v>304018</v>
      </c>
      <c r="AN9" s="717">
        <f ca="1">INT(AL7*(1-H30/100))</f>
        <v>108737</v>
      </c>
      <c r="AO9" s="755">
        <f ca="1">IF(AL1="令狐冲",IF(OR(AL3=0,AL3=""),"",IF(AM5&lt;AN9,AL3-1,IF((AL3+(AN9-AM5)*0.82)&lt;=0,0,(AL3+(AN9-AM5)*0.82)))),IF(OR(AL3=0,AL3=""),"",IF(AM5&lt;AN9,AL3-1,IF((AL3+AN9-AM5)&lt;=0,0,(AL3+AN9-AM5)))))</f>
        <v>356131</v>
      </c>
      <c r="AP9" s="722">
        <f ca="1">IF(AL1="独孤求败",IF(OR(AM3=0,AM3=""),"",IF(AM9&lt;AM7,AM3-1,IF((AM3-(AM9-AM7)*(1+0.18-HLOOKUP(AM1,G2:O7,6,0)-A26))&gt;0,(AM3-(AM9-AM7)*(1+0.18-HLOOKUP(AM1,G2:O7,6,0)-A26)),0))),IF(OR(AM3=0,AM3=""),"",IF(AM9&lt;AM7,AM3-1,IF((AM3+(AM7-AM9))*(1-HLOOKUP(AM1,G2:O7,6,0)-A26)&gt;0,(AM3+(AM7-AM9))*(1-HLOOKUP(AM1,G2:O7,6,0)),0)-A26)))</f>
        <v>-0.04</v>
      </c>
      <c r="AQ9" s="755">
        <v>-1</v>
      </c>
      <c r="AR9" s="732"/>
      <c r="AS9" s="761" t="str">
        <f ca="1">IF(ISEVEN(VLOOKUP(AL1,M11:Y28,13,0)),"后手","先手")</f>
        <v>后手</v>
      </c>
      <c r="AT9" s="459"/>
      <c r="AU9" s="762">
        <f ca="1">IF(AND(ISNUMBER(AM5),ISNUMBER(AN9)),IF(AM5-AN9&lt;2,1,AM5-AN9),"")</f>
        <v>72059</v>
      </c>
      <c r="AV9" s="763">
        <f ca="1">IF(AND(ISNUMBER(AM9),ISNUMBER(AM7)),IF(AM9-AM7&lt;2,1,(AM9-AM7)*(1-HLOOKUP(AM1,G2:O7,6,0)-A26)),"")</f>
        <v>255099.84</v>
      </c>
      <c r="AW9" s="782" t="s">
        <v>57</v>
      </c>
      <c r="AX9" s="708"/>
    </row>
    <row r="10" ht="14.25" customHeight="1" spans="1:50">
      <c r="A10" s="421"/>
      <c r="B10" s="404"/>
      <c r="C10" s="444">
        <v>609</v>
      </c>
      <c r="D10" s="445"/>
      <c r="E10" s="440"/>
      <c r="F10" s="446"/>
      <c r="G10" s="447"/>
      <c r="H10" s="448"/>
      <c r="I10" s="448"/>
      <c r="J10" s="448"/>
      <c r="K10" s="523"/>
      <c r="L10" s="524"/>
      <c r="M10" s="525"/>
      <c r="N10" s="526"/>
      <c r="O10" s="526"/>
      <c r="P10" s="526"/>
      <c r="Q10" s="526"/>
      <c r="R10" s="526"/>
      <c r="S10" s="607"/>
      <c r="T10" s="608"/>
      <c r="U10" s="609"/>
      <c r="V10" s="610"/>
      <c r="W10" s="611"/>
      <c r="Y10" s="664" t="str">
        <f>VLOOKUP($Z$10,弟子基础属性!$C$1:$S$183,2,0)</f>
        <v>天外流星</v>
      </c>
      <c r="Z10" s="665" t="str">
        <f>$V$9</f>
        <v>丁鹏</v>
      </c>
      <c r="AA10" s="666">
        <f>VLOOKUP($Y$10,武功表!$A$2:$W$153,4,0)</f>
        <v>27</v>
      </c>
      <c r="AB10" s="667">
        <f>VLOOKUP($Y$10,武功表!$A$2:$W$153,9,0)</f>
        <v>4</v>
      </c>
      <c r="AC10" s="668" t="s">
        <v>58</v>
      </c>
      <c r="AD10" s="668" t="s">
        <v>59</v>
      </c>
      <c r="AE10" s="669" t="s">
        <v>60</v>
      </c>
      <c r="AF10" s="670" t="s">
        <v>61</v>
      </c>
      <c r="AG10" s="670" t="s">
        <v>62</v>
      </c>
      <c r="AH10" s="718" t="s">
        <v>63</v>
      </c>
      <c r="AI10" s="719" t="s">
        <v>64</v>
      </c>
      <c r="AJ10" s="669" t="s">
        <v>65</v>
      </c>
      <c r="AK10" s="720" t="s">
        <v>66</v>
      </c>
      <c r="AL10" s="721">
        <f ca="1" t="shared" ref="AL10:AL14" si="0">IF(OR(AL9=1,AL9=""),"",IF(COUNTIF(AN10:AP10,0)=0,0,1))</f>
        <v>0</v>
      </c>
      <c r="AM10" s="722"/>
      <c r="AN10" s="723">
        <f ca="1">INT(AL7*(1-H30/100*2))</f>
        <v>99282</v>
      </c>
      <c r="AO10" s="764">
        <f ca="1">IF(AL1="令狐冲",IF(OR(AO9=0,AO9=""),"",IF(AM5&lt;AN10,AO9-1,IF((AO9+(AN10-AM5)*0.82)&lt;=0,0,(AO9+(AN10-AM5)*0.82)))),IF(OR(AO9=0,AO9=""),"",IF(AM5&lt;AN10,AO9-1,IF((AO9+AN10-AM5)&lt;=0,0,(AO9+AN10-AM5)))))</f>
        <v>274617</v>
      </c>
      <c r="AP10" s="722">
        <f ca="1">IF(AL1="独孤求败",IF(OR(AP9=0,AP9=""),"",IF(AL5&lt;AM7,AP9-1,IF((AP9-(AL5-AM7)*(1+0.18-HLOOKUP(AM1,G2:O7,6,0)-A26))&gt;0,(AP9-(AL5-AM7)*(1+0.18-HLOOKUP(AM1,G2:O7,6,0)-A26)),0))),IF(OR(AP9=0,AP9=""),"",IF(AL5&lt;AM7,AP9-1,IF((AP9+(AM7-AL5))*(1-HLOOKUP(AM1,G2:O7,6,0)-A26)&gt;0,(AP9+(AM7-AL5))*(1-HLOOKUP(AM1,G2:O7,6,0)),0)-A26)))</f>
        <v>-0.04</v>
      </c>
      <c r="AQ10" s="764">
        <v>-2</v>
      </c>
      <c r="AR10" s="765"/>
      <c r="AS10" s="766">
        <f ca="1">AL3</f>
        <v>428190</v>
      </c>
      <c r="AT10" s="459"/>
      <c r="AU10" s="767">
        <f ca="1">IF(AND(ISNUMBER(AM5),ISNUMBER(AN10)),IF(AM5-AN10&lt;2,1,AM5-AN10),"")</f>
        <v>81514</v>
      </c>
      <c r="AV10" s="586">
        <f ca="1">IF(AND(ISNUMBER(AL5),ISNUMBER(AM7)),IF(AL5-AM7&lt;2,1,(AL5-AM7)*(1-HLOOKUP(AM1,G2:O7,6,0)-A26)),"")</f>
        <v>255099.84</v>
      </c>
      <c r="AW10" s="783">
        <f ca="1">SUM(OFFSET(AU9,0,0,ABS(AT14),1))</f>
        <v>244543</v>
      </c>
      <c r="AX10" s="708" t="s">
        <v>67</v>
      </c>
    </row>
    <row r="11" ht="14.25" customHeight="1" spans="1:50">
      <c r="A11" s="421"/>
      <c r="B11" s="404"/>
      <c r="C11" s="449"/>
      <c r="D11" s="449"/>
      <c r="E11" s="440"/>
      <c r="F11" s="450" t="s">
        <v>2</v>
      </c>
      <c r="G11" s="451">
        <f>IF(AND(ISNUMBER(CHOOSE(FIND("1",(F11=$G$2)*1&amp;(F11=$H$2)*1&amp;(F11=$I$2)*1&amp;(F11=$J$2)*1&amp;(F11=$K$2)*1&amp;(F11=$L$2)*1&amp;(F11=$M$2)*1&amp;(F11=$N$2)*1&amp;(F11=$O$2)*1),$G$3,$H$3,$I$3,$J$3,$K$3,$L$3,$M$3,$N$3,$O$3)),ISNUMBER($C$10)),INT(CHOOSE(FIND("1",(F11=$G$2)*1&amp;(F11=$H$2)*1&amp;(F11=$I$2)*1&amp;(F11=$J$2)*1&amp;(F11=$K$2)*1&amp;(F11=$L$2)*1&amp;(F11=$M$2)*1&amp;(F11=$N$2)*1&amp;(F11=$O$2)*1),$G$3,$H$3,$I$3,$J$3,$K$3,$L$3,$M$3,$N$3,$O$3)*(1+$C$10/100)),"")</f>
        <v>308003</v>
      </c>
      <c r="H11" s="452">
        <f>IF((OR($D$21="有")),(INT((IF(AND(ISNUMBER(CHOOSE(FIND("1",(F11=$G$2)*1&amp;(F11=$H$2)*1&amp;(F11=$I$2)*1&amp;(F11=$J$2)*1&amp;(F11=$K$2)*1&amp;(F11=$L$2)*1&amp;(F11=$M$2)*1&amp;(F11=$N$2)*1&amp;(F11=$O$2)*1),$G$4,$H$4,$I$4,$J$4,$K$4,$L$4,$M$4,$N$4,$O$4)),ISNUMBER($C$13)),INT(CHOOSE(FIND("1",(F11=$G$2)*1&amp;(F11=$H$2)*1&amp;(F11=$I$2)*1&amp;(F11=$J$2)*1&amp;(F11=$K$2)*1&amp;(F11=$L$2)*1&amp;(F11=$M$2)*1&amp;(F11=$N$2)*1&amp;(F11=$O$2)*1),$G$4,$H$4,$I$4,$J$4,$K$4,$L$4,$M$4,$N$4,$O$4)*(1+$C$13/100)),""))*1.05)+$D$22*2),(IF(AND(ISNUMBER(CHOOSE(FIND("1",(F11=$G$2)*1&amp;(F11=$H$2)*1&amp;(F11=$I$2)*1&amp;(F11=$J$2)*1&amp;(F11=$K$2)*1&amp;(F11=$L$2)*1&amp;(F11=$M$2)*1&amp;(F11=$N$2)*1&amp;(F11=$O$2)*1),$G$4,$H$4,$I$4,$J$4,$K$4,$L$4,$M$4,$N$4,$O$4)),ISNUMBER($C$13)),INT(CHOOSE(FIND("1",(F11=$G$2)*1&amp;(F11=$H$2)*1&amp;(F11=$I$2)*1&amp;(F11=$J$2)*1&amp;(F11=$K$2)*1&amp;(F11=$L$2)*1&amp;(F11=$M$2)*1&amp;(F11=$N$2)*1&amp;(F11=$O$2)*1),$G$4,$H$4,$I$4,$J$4,$K$4,$L$4,$M$4,$N$4,$O$4)*(1+$C$13/100)),"")))</f>
        <v>488684</v>
      </c>
      <c r="I11" s="452">
        <f ca="1">IF(OR(M11="王语嫣",M15="王语嫣"),HLOOKUP(F11,G2:O7,4,0)*(1+C16*0.01)*(1-0.08)-D7*3+A29*4,HLOOKUP(F11,G2:O7,4,0)*(1+C16*0.01)+A29*4)</f>
        <v>25196</v>
      </c>
      <c r="J11" s="527">
        <f ca="1">IF(T31="无",AF11,IF(T31="攻透",AG11,AH11))</f>
        <v>188416.5</v>
      </c>
      <c r="K11" s="528">
        <f ca="1">IF(AND(L11&gt;0,L11&lt;7),G11-Q11*(L11-1),IF(AND(L11&lt;0,L11&gt;-6),0,G11-Q11*5))</f>
        <v>19033.4</v>
      </c>
      <c r="L11" s="529">
        <f ca="1">IF(OR(N11="",J11="",Q11="",G11=""),"",IF(OR(ROUNDUP(N11/J11,0)&lt;7,ROUNDUP(G11/Q11,0)&lt;6),IF(ROUNDUP(N11/J11,0)&lt;=ROUNDUP(G11/Q11,0),ROUNDUP(N11/J11,0),-ROUNDUP(G11/Q11,0)),11))</f>
        <v>3</v>
      </c>
      <c r="M11" s="530" t="str">
        <f ca="1">IF(ISERROR(INDIRECT("队伍表!"&amp;ADDRESS(2,$A$21))),"",INDIRECT("队伍表!"&amp;ADDRESS(2,$A$21)))</f>
        <v>郭襄</v>
      </c>
      <c r="N11" s="531">
        <f ca="1">IF(OR(M11="",ISERROR(Y1),ISERROR(Z1)),"",INT((INT(Z1*($D$7-1)+Y1))*$T$4))</f>
        <v>514230</v>
      </c>
      <c r="O11" s="532">
        <f ca="1">IF(OR($M$11="神捕冷血",$M$11="谢晓峰"),AJ11*1.1,AJ11)</f>
        <v>175701</v>
      </c>
      <c r="P11" s="533">
        <f ca="1">IF(IF(D23="有",IF(D25="有",AK11-AK11*0.12-D24*3-D26*3,AK11-AK11*0.08-D24*3),IF(D25="有",AK11-AK11*0.04-D26*3,AK11))&gt;=0,IF(D23="有",IF(D25="有",AK11-AK11*0.12-D24*3-D26*3,AK11-AK11*0.08-D24*3),IF(D25="有",AK11-AK11*0.04-D26*3,AK11)),0)</f>
        <v>329009</v>
      </c>
      <c r="Q11" s="527">
        <f ca="1">IF(M11="独孤求败",(1-HLOOKUP(F11,G2:O7,6,0)-A26+0.18)*AI11,AI11*(1-HLOOKUP(F11,G2:O7,6,0)-A26))</f>
        <v>144484.8</v>
      </c>
      <c r="R11" s="527">
        <f ca="1">IF(AND(L11&gt;0,L11&lt;7),0,IF(L11=11,N11-J11*6,N11+J11*L11))</f>
        <v>0</v>
      </c>
      <c r="S11" s="612">
        <f ca="1">IF(OR(M11="",ISERROR(AE1),ISERROR(AF1)),"",INT((INT(AF1*($D$7-1)+AE1))*$T$7))</f>
        <v>617274</v>
      </c>
      <c r="T11" s="613">
        <f ca="1" t="shared" ref="T11:T15" si="1">IF(AND(ISNUMBER(U11),ISNUMBER(I11),ISNUMBER(AI11)),IF(U11-I11&lt;2,1,U11-I11),"")</f>
        <v>261992.8</v>
      </c>
      <c r="U11" s="614">
        <f ca="1">IF(M11="独孤求败",(1+0.18-HLOOKUP(F11,G2:O7,6,0)-A26)*IF(OR(M11="",ISERROR(S11),ISERROR(AH1)),"",INT(S11*(AH1/100)+O11)),(1-HLOOKUP(F11,G2:O7,6,0)-A26)*IF(OR(M11="",ISERROR(S11),ISERROR(AH1)),"",INT(S11*(AH1/100)+O11)))</f>
        <v>287188.8</v>
      </c>
      <c r="V11" s="615" t="str">
        <f ca="1" t="shared" ref="V11" si="2">IF(ISERROR(IF(AD11&lt;2,1,AD11)),"",IF(AD11&lt;2,1,AD11))</f>
        <v/>
      </c>
      <c r="W11" s="616" t="str">
        <f>IF(ISERROR(IF(F11=$V$9,1,IF(Z11="群",ABS(AB11-$AB$26)+1,""))),"",IF(F11=$V$9,1,IF(Z11="群",ABS(AB11-$AB$26)+1,"")))</f>
        <v/>
      </c>
      <c r="Y11" s="671">
        <v>1</v>
      </c>
      <c r="Z11" s="672" t="str">
        <f>VLOOKUP($Y$10,武功表!$A$2:$W$153,5,0)</f>
        <v>群</v>
      </c>
      <c r="AA11" s="673" t="str">
        <f t="shared" ref="AA11" si="3">IF(F11=$V$9,1,"")</f>
        <v/>
      </c>
      <c r="AB11" s="673">
        <v>1</v>
      </c>
      <c r="AC11" s="674" t="e">
        <f ca="1">CHOOSE(W11,(Z23*1+W4*W5*0.01)*Z26-P11,(Z23*Z29+W4*AA29*W5*0.01)*Z26-P11*AB29,(Z23*Z30+W4*AA30*W5*0.01)*Z26-P11*AB30,(Z23*Z31+W4*AA31*W5*0.01)*Z26-P11*AB31,(Z23*Z32+W4*AA32*W5*0.01)*Z26-P11*AB32,(Z23*Z33+W4*AA33*W5*0.01)*Z26-P11*AB33,(Z23*Z34+W4*AA34*W5*0.01)*Z26-P11*AB34,(Z23*Z35+W4*AA35*W5*0.01)*Z26-P11*AB35)</f>
        <v>#VALUE!</v>
      </c>
      <c r="AD11" s="674" t="e">
        <f ca="1">IF(V9="独孤求败",AC11*(1-HLOOKUP(F11,G2:O7,6,0)-A26+0.18),AC11*(1-HLOOKUP(F11,G2:O7,6,0)-A26))</f>
        <v>#VALUE!</v>
      </c>
      <c r="AE11" s="675">
        <f ca="1">IF(AND(ISNUMBER(H11),ISNUMBER(P11)),IF(H11-P11&lt;2,1,H11-P11),"")</f>
        <v>159675</v>
      </c>
      <c r="AF11" s="676">
        <f ca="1">IF(F11="独孤求败",IF(M11="令狐冲",AE11,AE11*1.18),IF(M11="令狐冲",AE11*0.82,AE11))</f>
        <v>188416.5</v>
      </c>
      <c r="AG11" s="676">
        <f ca="1">IF(F11=V31,INT(W31*VLOOKUP(V31,F11:J32,3,0)+AF11),AF11)</f>
        <v>188416.5</v>
      </c>
      <c r="AH11" s="724">
        <f ca="1">IF(F11=V31,INT(W31*INT(HLOOKUP(V31,G2:O6,5,0)*(1+C19/100))+AF11),AF11)</f>
        <v>188416.5</v>
      </c>
      <c r="AI11" s="725">
        <f ca="1" t="shared" ref="AI11:AI15" si="4">IF(AND(ISNUMBER(O11),ISNUMBER(I11)),IF(O11-I11&lt;2,1,O11-I11),"")</f>
        <v>150505</v>
      </c>
      <c r="AJ11" s="675">
        <f ca="1">IF($M$11="阿青",INT((IF(M11="阿飞",INT(1.04*IF(OR(M11="",ISERROR(AA1),ISERROR(AB1)),"",INT(INT((AB1*($D$7-1)+AA1))*$T$5))),IF(OR(M11="",ISERROR(AA1),ISERROR(AB1)),"",INT(INT((AB1*($D$7-1)+AA1))*$T$5))))*1.05+2*$T$3),INT((IF(M11="阿飞",INT(1.04*IF(OR(M11="",ISERROR(AA1),ISERROR(AB1)),"",INT(INT((AB1*($D$7-1)+AA1))*$T$5))),IF(OR(M11="",ISERROR(AA1),ISERROR(AB1)),"",INT(INT((AB1*($D$7-1)+AA1))*$T$5))))))</f>
        <v>175701</v>
      </c>
      <c r="AK11" s="724">
        <f ca="1">INT(IF(OR(M11="",ISERROR(AC1),ISERROR(AD1)),"",IF(VLOOKUP(M11,弟子基础属性!$C$1:$S$171,2,0)="金钟罩",INT(1.1*INT((INT(AD1*($D$7-1)+AC1))*$T$6)),IF(VLOOKUP(M11,弟子基础属性!$C$1:$S$171,2,0)="玉女心经",INT(1.07*INT((INT(AD1*($D$7-1)+AC1))*$T$6)),IF(VLOOKUP(M11,弟子基础属性!$C$1:$S$171,2,0)="先天罡气",INT(1.05*INT((INT(AD1*($D$7-1)+AC1))*$T$6)),INT((INT(AD1*($D$7-1)+AC1))*$T$6))))))</f>
        <v>329009</v>
      </c>
      <c r="AL11" s="721">
        <f ca="1" t="shared" si="0"/>
        <v>1</v>
      </c>
      <c r="AM11" s="722"/>
      <c r="AN11" s="723">
        <f ca="1">INT(AL7*(1-H30/100*3))</f>
        <v>89826</v>
      </c>
      <c r="AO11" s="764">
        <f ca="1">IF(AL1="令狐冲",IF(OR(AO10=0,AO10=""),"",IF(AM5&lt;AN11,AO10-1,IF((AO10+(AN11-AM5)*0.82)&lt;=0,0,(AO10+(AN11-AM5)*0.82)))),IF(OR(AO10=0,AO10=""),"",IF(AM5&lt;AN11,AO10-1,IF((AO10+AN11-AM5)&lt;=0,0,(AO10+AN11-AM5)))))</f>
        <v>183647</v>
      </c>
      <c r="AP11" s="722">
        <f ca="1">IF(AL1="独孤求败",IF(OR(AP10=0,AP10=""),"",IF(AL5&lt;AM7,AP10-1,IF((AP10-(AL5-AM7)*(1+0.18-HLOOKUP(AM1,G2:O7,6,0)-A26))&gt;0,(AP10-(AL5-AM7)*(1+0.18-HLOOKUP(AM1,G2:O7,6,0)-A26)),0))),IF(OR(AP10=0,AP10=""),"",IF(AL5&lt;AM7,AP10-1,IF((AP10+(AM7-AL5))*(1-HLOOKUP(AM1,G2:O7,6,0)-A26)&gt;0,(AP10+(AM7-AL5))*(1-HLOOKUP(AM1,G2:O7,6,0)-A26),0))))</f>
        <v>0</v>
      </c>
      <c r="AQ11" s="768">
        <v>-3</v>
      </c>
      <c r="AR11" s="707" t="str">
        <f ca="1">IF(AS9="先手",AP13,AP14)</f>
        <v/>
      </c>
      <c r="AS11" s="761">
        <f ca="1">IF(AS9="先手",AO14,AO13)</f>
        <v>0</v>
      </c>
      <c r="AT11" s="769" t="s">
        <v>68</v>
      </c>
      <c r="AU11" s="767">
        <f ca="1">IF(AND(ISNUMBER(AM5),ISNUMBER(AN11)),IF(AM5-AN11&lt;2,1,AM5-AN11),"")</f>
        <v>90970</v>
      </c>
      <c r="AV11" s="586">
        <f ca="1">AV10</f>
        <v>255099.84</v>
      </c>
      <c r="AW11" s="783">
        <f ca="1">IF(AS9="先手",SUM(OFFSET(AU8,0,0,ABS(AT14)+1,1)),SUM(OFFSET(AU8,0,0,ABS(AT14),1)))</f>
        <v>153573</v>
      </c>
      <c r="AX11" s="708" t="s">
        <v>69</v>
      </c>
    </row>
    <row r="12" ht="14.25" customHeight="1" spans="1:50">
      <c r="A12" s="453"/>
      <c r="B12" s="404"/>
      <c r="C12" s="438" t="s">
        <v>70</v>
      </c>
      <c r="D12" s="417"/>
      <c r="E12" s="440"/>
      <c r="F12" s="454"/>
      <c r="G12" s="455"/>
      <c r="H12" s="456"/>
      <c r="I12" s="456"/>
      <c r="J12" s="534"/>
      <c r="K12" s="535"/>
      <c r="L12" s="536"/>
      <c r="M12" s="537"/>
      <c r="N12" s="538"/>
      <c r="O12" s="539"/>
      <c r="P12" s="456"/>
      <c r="Q12" s="534"/>
      <c r="R12" s="534"/>
      <c r="S12" s="617"/>
      <c r="T12" s="618"/>
      <c r="U12" s="619"/>
      <c r="V12" s="620"/>
      <c r="W12" s="621"/>
      <c r="Y12" s="671"/>
      <c r="Z12" s="673">
        <v>1</v>
      </c>
      <c r="AA12" s="673" t="str">
        <f t="shared" ref="AA12:AA25" si="5">IF(F12=$V$9,1,"")</f>
        <v/>
      </c>
      <c r="AB12" s="673"/>
      <c r="AC12" s="674"/>
      <c r="AD12" s="674"/>
      <c r="AE12" s="675"/>
      <c r="AF12" s="676"/>
      <c r="AG12" s="676"/>
      <c r="AH12" s="724"/>
      <c r="AI12" s="725"/>
      <c r="AJ12" s="675"/>
      <c r="AK12" s="724"/>
      <c r="AL12" s="726" t="str">
        <f ca="1" t="shared" si="0"/>
        <v/>
      </c>
      <c r="AM12" s="722"/>
      <c r="AN12" s="723">
        <f ca="1">INT(AL7*(1-H30/100*4))</f>
        <v>80371</v>
      </c>
      <c r="AO12" s="764">
        <f ca="1">IF(AL1="令狐冲",IF(OR(AO11=0,AO11=""),"",IF(AM5&lt;AN12,AO11-1,IF((AO11+(AN12-AM5)*0.82)&lt;=0,0,(AO11+(AN12-AM5)*0.82)))),IF(OR(AO11=0,AO11=""),"",IF(AM5&lt;AN12,AO11-1,IF((AO11+AN12-AM5)&lt;=0,0,(AO11+AN12-AM5)))))</f>
        <v>83222</v>
      </c>
      <c r="AP12" s="722" t="str">
        <f ca="1">IF(AL1="独孤求败",IF(OR(AP11=0,AP11=""),"",IF(AL5&lt;AM7,AP11-1,IF((AP11-(AL5-AM7)*(1+0.18-HLOOKUP(AM1,G2:O7,6,0)-A26))&gt;0,(AP11-(AL5-AM7)*(1+0.18-HLOOKUP(AM1,G2:O7,6,0)-A26)),0))),IF(OR(AP11=0,AP11=""),"",IF(AL5&lt;AM7,AP11-1,IF((AP11+(AM7-AL5))*(1-HLOOKUP(AM1,G2:O7,6,0)-A26)&gt;0,(AP11+(AM7-AL5))*(1-HLOOKUP(AM1,G2:O7,6,0)-A26),0))))</f>
        <v/>
      </c>
      <c r="AQ12" s="768">
        <v>-4</v>
      </c>
      <c r="AR12" s="770">
        <v>0</v>
      </c>
      <c r="AS12" s="586">
        <f ca="1">IF(AS9="后手",IF(AS14=-1,AL3,OFFSET(AO9,ABS(AS14)-2,)),OFFSET(AO9,ABS(AS14)-1,))</f>
        <v>274617</v>
      </c>
      <c r="AT12" s="769" t="s">
        <v>71</v>
      </c>
      <c r="AU12" s="767">
        <f ca="1">IF(AND(ISNUMBER(AM5),ISNUMBER(AN12)),IF(AM5-AN12&lt;2,1,AM5-AN12),"")</f>
        <v>100425</v>
      </c>
      <c r="AV12" s="586">
        <f ca="1">AV10</f>
        <v>255099.84</v>
      </c>
      <c r="AW12" s="783" t="s">
        <v>72</v>
      </c>
      <c r="AX12" s="708"/>
    </row>
    <row r="13" ht="14.25" customHeight="1" spans="1:50">
      <c r="A13" s="457"/>
      <c r="B13" s="404"/>
      <c r="C13" s="458">
        <v>600</v>
      </c>
      <c r="D13" s="423"/>
      <c r="E13" s="431"/>
      <c r="F13" s="454" t="s">
        <v>7</v>
      </c>
      <c r="G13" s="451">
        <f>IF(AND(ISNUMBER(CHOOSE(FIND("1",(F13=$G$2)*1&amp;(F13=$H$2)*1&amp;(F13=$I$2)*1&amp;(F13=$J$2)*1&amp;(F13=$K$2)*1&amp;(F13=$L$2)*1&amp;(F13=$M$2)*1&amp;(F13=$N$2)*1&amp;(F13=$O$2)*1),$G$3,$H$3,$I$3,$J$3,$K$3,$L$3,$M$3,$N$3,$O$3)),ISNUMBER($C$10)),INT(CHOOSE(FIND("1",(F13=$G$2)*1&amp;(F13=$H$2)*1&amp;(F13=$I$2)*1&amp;(F13=$J$2)*1&amp;(F13=$K$2)*1&amp;(F13=$L$2)*1&amp;(F13=$M$2)*1&amp;(F13=$N$2)*1&amp;(F13=$O$2)*1),$G$3,$H$3,$I$3,$J$3,$K$3,$L$3,$M$3,$N$3,$O$3)*(1+$C$10/100)),"")</f>
        <v>191359</v>
      </c>
      <c r="H13" s="452">
        <f>IF((OR($D$21="有")),(INT((IF(AND(ISNUMBER(CHOOSE(FIND("1",(F13=$G$2)*1&amp;(F13=$H$2)*1&amp;(F13=$I$2)*1&amp;(F13=$J$2)*1&amp;(F13=$K$2)*1&amp;(F13=$L$2)*1&amp;(F13=$M$2)*1&amp;(F13=$N$2)*1&amp;(F13=$O$2)*1),$G$4,$H$4,$I$4,$J$4,$K$4,$L$4,$M$4,$N$4,$O$4)),ISNUMBER($C$13)),INT(CHOOSE(FIND("1",(F13=$G$2)*1&amp;(F13=$H$2)*1&amp;(F13=$I$2)*1&amp;(F13=$J$2)*1&amp;(F13=$K$2)*1&amp;(F13=$L$2)*1&amp;(F13=$M$2)*1&amp;(F13=$N$2)*1&amp;(F13=$O$2)*1),$G$4,$H$4,$I$4,$J$4,$K$4,$L$4,$M$4,$N$4,$O$4)*(1+$C$13/100)),""))*1.05)+$D$22*2),(IF(AND(ISNUMBER(CHOOSE(FIND("1",(F13=$G$2)*1&amp;(F13=$H$2)*1&amp;(F13=$I$2)*1&amp;(F13=$J$2)*1&amp;(F13=$K$2)*1&amp;(F13=$L$2)*1&amp;(F13=$M$2)*1&amp;(F13=$N$2)*1&amp;(F13=$O$2)*1),$G$4,$H$4,$I$4,$J$4,$K$4,$L$4,$M$4,$N$4,$O$4)),ISNUMBER($C$13)),INT(CHOOSE(FIND("1",(F13=$G$2)*1&amp;(F13=$H$2)*1&amp;(F13=$I$2)*1&amp;(F13=$J$2)*1&amp;(F13=$K$2)*1&amp;(F13=$L$2)*1&amp;(F13=$M$2)*1&amp;(F13=$N$2)*1&amp;(F13=$O$2)*1),$G$4,$H$4,$I$4,$J$4,$K$4,$L$4,$M$4,$N$4,$O$4)*(1+$C$13/100)),"")))</f>
        <v>180796</v>
      </c>
      <c r="I13" s="452">
        <f ca="1">IF(OR(M11="王语嫣",M15="王语嫣"),HLOOKUP(F13,G2:O7,4,0)*(1+C16*0.01)*(1-0.08)-D7*3+A29*4,HLOOKUP(F13,G2:O7,4,0)*(1+C16*0.01)+A29*4)</f>
        <v>38289</v>
      </c>
      <c r="J13" s="534">
        <f ca="1">IF(T31="无",AF13,IF(T31="攻透",AG13,AH13))</f>
        <v>62603</v>
      </c>
      <c r="K13" s="535">
        <f ca="1">IF(AND(L13&gt;0,L13&lt;7),G13-Q13*L13,IF(AND(L13&lt;0,L13&gt;-7),0,G13-Q13*6))</f>
        <v>0</v>
      </c>
      <c r="L13" s="540">
        <f ca="1">IF(OR(N13="",J13="",Q13="",G13=""),"",IF(OR(ROUNDUP(N13/J13,0)&lt;6,ROUNDUP(G13/Q13,0)&lt;7),IF(ROUNDUP(G13/Q13,0)&lt;=ROUNDUP(N13/J13,0),-ROUNDUP(G13/Q13,0),ROUNDUP(N13/J13,0)),11))</f>
        <v>-1</v>
      </c>
      <c r="M13" s="541" t="str">
        <f ca="1">IF(ISERROR(INDIRECT("队伍表!"&amp;ADDRESS(3,$A$21))),"",INDIRECT("队伍表!"&amp;ADDRESS(3,$A$21)))</f>
        <v>天山童姥</v>
      </c>
      <c r="N13" s="538">
        <f ca="1">IF(OR(M13="",ISERROR(Y2),ISERROR(Z2)),"",INT((INT(Z2*($D$7-1)+Y2))*$T$4))</f>
        <v>428190</v>
      </c>
      <c r="O13" s="539">
        <f ca="1">IF(OR($M$13="神捕冷血",$M$13="谢晓峰",$M$13="苗人凤"),AJ13*1.1,AJ13)</f>
        <v>304018</v>
      </c>
      <c r="P13" s="456">
        <f ca="1">IF(IF(D23="有",IF(D25="有",AK13-AK13*0.12-D24*3-D26*3,AK13-AK13*0.08-D24*3),IF(D25="有",AK13-AK13*0.04-D26*3,AK13))&gt;=0,IF(D23="有",IF(D25="有",AK13-AK13*0.12-D24*3-D26*3,AK13-AK13*0.08-D24*3),IF(D25="有",AK13-AK13*0.04-D26*3,AK13)),0)</f>
        <v>118193</v>
      </c>
      <c r="Q13" s="534">
        <f ca="1">AI13*(1-HLOOKUP(F13,G2:O7,6,0)-A26)</f>
        <v>255099.84</v>
      </c>
      <c r="R13" s="534">
        <f ca="1">IF(AND(L13&gt;0,L13&lt;7),0,IF(L13=11,N13-J13*5,N13+J13*(L13+1)))</f>
        <v>428190</v>
      </c>
      <c r="S13" s="617">
        <f ca="1">IF(OR(M13="",ISERROR(AE2),ISERROR(AF2)),"",INT((INT(AF2*($D$7-1)+AE2))*$T$7))</f>
        <v>1079001</v>
      </c>
      <c r="T13" s="618">
        <f ca="1" t="shared" si="1"/>
        <v>792205.08</v>
      </c>
      <c r="U13" s="619">
        <f ca="1">IF(M13="独孤求败",(1+0.18-HLOOKUP(F13,G2:O7,6,0)-A26)*IF(OR(M13="",ISERROR(S13),ISERROR(AH2)),"",INT(S13*(AH2/100)+O13)),(1-HLOOKUP(F13,G2:O7,6,0)-A26)*IF(OR(M13="",ISERROR(S13),ISERROR(AH2)),"",INT(S13*(AH2/100)+O13)))</f>
        <v>830494.08</v>
      </c>
      <c r="V13" s="620" t="str">
        <f ca="1">IF(ISERROR(IF(AD13&lt;2,1,AD13)),"",IF(AD13&lt;2,1,AD13))</f>
        <v/>
      </c>
      <c r="W13" s="621" t="str">
        <f>IF(ISERROR(IF(F13=$V$9,1,IF(Z11="群",ABS(AB13-$AB$26)+1,""))),"",IF(F13=$V$9,1,IF(Z11="群",ABS(AB13-$AB$26)+1,"")))</f>
        <v/>
      </c>
      <c r="Y13" s="671">
        <v>2</v>
      </c>
      <c r="Z13" s="673">
        <v>2</v>
      </c>
      <c r="AA13" s="673" t="str">
        <f t="shared" si="5"/>
        <v/>
      </c>
      <c r="AB13" s="673">
        <v>2</v>
      </c>
      <c r="AC13" s="674" t="e">
        <f ca="1">CHOOSE(W13,(Z23*1+W4*W5*0.01)*Z26-P13,(Z23*Z29+W4*AA29*W5*0.01)*Z26-P13*AB29,(Z23*Z30+W4*AA30*W5*0.01)*Z26-P13*AB30,(Z23*Z31+W4*AA31*W5*0.01)*Z26-P13*AB31,(Z23*Z32+W4*AA32*W5*0.01)*Z26-P13*AB32,(Z23*Z33+W4*AA33*W5*0.01)*Z26-P13*AB33,(Z23*Z34+W4*AA34*W5*0.01)*Z26-P13*AB34,(Z23*Z35+W4*AA35*W5*0.01)*Z26-P13*AB35)</f>
        <v>#VALUE!</v>
      </c>
      <c r="AD13" s="674" t="e">
        <f ca="1">IF(V9="独孤求败",AC13*(1-HLOOKUP(F13,G2:O7,6,0)-A26+0.18),AC13*(1-HLOOKUP(F13,G2:O7,6,0)-A26))</f>
        <v>#VALUE!</v>
      </c>
      <c r="AE13" s="675">
        <f ca="1" t="shared" ref="AE13" si="6">IF(AND(ISNUMBER(H13),ISNUMBER(P13)),IF(H13-P13&lt;2,1,H13-P13),"")</f>
        <v>62603</v>
      </c>
      <c r="AF13" s="676">
        <f ca="1" t="shared" ref="AF13" si="7">IF(F13="独孤求败",IF(M13="令狐冲",AE13,AE13*1.18),IF(M13="令狐冲",AE13*0.82,AE13))</f>
        <v>62603</v>
      </c>
      <c r="AG13" s="676">
        <f ca="1">IF(F13=V31,INT(W31*VLOOKUP(V31,F11:J32,3,0)+AF13),AF13)</f>
        <v>62603</v>
      </c>
      <c r="AH13" s="724">
        <f ca="1">IF(F13=V31,INT(W31*INT(HLOOKUP(V31,G2:O6,5,0)*(1+C19/100))+AF13),AF13)</f>
        <v>62603</v>
      </c>
      <c r="AI13" s="725">
        <f ca="1" t="shared" si="4"/>
        <v>265729</v>
      </c>
      <c r="AJ13" s="675">
        <f ca="1">IF($M$11="阿青",INT((IF(M13="阿飞",INT(1.04*IF(OR(M13="",ISERROR(AA2),ISERROR(AB2)),"",INT(INT((AB2*($D$7-1)+AA2))*$T$5))),IF(OR(M13="",ISERROR(AA2),ISERROR(AB2)),"",INT(INT((AB2*($D$7-1)+AA2))*$T$5))))*1.05+2*$T$3),INT((IF(M13="阿飞",INT(1.04*IF(OR(M13="",ISERROR(AA2),ISERROR(AB2)),"",INT(INT((AB2*($D$7-1)+AA2))*$T$5))),IF(OR(M13="",ISERROR(AA2),ISERROR(AB2)),"",INT(INT((AB2*($D$7-1)+AA2))*$T$5))))))</f>
        <v>304018</v>
      </c>
      <c r="AK13" s="724">
        <f ca="1">INT(IF(OR(M13="",ISERROR(AC2),ISERROR(AD2)),"",IF(VLOOKUP(M13,弟子基础属性!$C$1:$S$171,2,0)="金钟罩",INT(1.1*INT((INT(AD2*($D$7-1)+AC2))*$T$6)),IF(VLOOKUP(M13,弟子基础属性!$C$1:$S$171,2,0)="玉女心经",INT(1.07*INT((INT(AD2*($D$7-1)+AC2))*$T$6)),IF(VLOOKUP(M13,弟子基础属性!$C$1:$S$171,2,0)="先天罡气",INT(1.05*INT((INT(AD2*($D$7-1)+AC2))*$T$6)),INT((INT(AD2*($D$7-1)+AC2))*$T$6))))))</f>
        <v>118193</v>
      </c>
      <c r="AL13" s="726" t="str">
        <f ca="1" t="shared" si="0"/>
        <v/>
      </c>
      <c r="AM13" s="722"/>
      <c r="AN13" s="723">
        <f ca="1">IF(H30*0.01*5&lt;=0.4,INT(AL7*(1-H30/100*5)),INT(AL7*(1-0.4)))</f>
        <v>70915</v>
      </c>
      <c r="AO13" s="764">
        <f ca="1">IF(AL1="令狐冲",IF(OR(AO12=0,AO12=""),"",IF(AM5&lt;AN13,AO12-1,IF((AO12+(AN13-AM5)*0.82)&lt;=0,0,(AO12+(AN13-AM5)*0.82)))),IF(OR(AO12=0,AO12=""),"",IF(AM5&lt;AN13,AO12-1,IF((AO12+AN13-AM5)&lt;=0,0,(AO12+AN13-AM5)))))</f>
        <v>0</v>
      </c>
      <c r="AP13" s="722" t="str">
        <f ca="1">IF(AL1="独孤求败",IF(OR(AP12=0,AP12=""),"",IF(AL5&lt;AM7,AP12-1,IF((AP12-(AL5-AM7)*(1+0.18-HLOOKUP(AM1,G2:O7,6,0)-A26))&gt;0,(AP12-(AL5-AM7)*(1+0.18-HLOOKUP(AM1,G2:O7,6,0)-A26)),0))),IF(OR(AP12=0,AP12=""),"",IF(AL5&lt;AM7,AP12-1,IF((AP12+(AM7-AL5))*(1-HLOOKUP(AM1,G2:O7,6,0)-A26)&gt;0,(AP12+(AM7-AL5))*(1-HLOOKUP(AM1,G2:O7,6,0)-A26),0))))</f>
        <v/>
      </c>
      <c r="AQ13" s="768">
        <v>-5</v>
      </c>
      <c r="AR13" s="704">
        <f ca="1">IF(AS9="先手",IF(AS14=1,AM3,OFFSET(AP9,AS14-2,)),OFFSET(AP9,AS14-1,))</f>
        <v>-3</v>
      </c>
      <c r="AS13" s="596">
        <v>0</v>
      </c>
      <c r="AT13" s="769" t="s">
        <v>73</v>
      </c>
      <c r="AU13" s="767">
        <f ca="1">IF(AND(ISNUMBER(AM5),ISNUMBER(AN13)),IF(AM5-AN13&lt;2,1,AM5-AN13),"")</f>
        <v>109881</v>
      </c>
      <c r="AV13" s="586">
        <f ca="1">AV10</f>
        <v>255099.84</v>
      </c>
      <c r="AW13" s="783">
        <f ca="1">IF(AS9="先手",SUM(OFFSET(AV8,0,0,ABS(AT14),1)),SUM(OFFSET(AV8,0,0,ABS(AT14)+1,1)))</f>
        <v>765299.52</v>
      </c>
      <c r="AX13" s="708" t="s">
        <v>67</v>
      </c>
    </row>
    <row r="14" ht="14.25" customHeight="1" spans="1:50">
      <c r="A14" s="457"/>
      <c r="B14" s="404"/>
      <c r="C14" s="459"/>
      <c r="D14" s="459"/>
      <c r="E14" s="431"/>
      <c r="F14" s="454"/>
      <c r="G14" s="455"/>
      <c r="H14" s="456"/>
      <c r="I14" s="456"/>
      <c r="J14" s="534"/>
      <c r="K14" s="535"/>
      <c r="L14" s="529"/>
      <c r="M14" s="537"/>
      <c r="N14" s="538"/>
      <c r="O14" s="539"/>
      <c r="P14" s="456"/>
      <c r="Q14" s="534"/>
      <c r="R14" s="534"/>
      <c r="S14" s="617"/>
      <c r="T14" s="618"/>
      <c r="U14" s="619"/>
      <c r="V14" s="620"/>
      <c r="W14" s="621"/>
      <c r="Y14" s="671"/>
      <c r="Z14" s="673">
        <v>3</v>
      </c>
      <c r="AA14" s="673" t="str">
        <f t="shared" si="5"/>
        <v/>
      </c>
      <c r="AB14" s="673"/>
      <c r="AC14" s="674"/>
      <c r="AD14" s="674"/>
      <c r="AE14" s="675"/>
      <c r="AF14" s="676"/>
      <c r="AG14" s="676"/>
      <c r="AH14" s="724"/>
      <c r="AI14" s="725"/>
      <c r="AJ14" s="675"/>
      <c r="AK14" s="724"/>
      <c r="AL14" s="727" t="str">
        <f ca="1" t="shared" si="0"/>
        <v/>
      </c>
      <c r="AM14" s="728"/>
      <c r="AN14" s="729">
        <f ca="1">IF(H30*0.01*6&lt;=0.4,INT(AL7*(1-H30/100*6)),INT(AL7*(1-0.4)))</f>
        <v>70915</v>
      </c>
      <c r="AO14" s="771" t="str">
        <f ca="1">IF(AL1="令狐冲",IF(OR(AO13=0,AO13=""),"",IF(AM5&lt;AN14,AO13-1,IF((AO13+(AN14-AM5)*0.82)&lt;=0,0,(AO13+(AN14-AM5)*0.82)))),IF(OR(AO13=0,AO13=""),"",IF(AM5&lt;AN14,AO13-1,IF((AO13+AN14-AM5)&lt;=0,0,(AO13+AN14-AM5)))))</f>
        <v/>
      </c>
      <c r="AP14" s="728" t="str">
        <f ca="1">IF(AL1="独孤求败",IF(OR(AP13=0,AP13=""),"",IF(AL5&lt;AM7,AP13-1,IF((AP13-(AL5-AM7)*(1+0.18-HLOOKUP(AM1,G2:O7,6,0)-A26))&gt;0,(AP13-(AL5-AM7)*(1+0.18-HLOOKUP(AM1,G2:O7,6,0)-A26)),0))),IF(OR(AP13=0,AP13=""),"",IF(AL5&lt;AM7,AP13-1,IF((AP13+(AM7-AL5))*(1-HLOOKUP(AM1,G2:O7,6,0)-A26)&gt;0,(AP13+(AM7-AL5))*(1-HLOOKUP(AM1,G2:O7,6,0)-A26),0))))</f>
        <v/>
      </c>
      <c r="AQ14" s="771">
        <v>-6</v>
      </c>
      <c r="AR14" s="772"/>
      <c r="AS14" s="773">
        <f ca="1">IF(ISNUMBER(AS10),(IF(AND(AL14=0,ISNUMBER(AO14)),11,IF(AND(VLOOKUP(1,AL9:AO14,4,0)=0,VLOOKUP(1,AL9:AP14,5,0)=0),(IF(AS9="先手",ABS(VLOOKUP(1,AL9:AQ14,6,0)),VLOOKUP(1,AL9:AQ14,6,0))),IF(VLOOKUP(1,AL9:AP14,5,0)=0,(VLOOKUP(1,AL9:AQ14,6,0)),ABS(VLOOKUP(1,AL9:AQ14,6,0)))))),"")</f>
        <v>-3</v>
      </c>
      <c r="AT14" s="459">
        <f ca="1">IF(AS14=11,6,ABS(AS14))</f>
        <v>3</v>
      </c>
      <c r="AU14" s="774">
        <f ca="1">IF(AND(ISNUMBER(AM5),ISNUMBER(AN14)),IF(AM5-AN14&lt;2,1,AM5-AN14),"")</f>
        <v>109881</v>
      </c>
      <c r="AV14" s="596">
        <f ca="1">AV10</f>
        <v>255099.84</v>
      </c>
      <c r="AW14" s="784">
        <f ca="1">SUM(OFFSET(AV9,0,0,ABS(AT14),1))</f>
        <v>765299.52</v>
      </c>
      <c r="AX14" s="708" t="s">
        <v>69</v>
      </c>
    </row>
    <row r="15" ht="14.25" customHeight="1" spans="1:50">
      <c r="A15" s="457"/>
      <c r="B15" s="404"/>
      <c r="C15" s="438" t="s">
        <v>74</v>
      </c>
      <c r="D15" s="417"/>
      <c r="E15" s="460"/>
      <c r="F15" s="454" t="s">
        <v>4</v>
      </c>
      <c r="G15" s="451">
        <f>IF(AND(ISNUMBER(CHOOSE(FIND("1",(F15=$G$2)*1&amp;(F15=$H$2)*1&amp;(F15=$I$2)*1&amp;(F15=$J$2)*1&amp;(F15=$K$2)*1&amp;(F15=$L$2)*1&amp;(F15=$M$2)*1&amp;(F15=$N$2)*1&amp;(F15=$O$2)*1),$G$3,$H$3,$I$3,$J$3,$K$3,$L$3,$M$3,$N$3,$O$3)),ISNUMBER($C$10)),INT(CHOOSE(FIND("1",(F15=$G$2)*1&amp;(F15=$H$2)*1&amp;(F15=$I$2)*1&amp;(F15=$J$2)*1&amp;(F15=$K$2)*1&amp;(F15=$L$2)*1&amp;(F15=$M$2)*1&amp;(F15=$N$2)*1&amp;(F15=$O$2)*1),$G$3,$H$3,$I$3,$J$3,$K$3,$L$3,$M$3,$N$3,$O$3)*(1+$C$10/100)),"")</f>
        <v>356322</v>
      </c>
      <c r="H15" s="452">
        <f>IF((OR($D$21="有")),(INT((IF(AND(ISNUMBER(CHOOSE(FIND("1",(F15=$G$2)*1&amp;(F15=$H$2)*1&amp;(F15=$I$2)*1&amp;(F15=$J$2)*1&amp;(F15=$K$2)*1&amp;(F15=$L$2)*1&amp;(F15=$M$2)*1&amp;(F15=$N$2)*1&amp;(F15=$O$2)*1),$G$4,$H$4,$I$4,$J$4,$K$4,$L$4,$M$4,$N$4,$O$4)),ISNUMBER($C$13)),INT(CHOOSE(FIND("1",(F15=$G$2)*1&amp;(F15=$H$2)*1&amp;(F15=$I$2)*1&amp;(F15=$J$2)*1&amp;(F15=$K$2)*1&amp;(F15=$L$2)*1&amp;(F15=$M$2)*1&amp;(F15=$N$2)*1&amp;(F15=$O$2)*1),$G$4,$H$4,$I$4,$J$4,$K$4,$L$4,$M$4,$N$4,$O$4)*(1+$C$13/100)),""))*1.05)+$D$22*2),(IF(AND(ISNUMBER(CHOOSE(FIND("1",(F15=$G$2)*1&amp;(F15=$H$2)*1&amp;(F15=$I$2)*1&amp;(F15=$J$2)*1&amp;(F15=$K$2)*1&amp;(F15=$L$2)*1&amp;(F15=$M$2)*1&amp;(F15=$N$2)*1&amp;(F15=$O$2)*1),$G$4,$H$4,$I$4,$J$4,$K$4,$L$4,$M$4,$N$4,$O$4)),ISNUMBER($C$13)),INT(CHOOSE(FIND("1",(F15=$G$2)*1&amp;(F15=$H$2)*1&amp;(F15=$I$2)*1&amp;(F15=$J$2)*1&amp;(F15=$K$2)*1&amp;(F15=$L$2)*1&amp;(F15=$M$2)*1&amp;(F15=$N$2)*1&amp;(F15=$O$2)*1),$G$4,$H$4,$I$4,$J$4,$K$4,$L$4,$M$4,$N$4,$O$4)*(1+$C$13/100)),"")))</f>
        <v>477939</v>
      </c>
      <c r="I15" s="452">
        <f ca="1">IF(OR(M11="王语嫣",M15="王语嫣"),HLOOKUP(F15,G2:O7,4,0)*(1+C16*0.01)*(1-0.08)-D7*3+A29*4,HLOOKUP(F15,G2:O7,4,0)*(1+C16*0.01)+A29*4)</f>
        <v>17744</v>
      </c>
      <c r="J15" s="534">
        <f ca="1">IF(T31="无",AF15,IF(T31="攻透",AG15,AH15))</f>
        <v>266990</v>
      </c>
      <c r="K15" s="535">
        <f ca="1">IF(AND(L15&gt;0,L15&lt;7),G15-Q15*(L15-1),IF(AND(L15&lt;0,L15&gt;-6),0,G15-Q15*5))</f>
        <v>228632.144</v>
      </c>
      <c r="L15" s="540">
        <f ca="1">IF(OR(N15="",J15="",Q15="",G15=""),"",IF(OR(ROUNDUP(N15/J15,0)&lt;7,ROUNDUP(G15/Q15,0)&lt;6),IF(ROUNDUP(N15/J15,0)&lt;=ROUNDUP(G15/Q15,0),ROUNDUP(N15/J15,0),-ROUNDUP(G15/Q15,0)),11))</f>
        <v>2</v>
      </c>
      <c r="M15" s="541" t="str">
        <f ca="1">IF(ISERROR(INDIRECT("队伍表!"&amp;ADDRESS(4,$A$21))),"",INDIRECT("队伍表!"&amp;ADDRESS(4,$A$21)))</f>
        <v>张三丰</v>
      </c>
      <c r="N15" s="538">
        <f ca="1">IF(OR(M15="",ISERROR(Y3),ISERROR(Z3)),"",INT((INT(Z3*($D$7-1)+Y3))*$T$4))</f>
        <v>428595</v>
      </c>
      <c r="O15" s="539">
        <f ca="1">IF(OR($M$15="神捕冷血",$M$15="谢晓峰"),AJ15*1.1,AJ15)</f>
        <v>175776</v>
      </c>
      <c r="P15" s="456">
        <f ca="1">IF(IF(D23="有",IF(D25="有",AK15-AK15*0.12-D24*3-D26*3,AK15-AK15*0.08-D24*3),IF(D25="有",AK15-AK15*0.04-D26*3,AK15))&gt;=0,IF(D23="有",IF(D25="有",AK15-AK15*0.12-D24*3-D26*3,AK15-AK15*0.08-D24*3),IF(D25="有",AK15-AK15*0.04-D26*3,AK15)),0)</f>
        <v>210949</v>
      </c>
      <c r="Q15" s="534">
        <f ca="1">AI15*(1-HLOOKUP(F15,G2:O7,6,0)-A26)</f>
        <v>127689.856</v>
      </c>
      <c r="R15" s="534">
        <f ca="1">IF(AND(L15&gt;0,L15&lt;7),0,IF(L15=11,N15-J15*6,N15+J15*L15))</f>
        <v>0</v>
      </c>
      <c r="S15" s="617">
        <f ca="1">IF(OR(M15="",ISERROR(AE3),ISERROR(AF3)),"",INT((INT(AF3*($D$7-1)+AE3))*$T$7))</f>
        <v>822996</v>
      </c>
      <c r="T15" s="618">
        <f ca="1" t="shared" si="1"/>
        <v>483371.944</v>
      </c>
      <c r="U15" s="619">
        <f ca="1">IF(M15="独孤求败",(1+0.18-HLOOKUP(F15,G2:O7,6,0)-A26)*IF(OR(M15="",ISERROR(S15),ISERROR(AH3)),"",INT(S15*(AH3/100)+O15)),(1-HLOOKUP(F15,G2:O7,6,0)-A26)*IF(OR(M15="",ISERROR(S15),ISERROR(AH3)),"",INT(S15*(AH3/100)+O15)))</f>
        <v>501115.944</v>
      </c>
      <c r="V15" s="620" t="str">
        <f ca="1">IF(ISERROR(IF(AD15&lt;2,1,AD15)),"",IF(AD15&lt;2,1,AD15))</f>
        <v/>
      </c>
      <c r="W15" s="621" t="str">
        <f>IF(ISERROR(IF(F15=$V$9,1,IF(Z11="群",ABS(AB15-$AB$26)+1,""))),"",IF(F15=$V$9,1,IF(Z11="群",ABS(AB15-$AB$26)+1,"")))</f>
        <v/>
      </c>
      <c r="Y15" s="671">
        <v>3</v>
      </c>
      <c r="Z15" s="673">
        <v>4</v>
      </c>
      <c r="AA15" s="673" t="str">
        <f t="shared" si="5"/>
        <v/>
      </c>
      <c r="AB15" s="673">
        <v>3</v>
      </c>
      <c r="AC15" s="674" t="e">
        <f ca="1">CHOOSE(W15,(Z23*1+W4*W5*0.01)*Z26-P15,(Z23*Z29+W4*AA29*W5*0.01)*Z26-P15*AB29,(Z23*Z30+W4*AA30*W5*0.01)*Z26-P15*AB30,(Z23*Z31+W4*AA31*W5*0.01)*Z26-P15*AB31,(Z23*Z32+W4*AA32*W5*0.01)*Z26-P15*AB32,(Z23*Z33+W4*AA33*W5*0.01)*Z26-P15*AB33,(Z23*Z34+W4*AA34*W5*0.01)*Z26-P15*AB34,(Z23*Z35+W4*AA35*W5*0.01)*Z26-P15*AB35)</f>
        <v>#VALUE!</v>
      </c>
      <c r="AD15" s="674" t="e">
        <f ca="1">IF(V9="独孤求败",AC15*(1-HLOOKUP(F15,G2:O7,6,0)-A26+0.18),AC15*(1-HLOOKUP(F15,G2:O7,6,0)-A26))</f>
        <v>#VALUE!</v>
      </c>
      <c r="AE15" s="675">
        <f ca="1" t="shared" ref="AE15:AE19" si="8">IF(AND(ISNUMBER(H15),ISNUMBER(P15)),IF(H15-P15&lt;2,1,H15-P15),"")</f>
        <v>266990</v>
      </c>
      <c r="AF15" s="676">
        <f ca="1" t="shared" ref="AF15" si="9">IF(F15="独孤求败",IF(M15="令狐冲",AE15,AE15*1.18),IF(M15="令狐冲",AE15*0.82,AE15))</f>
        <v>266990</v>
      </c>
      <c r="AG15" s="676">
        <f ca="1">IF(F15=V31,INT(W31*VLOOKUP(V31,F11:J32,3,0)+AF15),AF15)</f>
        <v>266990</v>
      </c>
      <c r="AH15" s="724">
        <f ca="1">IF(F15=V31,INT(W31*INT(HLOOKUP(V31,G2:O6,5,0)*(1+C19/100))+AF15),AF15)</f>
        <v>266990</v>
      </c>
      <c r="AI15" s="725">
        <f ca="1" t="shared" si="4"/>
        <v>158032</v>
      </c>
      <c r="AJ15" s="675">
        <f ca="1">IF($M$11="阿青",INT((IF(M15="阿飞",INT(1.04*IF(OR(M15="",ISERROR(AA3),ISERROR(AB3)),"",INT(INT((AB3*($D$7-1)+AA3))*$T$5))),IF(OR(M15="",ISERROR(AA3),ISERROR(AB3)),"",INT(INT((AB3*($D$7-1)+AA3))*$T$5))))*1.05+2*$T$3),INT((IF(M15="阿飞",INT(1.04*IF(OR(M15="",ISERROR(AA3),ISERROR(AB3)),"",INT(INT((AB3*($D$7-1)+AA3))*$T$5))),IF(OR(M15="",ISERROR(AA3),ISERROR(AB3)),"",INT(INT((AB3*($D$7-1)+AA3))*$T$5))))))</f>
        <v>175776</v>
      </c>
      <c r="AK15" s="724">
        <f ca="1">INT(IF(OR(M15="",ISERROR(AC3),ISERROR(AD3)),"",IF(VLOOKUP(M15,弟子基础属性!$C$1:$S$171,2,0)="金钟罩",INT(1.1*INT((INT(AD3*($D$7-1)+AC3))*$T$6)),IF(VLOOKUP(M15,弟子基础属性!$C$1:$S$171,2,0)="玉女心经",INT(1.07*INT((INT(AD3*($D$7-1)+AC3))*$T$6)),IF(VLOOKUP(M15,弟子基础属性!$C$1:$S$171,2,0)="先天罡气",INT(1.05*INT((INT(AD3*($D$7-1)+AC3))*$T$6)),INT((INT(AD3*($D$7-1)+AC3))*$T$6))))))</f>
        <v>210949</v>
      </c>
      <c r="AL15" s="730"/>
      <c r="AM15" s="459"/>
      <c r="AN15" s="459"/>
      <c r="AO15" s="429"/>
      <c r="AP15" s="429"/>
      <c r="AQ15" s="429"/>
      <c r="AR15" s="429"/>
      <c r="AS15" s="429"/>
      <c r="AT15" s="459"/>
      <c r="AU15" s="459">
        <v>0</v>
      </c>
      <c r="AV15" s="459">
        <v>0</v>
      </c>
      <c r="AW15" s="459"/>
      <c r="AX15" s="708"/>
    </row>
    <row r="16" ht="14.25" customHeight="1" spans="1:50">
      <c r="A16" s="461">
        <v>1</v>
      </c>
      <c r="B16" s="404"/>
      <c r="C16" s="458">
        <v>0</v>
      </c>
      <c r="D16" s="423"/>
      <c r="E16" s="462"/>
      <c r="F16" s="454"/>
      <c r="G16" s="455"/>
      <c r="H16" s="456"/>
      <c r="I16" s="456"/>
      <c r="J16" s="534"/>
      <c r="K16" s="535"/>
      <c r="L16" s="529"/>
      <c r="M16" s="537"/>
      <c r="N16" s="538"/>
      <c r="O16" s="539"/>
      <c r="P16" s="456"/>
      <c r="Q16" s="534"/>
      <c r="R16" s="534"/>
      <c r="S16" s="617"/>
      <c r="T16" s="618"/>
      <c r="U16" s="619"/>
      <c r="V16" s="620"/>
      <c r="W16" s="621"/>
      <c r="Y16" s="671"/>
      <c r="Z16" s="673">
        <v>5</v>
      </c>
      <c r="AA16" s="673" t="str">
        <f t="shared" si="5"/>
        <v/>
      </c>
      <c r="AB16" s="673"/>
      <c r="AC16" s="674"/>
      <c r="AD16" s="674"/>
      <c r="AE16" s="675"/>
      <c r="AF16" s="676"/>
      <c r="AG16" s="676"/>
      <c r="AH16" s="724"/>
      <c r="AI16" s="725"/>
      <c r="AJ16" s="675"/>
      <c r="AK16" s="724"/>
      <c r="AL16" s="731">
        <f ca="1">IF(COUNTIF(AN16:AP16,0)=0,0,1)</f>
        <v>1</v>
      </c>
      <c r="AM16" s="716">
        <f ca="1">IF(AL1="西门吹雪",AL5*1.15,IF(AL1="丁鹏",AL5*1.1,AL5))</f>
        <v>304018</v>
      </c>
      <c r="AN16" s="732">
        <f ca="1">INT(AM7*1.05)</f>
        <v>40203</v>
      </c>
      <c r="AO16" s="755">
        <f ca="1">IF(AL1="令狐冲",IF(OR(AL3=0,AL3=""),"",IF(AM5&lt;AL7,AL3-1,IF((AL3+(AL7-AM5)*0.82)&lt;=0,0,(AL3+(AL7-AM5)*0.82)))),IF(OR(AL3=0,AL3=""),"",IF(AM5&lt;AL7,AL3-1,IF((AL3+AL7-AM5)&lt;=0,0,(AL3+AL7-AM5)))))</f>
        <v>365587</v>
      </c>
      <c r="AP16" s="716">
        <f ca="1">IF(AL1="独孤求败",IF(OR(AM3=0,AM3=""),"",IF(AM16&lt;AN16,AM3-1,IF((AM3-(AM16-AN16)*(1+0.18-HLOOKUP(AM1,G2:O7,6,0)-A26))&gt;0,(AM3-(AM16-AN16)*(1+0.18-HLOOKUP(AM1,G2:O7,6,0)-A26)),0))),IF(OR(AM3=0,AM3=""),"",IF(AM16&lt;AN16,AM3-1,IF((AM3+(AN16-AM16))*(1-HLOOKUP(AM1,G2:O7,6,0)-A26)&gt;0,(AM3+(AN16-AM16))*(1-HLOOKUP(AM1,G2:O7,6,0)-A26),0))))</f>
        <v>0</v>
      </c>
      <c r="AQ16" s="755">
        <v>-1</v>
      </c>
      <c r="AR16" s="732"/>
      <c r="AS16" s="761" t="str">
        <f ca="1">IF(ISEVEN(VLOOKUP(AL1,M11:Y28,13,0)),"后手","先手")</f>
        <v>后手</v>
      </c>
      <c r="AT16" s="459"/>
      <c r="AU16" s="707">
        <f ca="1">IF(AND(ISNUMBER(AM5),ISNUMBER(AL7)),IF(AM5-AL7&lt;2,1,AM5-AL7),"")</f>
        <v>62603</v>
      </c>
      <c r="AV16" s="761">
        <f ca="1">IF(AND(ISNUMBER(AM16),ISNUMBER(AN16)),IF(AM16-AN16&lt;2,1,(AM16-AN16)*(1-HLOOKUP(AM1,G2:O7,6,0)-A26)),"")</f>
        <v>253262.4</v>
      </c>
      <c r="AW16" s="782" t="s">
        <v>57</v>
      </c>
      <c r="AX16" s="708"/>
    </row>
    <row r="17" ht="14.25" customHeight="1" spans="1:50">
      <c r="A17" s="461">
        <v>8</v>
      </c>
      <c r="B17" s="404"/>
      <c r="E17" s="440"/>
      <c r="F17" s="454" t="s">
        <v>5</v>
      </c>
      <c r="G17" s="451">
        <f>IF(AND(ISNUMBER(CHOOSE(FIND("1",(F17=$G$2)*1&amp;(F17=$H$2)*1&amp;(F17=$I$2)*1&amp;(F17=$J$2)*1&amp;(F17=$K$2)*1&amp;(F17=$L$2)*1&amp;(F17=$M$2)*1&amp;(F17=$N$2)*1&amp;(F17=$O$2)*1),$G$3,$H$3,$I$3,$J$3,$K$3,$L$3,$M$3,$N$3,$O$3)),ISNUMBER($C$10)),INT(CHOOSE(FIND("1",(F17=$G$2)*1&amp;(F17=$H$2)*1&amp;(F17=$I$2)*1&amp;(F17=$J$2)*1&amp;(F17=$K$2)*1&amp;(F17=$L$2)*1&amp;(F17=$M$2)*1&amp;(F17=$N$2)*1&amp;(F17=$O$2)*1),$G$3,$H$3,$I$3,$J$3,$K$3,$L$3,$M$3,$N$3,$O$3)*(1+$C$10/100)),"")</f>
        <v>164119</v>
      </c>
      <c r="H17" s="452">
        <f>IF((OR($D$21="有")),(INT((IF(AND(ISNUMBER(CHOOSE(FIND("1",(F17=$G$2)*1&amp;(F17=$H$2)*1&amp;(F17=$I$2)*1&amp;(F17=$J$2)*1&amp;(F17=$K$2)*1&amp;(F17=$L$2)*1&amp;(F17=$M$2)*1&amp;(F17=$N$2)*1&amp;(F17=$O$2)*1),$G$4,$H$4,$I$4,$J$4,$K$4,$L$4,$M$4,$N$4,$O$4)),ISNUMBER($C$13)),INT(CHOOSE(FIND("1",(F17=$G$2)*1&amp;(F17=$H$2)*1&amp;(F17=$I$2)*1&amp;(F17=$J$2)*1&amp;(F17=$K$2)*1&amp;(F17=$L$2)*1&amp;(F17=$M$2)*1&amp;(F17=$N$2)*1&amp;(F17=$O$2)*1),$G$4,$H$4,$I$4,$J$4,$K$4,$L$4,$M$4,$N$4,$O$4)*(1+$C$13/100)),""))*1.05)+$D$22*2),(IF(AND(ISNUMBER(CHOOSE(FIND("1",(F17=$G$2)*1&amp;(F17=$H$2)*1&amp;(F17=$I$2)*1&amp;(F17=$J$2)*1&amp;(F17=$K$2)*1&amp;(F17=$L$2)*1&amp;(F17=$M$2)*1&amp;(F17=$N$2)*1&amp;(F17=$O$2)*1),$G$4,$H$4,$I$4,$J$4,$K$4,$L$4,$M$4,$N$4,$O$4)),ISNUMBER($C$13)),INT(CHOOSE(FIND("1",(F17=$G$2)*1&amp;(F17=$H$2)*1&amp;(F17=$I$2)*1&amp;(F17=$J$2)*1&amp;(F17=$K$2)*1&amp;(F17=$L$2)*1&amp;(F17=$M$2)*1&amp;(F17=$N$2)*1&amp;(F17=$O$2)*1),$G$4,$H$4,$I$4,$J$4,$K$4,$L$4,$M$4,$N$4,$O$4)*(1+$C$13/100)),"")))</f>
        <v>202356</v>
      </c>
      <c r="I17" s="452">
        <f ca="1">IF(OR(M11="王语嫣",M15="王语嫣"),HLOOKUP(F17,G2:O7,4,0)*(1+C16*0.01)*(1-0.08)-D7*3+A29*4,HLOOKUP(F17,G2:O7,4,0)*(1+C16*0.01)+A29*4)</f>
        <v>39093</v>
      </c>
      <c r="J17" s="534">
        <f ca="1">IF(T31="无",AF17,IF(T31="攻透",AG17,AH17))</f>
        <v>58414</v>
      </c>
      <c r="K17" s="535">
        <f ca="1">IF(AND(L17&gt;0,L17&lt;7),G17-Q17*L17,IF(AND(L17&lt;0,L17&gt;-7),0,G17-Q17*6))</f>
        <v>0</v>
      </c>
      <c r="L17" s="540">
        <f ca="1">IF(OR(N17="",J17="",Q17="",G17=""),"",IF(OR(ROUNDUP(N17/J17,0)&lt;6,ROUNDUP(G17/Q17,0)&lt;7),IF(ROUNDUP(G17/Q17,0)&lt;=ROUNDUP(N17/J17,0),-ROUNDUP(G17/Q17,0),ROUNDUP(N17/J17,0)),11))</f>
        <v>-1</v>
      </c>
      <c r="M17" s="541" t="str">
        <f ca="1">IF(ISERROR(INDIRECT("队伍表!"&amp;ADDRESS(5,$A$21))),"",INDIRECT("队伍表!"&amp;ADDRESS(5,$A$21)))</f>
        <v>白眉鹰王</v>
      </c>
      <c r="N17" s="538">
        <f ca="1">IF(OR(M17="",ISERROR(Y4),ISERROR(Z4)),"",INT((INT(Z4*($D$7-1)+Y4))*$T$4))</f>
        <v>342720</v>
      </c>
      <c r="O17" s="539">
        <f ca="1">IF(OR($M$17="神捕冷血",$M$17="谢晓峰"),AJ17*1.1,AJ17)</f>
        <v>227050</v>
      </c>
      <c r="P17" s="456">
        <f ca="1">IF(IF(D23="有",IF(D25="有",AK17-AK17*0.12-D24*3-D26*3,AK17-AK17*0.08-D24*3),IF(D25="有",AK17-AK17*0.04-D26*3,AK17))&gt;=0,IF(D23="有",IF(D25="有",AK17-AK17*0.12-D24*3-D26*3,AK17-AK17*0.08-D24*3),IF(D25="有",AK17-AK17*0.04-D26*3,AK17)),0)</f>
        <v>143942</v>
      </c>
      <c r="Q17" s="534">
        <f ca="1">AI17*(1-HLOOKUP(F17,G2:O7,6,0)-A26)</f>
        <v>180438.72</v>
      </c>
      <c r="R17" s="534">
        <f ca="1">IF(AND(L17&gt;0,L17&lt;7),0,IF(L17=11,N17-J17*5,N17+J17*(L17+1)))</f>
        <v>342720</v>
      </c>
      <c r="S17" s="617">
        <f ca="1">IF(OR(M17="",ISERROR(AE4),ISERROR(AF4)),"",INT((INT(AF4*($D$7-1)+AE4))*$T$7))</f>
        <v>308448</v>
      </c>
      <c r="T17" s="618">
        <f ca="1">IF(M17="慕容博",IF(AND(ISNUMBER(U17),ISNUMBER(I17),ISNUMBER(AI17)),IF(U17-I17&lt;2,1,U17-I17),"")+S17*0.02,IF(AND(ISNUMBER(U17),ISNUMBER(I17),ISNUMBER(AI17)),IF(U17-I17&lt;2,1,U17-I17),""))</f>
        <v>246980.28</v>
      </c>
      <c r="U17" s="619">
        <f ca="1">IF(M17="独孤求败",(1+0.18-HLOOKUP(F17,G2:O7,6,0)-A26)*IF(OR(M17="",ISERROR(S17),ISERROR(AH4)),"",INT(S17*(AH4/100)+O17)),(1-HLOOKUP(F17,G2:O7,6,0)-A26)*IF(OR(M17="",ISERROR(S17),ISERROR(AH4)),"",INT(S17*(AH4/100)+O17)))</f>
        <v>286073.28</v>
      </c>
      <c r="V17" s="620" t="str">
        <f ca="1" t="shared" ref="V17" si="10">IF(ISERROR(IF(AD17&lt;2,1,AD17)),"",IF(AD17&lt;2,1,AD17))</f>
        <v/>
      </c>
      <c r="W17" s="621" t="str">
        <f>IF(ISERROR(IF(F17=$V$9,1,IF(Z11="群",ABS(AB17-$AB$26)+1,""))),"",IF(F17=$V$9,1,IF(Z11="群",ABS(AB17-$AB$26)+1,"")))</f>
        <v/>
      </c>
      <c r="Y17" s="671">
        <v>4</v>
      </c>
      <c r="Z17" s="673">
        <v>6</v>
      </c>
      <c r="AA17" s="673" t="str">
        <f t="shared" si="5"/>
        <v/>
      </c>
      <c r="AB17" s="673">
        <v>4</v>
      </c>
      <c r="AC17" s="674" t="e">
        <f ca="1">CHOOSE(W17,(Z23*1+W4*W5*0.01)*Z26-P17,(Z23*Z29+W4*AA29*W5*0.01)*Z26-P17*AB29,(Z23*Z30+W4*AA30*W5*0.01)*Z26-P17*AB30,(Z23*Z31+W4*AA31*W5*0.01)*Z26-P17*AB31,(Z23*Z32+W4*AA32*W5*0.01)*Z26-P17*AB32,(Z23*Z33+W4*AA33*W5*0.01)*Z26-P17*AB33,(Z23*Z34+W4*AA34*W5*0.01)*Z26-P17*AB34,(Z23*Z35+W4*AA35*W5*0.01)*Z26-P17*AB35)</f>
        <v>#VALUE!</v>
      </c>
      <c r="AD17" s="674" t="e">
        <f ca="1">IF(V9="独孤求败",AC17*(1-HLOOKUP(F17,G2:O7,6,0)-A26+0.18),AC17*(1-HLOOKUP(F17,G2:O7,6,0)-A26))</f>
        <v>#VALUE!</v>
      </c>
      <c r="AE17" s="675">
        <f ca="1" t="shared" si="8"/>
        <v>58414</v>
      </c>
      <c r="AF17" s="676">
        <f ca="1" t="shared" ref="AF17" si="11">IF(F17="独孤求败",IF(M17="令狐冲",AE17,AE17*1.18),IF(M17="令狐冲",AE17*0.82,AE17))</f>
        <v>58414</v>
      </c>
      <c r="AG17" s="676">
        <f ca="1">IF(F17=V31,INT(W31*VLOOKUP(V31,F11:J32,3,0)+AF17),AF17)</f>
        <v>58414</v>
      </c>
      <c r="AH17" s="724">
        <f ca="1">IF(F17=V31,INT(W31*INT(HLOOKUP(V31,G2:O6,5,0)*(1+C19/100))+AF17),AF17)</f>
        <v>58414</v>
      </c>
      <c r="AI17" s="725">
        <f ca="1">IF(M17="慕容博",IF(AND(ISNUMBER(O17),ISNUMBER(I17)),IF(O17-I17&lt;2,1,O17-I17),"")+S17*0.02,IF(AND(ISNUMBER(O17),ISNUMBER(I17)),IF(O17-I17&lt;2,1,O17-I17),""))</f>
        <v>187957</v>
      </c>
      <c r="AJ17" s="675">
        <f ca="1">IF($M$11="阿青",INT((IF(M17="阿飞",INT(1.04*IF(OR(M17="",ISERROR(AA4),ISERROR(AB4)),"",INT(INT((AB4*($D$7-1)+AA4))*$T$5))),IF(OR(M17="",ISERROR(AA4),ISERROR(AB4)),"",INT(INT((AB4*($D$7-1)+AA4))*$T$5))))*1.05+2*$T$3),INT((IF(M17="阿飞",INT(1.04*IF(OR(M17="",ISERROR(AA4),ISERROR(AB4)),"",INT(INT((AB4*($D$7-1)+AA4))*$T$5))),IF(OR(M17="",ISERROR(AA4),ISERROR(AB4)),"",INT(INT((AB4*($D$7-1)+AA4))*$T$5))))))</f>
        <v>227050</v>
      </c>
      <c r="AK17" s="724">
        <f ca="1">INT(IF(OR(M17="",ISERROR(AC4),ISERROR(AD4)),"",IF(VLOOKUP(M17,弟子基础属性!$C$1:$S$171,2,0)="金钟罩",INT(1.1*INT((INT(AD4*($D$7-1)+AC4))*$T$6)),IF(VLOOKUP(M17,弟子基础属性!$C$1:$S$171,2,0)="玉女心经",INT(1.07*INT((INT(AD4*($D$7-1)+AC4))*$T$6)),IF(VLOOKUP(M17,弟子基础属性!$C$1:$S$171,2,0)="先天罡气",INT(1.05*INT((INT(AD4*($D$7-1)+AC4))*$T$6)),INT((INT(AD4*($D$7-1)+AC4))*$T$6))))))</f>
        <v>143942</v>
      </c>
      <c r="AL17" s="726" t="str">
        <f ca="1" t="shared" ref="AL17:AL21" si="12">IF(OR(AL16=1,AL16=""),"",IF(COUNTIF(AN17:AP17,0)=0,0,1))</f>
        <v/>
      </c>
      <c r="AM17" s="722"/>
      <c r="AN17" s="723">
        <f ca="1">INT(AM7*1.1)</f>
        <v>42117</v>
      </c>
      <c r="AO17" s="764">
        <f ca="1">IF(AL1="令狐冲",IF(OR(AO16=0,AO16=""),"",IF(AM5&lt;AL7,AO9-1,IF((AO16+(AL7-AM5)*0.82)&lt;=0,0,(AO16+(AL7-AM5)*0.82)))),IF(OR(AO16=0,AO16=""),"",IF(AM5&lt;AL7,AO9-1,IF((AO16+AL7-AM5)&lt;=0,0,(AO16+AL7-AM5)))))</f>
        <v>302984</v>
      </c>
      <c r="AP17" s="722" t="str">
        <f ca="1">IF(AL1="独孤求败",IF(OR(AP16=0,AP16=""),"",IF(AL5&lt;AN17,AP16-1,IF((AP16-(AL5-AN17)*(1+0.18-HLOOKUP(AM1,G2:O7,6,0)-A26))&gt;0,(AP16-(AL5-AN17)*(1+0.18-HLOOKUP(AM1,G2:O7,6,0)-A26)),0))),IF(OR(AP16=0,AP16=""),"",IF(AL5&lt;AN17,AP16-1,IF((AP16+(AN17-AL5))*(1-HLOOKUP(AM1,G2:O7,6,0)-A26)&gt;0,(AP16+(AN17-AL5))*(1-HLOOKUP(AM1,G2:O7,6,0)-A26),0))))</f>
        <v/>
      </c>
      <c r="AQ17" s="764">
        <v>-2</v>
      </c>
      <c r="AR17" s="765"/>
      <c r="AS17" s="775">
        <f ca="1">AL3</f>
        <v>428190</v>
      </c>
      <c r="AT17" s="459"/>
      <c r="AU17" s="770">
        <f ca="1">AU16</f>
        <v>62603</v>
      </c>
      <c r="AV17" s="586">
        <f ca="1">IF(AND(ISNUMBER(AL5),ISNUMBER(AN17)),IF(AL5-AN17&lt;2,1,(AL5-AN17)*(1-HLOOKUP(AM1,G2:O7,6,0)-A26)),"")</f>
        <v>251424.96</v>
      </c>
      <c r="AW17" s="783">
        <f ca="1">SUM(OFFSET(AU16,0,0,ABS(AT21),1))</f>
        <v>62603</v>
      </c>
      <c r="AX17" s="708" t="s">
        <v>67</v>
      </c>
    </row>
    <row r="18" ht="14.25" customHeight="1" spans="1:50">
      <c r="A18" s="461"/>
      <c r="B18" s="404"/>
      <c r="C18" s="438" t="s">
        <v>75</v>
      </c>
      <c r="D18" s="417"/>
      <c r="E18" s="440"/>
      <c r="F18" s="454"/>
      <c r="G18" s="455"/>
      <c r="H18" s="456"/>
      <c r="I18" s="456"/>
      <c r="J18" s="534"/>
      <c r="K18" s="535"/>
      <c r="L18" s="529"/>
      <c r="M18" s="537"/>
      <c r="N18" s="538"/>
      <c r="O18" s="539"/>
      <c r="P18" s="456"/>
      <c r="Q18" s="534"/>
      <c r="R18" s="534"/>
      <c r="S18" s="617"/>
      <c r="T18" s="618"/>
      <c r="U18" s="619"/>
      <c r="V18" s="620"/>
      <c r="W18" s="621"/>
      <c r="Y18" s="671"/>
      <c r="Z18" s="673">
        <v>7</v>
      </c>
      <c r="AA18" s="673" t="str">
        <f t="shared" si="5"/>
        <v/>
      </c>
      <c r="AB18" s="673"/>
      <c r="AC18" s="674"/>
      <c r="AD18" s="674"/>
      <c r="AE18" s="675"/>
      <c r="AF18" s="676"/>
      <c r="AG18" s="676"/>
      <c r="AH18" s="724"/>
      <c r="AI18" s="725"/>
      <c r="AJ18" s="675"/>
      <c r="AK18" s="724"/>
      <c r="AL18" s="726" t="str">
        <f ca="1" t="shared" si="12"/>
        <v/>
      </c>
      <c r="AM18" s="722"/>
      <c r="AN18" s="723">
        <f ca="1">INT(AM7*1.15)</f>
        <v>44032</v>
      </c>
      <c r="AO18" s="764">
        <f ca="1">IF(AL1="令狐冲",IF(OR(AO17=0,AO17=""),"",IF(AM5&lt;AL7,AO17-1,IF((AO17+(AL7-AM5)*0.82)&lt;=0,0,(AO17+(AL7-AM5)*0.82)))),IF(OR(AO17=0,AO17=""),"",IF(AM5&lt;AL7,AO17-1,IF((AO17+AL7-AM5)&lt;=0,0,(AO17+AL7-AM5)))))</f>
        <v>240381</v>
      </c>
      <c r="AP18" s="722" t="str">
        <f ca="1">IF(AL1="独孤求败",IF(OR(AP17=0,AP17=""),"",IF(AL5&lt;AN18,AP17-1,IF((AP17-(AL5-AN18)*(1+0.18-HLOOKUP(AM1,G2:O7,6,0)-A26))&gt;0,(AP17-(AL5-AN18)*(1+0.18-HLOOKUP(AM1,G2:O7,6,0)-A26)),0))),IF(OR(AP17=0,AP17=""),"",IF(AL5&lt;AN18,AP17-1,IF((AP17+(AN18-AL5))*(1-HLOOKUP(AM1,G2:O7,6,0)-A26)&gt;0,(AP17+(AN18-AL5))*(1-HLOOKUP(AM1,G2:O7,6,0)-A26),0))))</f>
        <v/>
      </c>
      <c r="AQ18" s="768">
        <v>-3</v>
      </c>
      <c r="AR18" s="707" t="str">
        <f ca="1">IF(AS16="先手",AP20,AP21)</f>
        <v/>
      </c>
      <c r="AS18" s="761">
        <f ca="1">IF(AS16="先手",AO21,AO20)</f>
        <v>115175</v>
      </c>
      <c r="AT18" s="769" t="s">
        <v>68</v>
      </c>
      <c r="AU18" s="770">
        <f ca="1">AU16</f>
        <v>62603</v>
      </c>
      <c r="AV18" s="586">
        <f ca="1">IF(AND(ISNUMBER(AL5),ISNUMBER(AN18)),IF(AL5-AN18&lt;2,1,(AL5-AN18)*(1-HLOOKUP(AM1,G2:O7,6,0)-A26)),"")</f>
        <v>249586.56</v>
      </c>
      <c r="AW18" s="783">
        <f ca="1">IF(AS16="先手",SUM(OFFSET(AU15,0,0,ABS(AT21)+1,1)),SUM(OFFSET(AU15,0,0,ABS(AT21),1)))</f>
        <v>0</v>
      </c>
      <c r="AX18" s="708" t="s">
        <v>69</v>
      </c>
    </row>
    <row r="19" ht="14.25" customHeight="1" spans="1:50">
      <c r="A19" s="461">
        <v>6</v>
      </c>
      <c r="B19" s="404"/>
      <c r="C19" s="458">
        <v>0</v>
      </c>
      <c r="D19" s="423"/>
      <c r="E19" s="440"/>
      <c r="F19" s="454" t="s">
        <v>9</v>
      </c>
      <c r="G19" s="451">
        <f>IF(AND(ISNUMBER(CHOOSE(FIND("1",(F19=$G$2)*1&amp;(F19=$H$2)*1&amp;(F19=$I$2)*1&amp;(F19=$J$2)*1&amp;(F19=$K$2)*1&amp;(F19=$L$2)*1&amp;(F19=$M$2)*1&amp;(F19=$N$2)*1&amp;(F19=$O$2)*1),$G$3,$H$3,$I$3,$J$3,$K$3,$L$3,$M$3,$N$3,$O$3)),ISNUMBER($C$10)),INT(CHOOSE(FIND("1",(F19=$G$2)*1&amp;(F19=$H$2)*1&amp;(F19=$I$2)*1&amp;(F19=$J$2)*1&amp;(F19=$K$2)*1&amp;(F19=$L$2)*1&amp;(F19=$M$2)*1&amp;(F19=$N$2)*1&amp;(F19=$O$2)*1),$G$3,$H$3,$I$3,$J$3,$K$3,$L$3,$M$3,$N$3,$O$3)*(1+$C$10/100)),"")</f>
        <v>639822</v>
      </c>
      <c r="H19" s="452">
        <f>IF((OR($D$21="有")),(INT((IF(AND(ISNUMBER(CHOOSE(FIND("1",(F19=$G$2)*1&amp;(F19=$H$2)*1&amp;(F19=$I$2)*1&amp;(F19=$J$2)*1&amp;(F19=$K$2)*1&amp;(F19=$L$2)*1&amp;(F19=$M$2)*1&amp;(F19=$N$2)*1&amp;(F19=$O$2)*1),$G$4,$H$4,$I$4,$J$4,$K$4,$L$4,$M$4,$N$4,$O$4)),ISNUMBER($C$13)),INT(CHOOSE(FIND("1",(F19=$G$2)*1&amp;(F19=$H$2)*1&amp;(F19=$I$2)*1&amp;(F19=$J$2)*1&amp;(F19=$K$2)*1&amp;(F19=$L$2)*1&amp;(F19=$M$2)*1&amp;(F19=$N$2)*1&amp;(F19=$O$2)*1),$G$4,$H$4,$I$4,$J$4,$K$4,$L$4,$M$4,$N$4,$O$4)*(1+$C$13/100)),""))*1.05)+$D$22*2),(IF(AND(ISNUMBER(CHOOSE(FIND("1",(F19=$G$2)*1&amp;(F19=$H$2)*1&amp;(F19=$I$2)*1&amp;(F19=$J$2)*1&amp;(F19=$K$2)*1&amp;(F19=$L$2)*1&amp;(F19=$M$2)*1&amp;(F19=$N$2)*1&amp;(F19=$O$2)*1),$G$4,$H$4,$I$4,$J$4,$K$4,$L$4,$M$4,$N$4,$O$4)),ISNUMBER($C$13)),INT(CHOOSE(FIND("1",(F19=$G$2)*1&amp;(F19=$H$2)*1&amp;(F19=$I$2)*1&amp;(F19=$J$2)*1&amp;(F19=$K$2)*1&amp;(F19=$L$2)*1&amp;(F19=$M$2)*1&amp;(F19=$N$2)*1&amp;(F19=$O$2)*1),$G$4,$H$4,$I$4,$J$4,$K$4,$L$4,$M$4,$N$4,$O$4)*(1+$C$13/100)),"")))</f>
        <v>457751</v>
      </c>
      <c r="I19" s="452">
        <f ca="1">IF(OR(M11="王语嫣",M15="王语嫣"),HLOOKUP(F19,G2:O7,4,0)*(1+C16*0.01)*(1-0.08)-D7*3+A29*4,HLOOKUP(F19,G2:O7,4,0)*(1+C16*0.01)+A29*4)</f>
        <v>8245</v>
      </c>
      <c r="J19" s="534">
        <f ca="1">IF(T31="无",AF19,IF(T31="攻透",AG19,AH19))</f>
        <v>190383</v>
      </c>
      <c r="K19" s="535">
        <f ca="1">IF(AND(L19&gt;0,L19&lt;7),G19-Q19*(L19-1),IF(AND(L19&lt;0,L19&gt;-6),0,G19-Q19*5))</f>
        <v>447278.688</v>
      </c>
      <c r="L19" s="540">
        <f ca="1">IF(OR(N19="",J19="",Q19="",G19=""),"",IF(OR(ROUNDUP(N19/J19,0)&lt;7,ROUNDUP(G19/Q19,0)&lt;6),IF(ROUNDUP(N19/J19,0)&lt;=ROUNDUP(G19/Q19,0),ROUNDUP(N19/J19,0),-ROUNDUP(G19/Q19,0)),11))</f>
        <v>3</v>
      </c>
      <c r="M19" s="541" t="str">
        <f ca="1">IF(ISERROR(INDIRECT("队伍表!"&amp;ADDRESS(6,$A$21))),"",INDIRECT("队伍表!"&amp;ADDRESS(6,$A$21)))</f>
        <v>张无忌</v>
      </c>
      <c r="N19" s="538">
        <f ca="1">IF(OR(M19="",ISERROR(Y5),ISERROR(Z5)),"",INT((INT(Z5*($D$7-1)+Y5))*$T$4))</f>
        <v>428475</v>
      </c>
      <c r="O19" s="539">
        <f ca="1">IF(OR($M$19="神捕冷血",$M$19="谢晓峰"),AJ19*1.1,AJ19)</f>
        <v>188529</v>
      </c>
      <c r="P19" s="456">
        <f ca="1">IF(IF(D23="有",IF(D25="有",AK19-AK19*0.12-D24*3-D26*3,AK19-AK19*0.08-D24*3),IF(D25="有",AK19-AK19*0.04-D26*3,AK19))&gt;=0,IF(D23="有",IF(D25="有",AK19-AK19*0.12-D24*3-D26*3,AK19-AK19*0.08-D24*3),IF(D25="有",AK19-AK19*0.04-D26*3,AK19)),0)</f>
        <v>267368</v>
      </c>
      <c r="Q19" s="534">
        <f ca="1">AI19*(1-HLOOKUP(F19,G2:O7,6,0)-A26)</f>
        <v>96271.656</v>
      </c>
      <c r="R19" s="534">
        <f ca="1">IF(AND(L19&gt;0,L19&lt;7),0,IF(L19=11,N19-J19*6,N19+J19*L19))</f>
        <v>0</v>
      </c>
      <c r="S19" s="617">
        <f ca="1">IF(OR(M19="",ISERROR(AE5),ISERROR(AF5)),"",INT((INT(AF5*($D$7-1)+AE5))*$T$7))</f>
        <v>514296</v>
      </c>
      <c r="T19" s="618">
        <f ca="1">IF(AND(ISNUMBER(U19),ISNUMBER(I19),ISNUMBER(AI19)),IF(U19-I19&lt;2,1,U19-I19),"")</f>
        <v>279180.5</v>
      </c>
      <c r="U19" s="619">
        <f ca="1">IF(M19="独孤求败",(1+0.18-HLOOKUP(F19,G2:O7,6,0)-A26)*IF(OR(M19="",ISERROR(S19),ISERROR(AH5)),"",INT(S19*(AH5/100)+O19)),(1-HLOOKUP(F19,G2:O7,6,0)-A26)*IF(OR(M19="",ISERROR(S19),ISERROR(AH5)),"",INT(S19*(AH5/100)+O19)))</f>
        <v>287425.5</v>
      </c>
      <c r="V19" s="620" t="str">
        <f ca="1" t="shared" ref="V19" si="13">IF(ISERROR(IF(AD19&lt;2,1,AD19)),"",IF(AD19&lt;2,1,AD19))</f>
        <v/>
      </c>
      <c r="W19" s="621" t="str">
        <f>IF(ISERROR(IF(F19=$V$9,1,IF(Z11="群",ABS(AB19-$AB$26)+1,""))),"",IF(F19=$V$9,1,IF(Z11="群",ABS(AB19-$AB$26)+1,"")))</f>
        <v/>
      </c>
      <c r="Y19" s="671">
        <v>5</v>
      </c>
      <c r="Z19" s="673">
        <v>8</v>
      </c>
      <c r="AA19" s="673" t="str">
        <f t="shared" si="5"/>
        <v/>
      </c>
      <c r="AB19" s="673">
        <v>5</v>
      </c>
      <c r="AC19" s="674" t="e">
        <f ca="1">CHOOSE(W19,(Z23*1+W4*W5*0.01)*Z26-P19,(Z23*Z29+W4*AA29*W5*0.01)*Z26-P19*AB29,(Z23*Z30+W4*AA30*W5*0.01)*Z26-P19*AB30,(Z23*Z31+W4*AA31*W5*0.01)*Z26-P19*AB31,(Z23*Z32+W4*AA32*W5*0.01)*Z26-P19*AB32,(Z23*Z33+W4*AA33*W5*0.01)*Z26-P19*AB33,(Z23*Z34+W4*AA34*W5*0.01)*Z26-P19*AB34,(Z23*Z35+W4*AA35*W5*0.01)*Z26-P19*AB35)</f>
        <v>#VALUE!</v>
      </c>
      <c r="AD19" s="674" t="e">
        <f ca="1">IF(V9="独孤求败",AC19*(1-HLOOKUP(F19,G2:O7,6,0)-A26+0.18),AC19*(1-HLOOKUP(F19,G2:O7,6,0)-A26))</f>
        <v>#VALUE!</v>
      </c>
      <c r="AE19" s="675">
        <f ca="1" t="shared" si="8"/>
        <v>190383</v>
      </c>
      <c r="AF19" s="676">
        <f ca="1" t="shared" ref="AF19" si="14">IF(F19="独孤求败",IF(M19="令狐冲",AE19,AE19*1.18),IF(M19="令狐冲",AE19*0.82,AE19))</f>
        <v>190383</v>
      </c>
      <c r="AG19" s="676">
        <f ca="1">IF(F19=V31,INT(W31*VLOOKUP(V31,F11:J32,3,0)+AF19),AF19)</f>
        <v>204115</v>
      </c>
      <c r="AH19" s="724">
        <f ca="1">IF(F19=V31,INT(W31*INT(HLOOKUP(V31,G2:O6,5,0)*(1+C19/100))+AF19),AF19)</f>
        <v>190554</v>
      </c>
      <c r="AI19" s="725">
        <f ca="1">IF(AND(ISNUMBER(O19),ISNUMBER(I19)),IF(O19-I19&lt;2,1,O19-I19),"")</f>
        <v>180284</v>
      </c>
      <c r="AJ19" s="675">
        <f ca="1">IF($M$11="阿青",INT((IF(M19="阿飞",INT(1.04*IF(OR(M19="",ISERROR(AA5),ISERROR(AB5)),"",INT(INT((AB5*($D$7-1)+AA5))*$T$5))),IF(OR(M19="",ISERROR(AA5),ISERROR(AB5)),"",INT(INT((AB5*($D$7-1)+AA5))*$T$5))))*1.05+2*$T$3),INT((IF(M19="阿飞",INT(1.04*IF(OR(M19="",ISERROR(AA5),ISERROR(AB5)),"",INT(INT((AB5*($D$7-1)+AA5))*$T$5))),IF(OR(M19="",ISERROR(AA5),ISERROR(AB5)),"",INT(INT((AB5*($D$7-1)+AA5))*$T$5))))))</f>
        <v>188529</v>
      </c>
      <c r="AK19" s="724">
        <f ca="1">INT(IF(OR(M19="",ISERROR(AC5),ISERROR(AD5)),"",IF(VLOOKUP(M19,弟子基础属性!$C$1:$S$171,2,0)="金钟罩",INT(1.1*INT((INT(AD5*($D$7-1)+AC5))*$T$6)),IF(VLOOKUP(M19,弟子基础属性!$C$1:$S$171,2,0)="玉女心经",INT(1.07*INT((INT(AD5*($D$7-1)+AC5))*$T$6)),IF(VLOOKUP(M19,弟子基础属性!$C$1:$S$171,2,0)="先天罡气",INT(1.05*INT((INT(AD5*($D$7-1)+AC5))*$T$6)),INT((INT(AD5*($D$7-1)+AC5))*$T$6))))))</f>
        <v>267368</v>
      </c>
      <c r="AL19" s="726" t="str">
        <f ca="1" t="shared" si="12"/>
        <v/>
      </c>
      <c r="AM19" s="722"/>
      <c r="AN19" s="723">
        <f ca="1">INT(AM7*1.2)</f>
        <v>45946</v>
      </c>
      <c r="AO19" s="764">
        <f ca="1">IF(AL1="令狐冲",IF(OR(AO18=0,AO18=""),"",IF(AM5&lt;AL7,AO18-1,IF((AO18+(AL7-AM5)*0.82)&lt;=0,0,(AO18+(AL7-AM5)*0.82)))),IF(OR(AO18=0,AO18=""),"",IF(AM5&lt;AL7,AO18-1,IF((AO18+AL7-AM5)&lt;=0,0,(AO18+AL7-AM5)))))</f>
        <v>177778</v>
      </c>
      <c r="AP19" s="722" t="str">
        <f ca="1">IF(AL1="独孤求败",IF(OR(AP18=0,AP18=""),"",IF(AL5&lt;AN19,AP18-1,IF((AP18-(AL5-AN19)*(1+0.18-HLOOKUP(AM1,G2:O7,6,0)-A26))&gt;0,(AP18-(AL5-AN19)*(1+0.18-HLOOKUP(AM1,G2:O7,6,0)-A26)),0))),IF(OR(AP18=0,AP18=""),"",IF(AL5&lt;AN19,AP18-1,IF((AP18+(AN19-AL5))*(1-HLOOKUP(AM1,G2:O7,6,0)-A26)&gt;0,(AP18+(AN19-AL5))*(1-HLOOKUP(AM1,G2:O7,6,0)-A26),0))))</f>
        <v/>
      </c>
      <c r="AQ19" s="768">
        <v>-4</v>
      </c>
      <c r="AR19" s="770">
        <v>0</v>
      </c>
      <c r="AS19" s="586">
        <f ca="1">IF(AS16="后手",IF(AS21=-1,AL3,OFFSET(AO16,ABS(AS21)-2,)),OFFSET(AO16,ABS(AS21)-1,))</f>
        <v>428190</v>
      </c>
      <c r="AT19" s="769" t="s">
        <v>71</v>
      </c>
      <c r="AU19" s="770">
        <f ca="1">AU16</f>
        <v>62603</v>
      </c>
      <c r="AV19" s="586">
        <f ca="1">IF(AND(ISNUMBER(AL5),ISNUMBER(AN19)),IF(AL5-AN19&lt;2,1,(AL5-AN19)*(1-HLOOKUP(AM1,G2:O7,6,0)-A26)),"")</f>
        <v>247749.12</v>
      </c>
      <c r="AW19" s="783" t="s">
        <v>72</v>
      </c>
      <c r="AX19" s="708"/>
    </row>
    <row r="20" ht="14.25" customHeight="1" spans="1:50">
      <c r="A20" s="457"/>
      <c r="B20" s="404"/>
      <c r="D20" s="463"/>
      <c r="E20" s="440"/>
      <c r="F20" s="454"/>
      <c r="G20" s="455"/>
      <c r="H20" s="456"/>
      <c r="I20" s="456"/>
      <c r="J20" s="534"/>
      <c r="K20" s="535"/>
      <c r="L20" s="529"/>
      <c r="M20" s="537"/>
      <c r="N20" s="538"/>
      <c r="O20" s="539"/>
      <c r="P20" s="456"/>
      <c r="Q20" s="534"/>
      <c r="R20" s="534"/>
      <c r="S20" s="617"/>
      <c r="T20" s="618"/>
      <c r="U20" s="619"/>
      <c r="V20" s="620"/>
      <c r="W20" s="621"/>
      <c r="Y20" s="671"/>
      <c r="Z20" s="673">
        <v>9</v>
      </c>
      <c r="AA20" s="673" t="str">
        <f t="shared" si="5"/>
        <v/>
      </c>
      <c r="AB20" s="673"/>
      <c r="AC20" s="674"/>
      <c r="AD20" s="674"/>
      <c r="AE20" s="675"/>
      <c r="AF20" s="676"/>
      <c r="AG20" s="676"/>
      <c r="AH20" s="724"/>
      <c r="AI20" s="725"/>
      <c r="AJ20" s="675"/>
      <c r="AK20" s="724"/>
      <c r="AL20" s="726" t="str">
        <f ca="1" t="shared" si="12"/>
        <v/>
      </c>
      <c r="AM20" s="722"/>
      <c r="AN20" s="723">
        <f ca="1">AN19</f>
        <v>45946</v>
      </c>
      <c r="AO20" s="764">
        <f ca="1">IF(AL1="令狐冲",IF(OR(AO19=0,AO19=""),"",IF(AM5&lt;AL7,AO19-1,IF((AO19+(AL7-AM5)*0.82)&lt;=0,0,(AO19+(AL7-AM5)*0.82)))),IF(OR(AO19=0,AO19=""),"",IF(AM5&lt;AL7,AO19-1,IF((AO19+AL7-AM5)&lt;=0,0,(AO19+AL7-AM5)))))</f>
        <v>115175</v>
      </c>
      <c r="AP20" s="722" t="str">
        <f ca="1">IF(AL1="独孤求败",IF(OR(AP19=0,AP19=""),"",IF(AL5&lt;AN20,AP19-1,IF((AP19-(AL5-AN20)*(1+0.18-HLOOKUP(AM1,G2:O7,6,0)-A26))&gt;0,(AP19-(AL5-AN20)*(1+0.18-HLOOKUP(AM1,G2:O7,6,0)-A26)),0))),IF(OR(AP19=0,AP19=""),"",IF(AL5&lt;AN20,AP19-1,IF((AP19+(AN20-AL5))*(1-HLOOKUP(AM1,G2:O7,6,0)-A26)&gt;0,(AP19+(AN20-AL5))*(1-HLOOKUP(AM1,G2:O7,6,0)-A26),0))))</f>
        <v/>
      </c>
      <c r="AQ20" s="768">
        <v>-5</v>
      </c>
      <c r="AR20" s="704" t="str">
        <f ca="1">IF(AS16="先手",IF(AS21=1,AM3,OFFSET(AP16,AS21-2,)),OFFSET(AP16,AS21-1,))</f>
        <v/>
      </c>
      <c r="AS20" s="596">
        <v>0</v>
      </c>
      <c r="AT20" s="769" t="s">
        <v>73</v>
      </c>
      <c r="AU20" s="770">
        <f ca="1">AU16</f>
        <v>62603</v>
      </c>
      <c r="AV20" s="586">
        <f ca="1">IF(AND(ISNUMBER(AL5),ISNUMBER(AN20)),IF(AL5-AN20&lt;2,1,(AL5-AN20)*(1-HLOOKUP(AM1,G2:O7,6,0)-A26)),"")</f>
        <v>247749.12</v>
      </c>
      <c r="AW20" s="783">
        <f ca="1">IF(AS16="先手",SUM(OFFSET(AV15,0,0,ABS(AT21),1)),SUM(OFFSET(AV15,0,0,ABS(AT21)+1,1)))</f>
        <v>253262.4</v>
      </c>
      <c r="AX20" s="708" t="s">
        <v>67</v>
      </c>
    </row>
    <row r="21" ht="14.25" customHeight="1" spans="1:50">
      <c r="A21" s="464">
        <f t="array" ref="A21">MAX(IF(队伍表!A1:AU1=P2,COLUMN(队伍表!A1:AU1),0))</f>
        <v>9</v>
      </c>
      <c r="B21" s="404"/>
      <c r="C21" s="438" t="s">
        <v>76</v>
      </c>
      <c r="D21" s="465" t="s">
        <v>61</v>
      </c>
      <c r="E21" s="466"/>
      <c r="F21" s="454" t="s">
        <v>3</v>
      </c>
      <c r="G21" s="451">
        <f>IF(AND(ISNUMBER(CHOOSE(FIND("1",(F21=$G$2)*1&amp;(F21=$H$2)*1&amp;(F21=$I$2)*1&amp;(F21=$J$2)*1&amp;(F21=$K$2)*1&amp;(F21=$L$2)*1&amp;(F21=$M$2)*1&amp;(F21=$N$2)*1&amp;(F21=$O$2)*1),$G$3,$H$3,$I$3,$J$3,$K$3,$L$3,$M$3,$N$3,$O$3)),ISNUMBER($C$10)),INT(CHOOSE(FIND("1",(F21=$G$2)*1&amp;(F21=$H$2)*1&amp;(F21=$I$2)*1&amp;(F21=$J$2)*1&amp;(F21=$K$2)*1&amp;(F21=$L$2)*1&amp;(F21=$M$2)*1&amp;(F21=$N$2)*1&amp;(F21=$O$2)*1),$G$3,$H$3,$I$3,$J$3,$K$3,$L$3,$M$3,$N$3,$O$3)*(1+$C$10/100)),"")</f>
        <v>171535</v>
      </c>
      <c r="H21" s="452">
        <f>IF((OR($D$21="有")),(INT((IF(AND(ISNUMBER(CHOOSE(FIND("1",(F21=$G$2)*1&amp;(F21=$H$2)*1&amp;(F21=$I$2)*1&amp;(F21=$J$2)*1&amp;(F21=$K$2)*1&amp;(F21=$L$2)*1&amp;(F21=$M$2)*1&amp;(F21=$N$2)*1&amp;(F21=$O$2)*1),$G$4,$H$4,$I$4,$J$4,$K$4,$L$4,$M$4,$N$4,$O$4)),ISNUMBER($C$13)),INT(CHOOSE(FIND("1",(F21=$G$2)*1&amp;(F21=$H$2)*1&amp;(F21=$I$2)*1&amp;(F21=$J$2)*1&amp;(F21=$K$2)*1&amp;(F21=$L$2)*1&amp;(F21=$M$2)*1&amp;(F21=$N$2)*1&amp;(F21=$O$2)*1),$G$4,$H$4,$I$4,$J$4,$K$4,$L$4,$M$4,$N$4,$O$4)*(1+$C$13/100)),""))*1.05)+$D$22*2),(IF(AND(ISNUMBER(CHOOSE(FIND("1",(F21=$G$2)*1&amp;(F21=$H$2)*1&amp;(F21=$I$2)*1&amp;(F21=$J$2)*1&amp;(F21=$K$2)*1&amp;(F21=$L$2)*1&amp;(F21=$M$2)*1&amp;(F21=$N$2)*1&amp;(F21=$O$2)*1),$G$4,$H$4,$I$4,$J$4,$K$4,$L$4,$M$4,$N$4,$O$4)),ISNUMBER($C$13)),INT(CHOOSE(FIND("1",(F21=$G$2)*1&amp;(F21=$H$2)*1&amp;(F21=$I$2)*1&amp;(F21=$J$2)*1&amp;(F21=$K$2)*1&amp;(F21=$L$2)*1&amp;(F21=$M$2)*1&amp;(F21=$N$2)*1&amp;(F21=$O$2)*1),$G$4,$H$4,$I$4,$J$4,$K$4,$L$4,$M$4,$N$4,$O$4)*(1+$C$13/100)),"")))</f>
        <v>220430</v>
      </c>
      <c r="I21" s="452">
        <f ca="1">IF(OR(M11="王语嫣",M15="王语嫣"),HLOOKUP(F21,G2:O7,4,0)*(1+C16*0.01)*(1-0.08)-D7*3+A29*4,HLOOKUP(F21,G2:O7,4,0)*(1+C16*0.01)+A29*4)</f>
        <v>43795</v>
      </c>
      <c r="J21" s="542">
        <f ca="1">IF(T31="无",AF21,IF(T31="攻透",AG21,AH21))</f>
        <v>1</v>
      </c>
      <c r="K21" s="535">
        <f ca="1">IF(AND(L21&gt;0,L21&lt;7),G21-Q21*L21,IF(AND(L21&lt;0,L21&gt;-7),0,G21-Q21*6))</f>
        <v>0</v>
      </c>
      <c r="L21" s="540">
        <f ca="1">IF(OR(N21="",J21="",Q21="",G21=""),"",IF(OR(ROUNDUP(N21/J21,0)&lt;6,ROUNDUP(G21/Q21,0)&lt;7),IF(ROUNDUP(G21/Q21,0)&lt;=ROUNDUP(N21/J21,0),-ROUNDUP(G21/Q21,0),ROUNDUP(N21/J21,0)),11))</f>
        <v>-2</v>
      </c>
      <c r="M21" s="541" t="str">
        <f ca="1">IF(A17&gt;5,IF(ISERROR(INDIRECT("队伍表!"&amp;ADDRESS(7,$A$21))),"",INDIRECT("队伍表!"&amp;ADDRESS(7,$A$21))),"")</f>
        <v>小龙女</v>
      </c>
      <c r="N21" s="538">
        <f ca="1">IF(OR(M21="",ISERROR(Y6),ISERROR(Z6)),"",INT((INT(Z6*($D$7-1)+Y6))*$T$4))</f>
        <v>428445</v>
      </c>
      <c r="O21" s="539">
        <f ca="1">IF(OR($M$21="神捕冷血",$M$21="谢晓峰"),AJ21*1.1,AJ21)</f>
        <v>197110</v>
      </c>
      <c r="P21" s="456">
        <f ca="1">IF(IF(D23="有",IF(D25="有",AK21-AK21*0.12-D24*3-D26*3,AK21-AK21*0.08-D24*3),IF(D25="有",AK21-AK21*0.04-D26*3,AK21))&gt;=0,IF(D23="有",IF(D25="有",AK21-AK21*0.12-D24*3-D26*3,AK21-AK21*0.08-D24*3),IF(D25="有",AK21-AK21*0.04-D26*3,AK21)),0)</f>
        <v>357584</v>
      </c>
      <c r="Q21" s="534">
        <f ca="1">AI21*(1-HLOOKUP(F21,G2:O7,6,0)-A26)</f>
        <v>147182.4</v>
      </c>
      <c r="R21" s="534">
        <f ca="1">IF(AND(L21&gt;0,L21&lt;7),0,IF(L21=11,N21-J21*5,N21+J21*(L21+1)))</f>
        <v>428444</v>
      </c>
      <c r="S21" s="617">
        <f ca="1">IF(OR(M21="",ISERROR(AE6),ISERROR(AF6)),"",INT((INT(AF6*($D$7-1)+AE6))*$T$7))</f>
        <v>617220</v>
      </c>
      <c r="T21" s="618">
        <f ca="1">IF(M21="逍遥子",IF(AND(ISNUMBER(U21),ISNUMBER(I21),ISNUMBER(AI21)),IF(U21-I21&lt;2,1,U21-I21),"")+S21*0.05,IF(AND(ISNUMBER(U21),ISNUMBER(I21),ISNUMBER(AI21)),IF(U21-I21&lt;2,1,U21-I21),""))</f>
        <v>145430.6</v>
      </c>
      <c r="U21" s="619">
        <f ca="1">IF(M21="独孤求败",(1+0.18-HLOOKUP(F21,G2:O7,6,0)-A26)*IF(OR(M21="",ISERROR(S21),ISERROR(AH6)),"",INT(S21*(AH6/100)+O21)),(1-HLOOKUP(F21,G2:O7,6,0)-A26)*IF(OR(M21="",ISERROR(S21),ISERROR(AH6)),"",INT(S21*(AH6/100)+O21)))</f>
        <v>189225.6</v>
      </c>
      <c r="V21" s="620" t="str">
        <f ca="1" t="shared" ref="V21:V25" si="15">IF(ISERROR(IF(AD21&lt;2,1,AD21)),"",IF(AD21&lt;2,1,AD21))</f>
        <v/>
      </c>
      <c r="W21" s="621" t="str">
        <f>IF(ISERROR(IF(F21=$V$9,1,IF(Z11="群",ABS(AB21-$AB$26)+1,""))),"",IF(F21=$V$9,1,IF(Z11="群",ABS(AB21-$AB$26)+1,"")))</f>
        <v/>
      </c>
      <c r="Y21" s="671">
        <v>6</v>
      </c>
      <c r="Z21" s="673">
        <v>10</v>
      </c>
      <c r="AA21" s="673" t="str">
        <f t="shared" si="5"/>
        <v/>
      </c>
      <c r="AB21" s="673">
        <v>6</v>
      </c>
      <c r="AC21" s="674" t="e">
        <f ca="1">CHOOSE(W21,(Z23*1+W4*W5*0.01)*Z26-P21,(Z23*Z29+W4*AA29*W5*0.01)*Z26-P21*AB29,(Z23*Z30+W4*AA30*W5*0.01)*Z26-P21*AB30,(Z23*Z31+W4*AA31*W5*0.01)*Z26-P21*AB31,(Z23*Z32+W4*AA32*W5*0.01)*Z26-P21*AB32,(Z23*Z33+W4*AA33*W5*0.01)*Z26-P21*AB33,(Z23*Z34+W4*AA34*W5*0.01)*Z26-P21*AB34,(Z23*Z35+W4*AA35*W5*0.01)*Z26-P21*AB35)</f>
        <v>#VALUE!</v>
      </c>
      <c r="AD21" s="674" t="e">
        <f ca="1">IF(V9="独孤求败",AC21*(1-HLOOKUP(F21,G2:O7,6,0)-A26+0.18),AC21*(1-HLOOKUP(F21,G2:O7,6,0)-A26))</f>
        <v>#VALUE!</v>
      </c>
      <c r="AE21" s="675">
        <f ca="1">IF(M21="逍遥子",IF(AND(ISNUMBER(H21),ISNUMBER(P21)),IF(H21-P21-S21*0.45&lt;2,1,H21-P21-S21*0.45),""),IF(AND(ISNUMBER(H21),ISNUMBER(P21)),IF(H21-P21&lt;2,1,H21-P21),""))</f>
        <v>1</v>
      </c>
      <c r="AF21" s="676">
        <f ca="1" t="shared" ref="AF21" si="16">IF(F21="独孤求败",IF(M21="令狐冲",AE21,AE21*1.18),IF(M21="令狐冲",AE21*0.82,AE21))</f>
        <v>1</v>
      </c>
      <c r="AG21" s="676">
        <f ca="1">IF(F21=V31,INT(W31*VLOOKUP(V31,F11:J32,3,0)+AF21),AF21)</f>
        <v>1</v>
      </c>
      <c r="AH21" s="724">
        <f ca="1">IF(F21=V31,INT(W31*INT(HLOOKUP(V31,G2:O6,5,0)*(1+C19/100))+AF21),AF21)</f>
        <v>1</v>
      </c>
      <c r="AI21" s="725">
        <f ca="1">IF(M21="逍遥子",IF(AND(ISNUMBER(O21),ISNUMBER(I21)),IF(O21-I21&lt;2,1,O21-I21),"")+S21*0.05,IF(AND(ISNUMBER(O21),ISNUMBER(I21)),IF(O21-I21&lt;2,1,O21-I21),""))</f>
        <v>153315</v>
      </c>
      <c r="AJ21" s="675">
        <f ca="1">IF($M$11="阿青",INT((IF(M21="阿飞",INT(1.04*IF(OR(M21="",ISERROR(AA6),ISERROR(AB6)),"",INT(INT((AB6*($D$7-1)+AA6))*$T$5))),IF(OR(M21="",ISERROR(AA6),ISERROR(AB6)),"",INT(INT((AB6*($D$7-1)+AA6))*$T$5))))*1.05+2*$T$3),INT((IF(M21="阿飞",INT(1.04*IF(OR(M21="",ISERROR(AA6),ISERROR(AB6)),"",INT(INT((AB6*($D$7-1)+AA6))*$T$5))),IF(OR(M21="",ISERROR(AA6),ISERROR(AB6)),"",INT(INT((AB6*($D$7-1)+AA6))*$T$5))))))</f>
        <v>197110</v>
      </c>
      <c r="AK21" s="724">
        <f ca="1">INT(IF(OR(M21="",ISERROR(AC6),ISERROR(AD6)),"",IF(VLOOKUP(M21,弟子基础属性!$C$1:$S$171,2,0)="金钟罩",INT(1.1*INT((INT(AD6*($D$7-1)+AC6))*$T$6)),IF(VLOOKUP(M21,弟子基础属性!$C$1:$S$171,2,0)="玉女心经",INT(1.07*INT((INT(AD6*($D$7-1)+AC6))*$T$6)),IF(VLOOKUP(M21,弟子基础属性!$C$1:$S$171,2,0)="先天罡气",INT(1.05*INT((INT(AD6*($D$7-1)+AC6))*$T$6)),INT((INT(AD6*($D$7-1)+AC6))*$T$6))))))</f>
        <v>357584</v>
      </c>
      <c r="AL21" s="727" t="str">
        <f ca="1" t="shared" si="12"/>
        <v/>
      </c>
      <c r="AM21" s="728"/>
      <c r="AN21" s="729">
        <f ca="1">AN20</f>
        <v>45946</v>
      </c>
      <c r="AO21" s="771">
        <f ca="1">IF(AL1="令狐冲",IF(OR(AO20=0,AO20=""),"",IF(AM5&lt;AL7,AO20-1,IF((AO20+(AL7-AM5)*0.82)&lt;=0,0,(AO20+(AL7-AM5)*0.82)))),IF(OR(AO20=0,AO20=""),"",IF(AM5&lt;AL7,AO20-1,IF((AO20+AL7-AM5)&lt;=0,0,(AO20+AL7-AM5)))))</f>
        <v>52572</v>
      </c>
      <c r="AP21" s="728" t="str">
        <f ca="1">IF(AL1="独孤求败",IF(OR(AP20=0,AP20=""),"",IF(AL5&lt;AN21,AP20-1,IF((AP20-(AL5-AN21)*(1+0.18-HLOOKUP(AM1,G2:O7,6,0)-A26))&gt;0,(AP20-(AL5-AN21)*(1+0.18-HLOOKUP(AM1,G2:O7,6,0)-A26)),0))),IF(OR(AP20=0,AP20=""),"",IF(AL5&lt;AN21,AP20-1,IF((AP20+(AN21-AL5))*(1-HLOOKUP(AM1,G2:O7,6,0)-A26)&gt;0,(AP20+(AN21-AL5))*(1-HLOOKUP(AM1,G2:O7,6,0)-A26),0))))</f>
        <v/>
      </c>
      <c r="AQ21" s="771">
        <v>-6</v>
      </c>
      <c r="AR21" s="772"/>
      <c r="AS21" s="773">
        <f ca="1">IF(ISNUMBER(AS17),(IF(AND(AL21=0,ISNUMBER(AO21)),11,IF(AND(VLOOKUP(1,AL16:AO21,4,0)=0,VLOOKUP(1,AL16:AP21,5,0)=0),(IF(AS16="先手",ABS(VLOOKUP(1,AL16:AQ21,6,0)),VLOOKUP(1,AL16:AQ21,6,0))),IF(VLOOKUP(1,AL16:AP21,5,0)=0,(VLOOKUP(1,AL16:AQ21,6,0)),ABS(VLOOKUP(1,AL16:AQ21,6,0)))))),"")</f>
        <v>-1</v>
      </c>
      <c r="AT21" s="459">
        <f ca="1">IF(AS21=11,6,ABS(AS21))</f>
        <v>1</v>
      </c>
      <c r="AU21" s="704">
        <f ca="1">AU16</f>
        <v>62603</v>
      </c>
      <c r="AV21" s="596">
        <f ca="1">IF(AND(ISNUMBER(AL5),ISNUMBER(AN21)),IF(AL5-AN21&lt;2,1,(AL5-AN21)*(1-HLOOKUP(AM1,G2:O7,6,0)-A26)),"")</f>
        <v>247749.12</v>
      </c>
      <c r="AW21" s="784">
        <f ca="1">SUM(OFFSET(AV16,0,0,ABS(AT21),1))</f>
        <v>253262.4</v>
      </c>
      <c r="AX21" s="708" t="s">
        <v>69</v>
      </c>
    </row>
    <row r="22" ht="14.25" customHeight="1" spans="1:50">
      <c r="A22" s="457"/>
      <c r="B22" s="404"/>
      <c r="C22" s="467" t="s">
        <v>77</v>
      </c>
      <c r="D22" s="468">
        <v>276</v>
      </c>
      <c r="E22" s="429"/>
      <c r="F22" s="454"/>
      <c r="G22" s="455"/>
      <c r="H22" s="456"/>
      <c r="I22" s="456"/>
      <c r="J22" s="542"/>
      <c r="K22" s="535"/>
      <c r="L22" s="529"/>
      <c r="M22" s="537"/>
      <c r="N22" s="538"/>
      <c r="O22" s="539"/>
      <c r="P22" s="456"/>
      <c r="Q22" s="534"/>
      <c r="R22" s="534"/>
      <c r="S22" s="617"/>
      <c r="T22" s="618"/>
      <c r="U22" s="619"/>
      <c r="V22" s="620"/>
      <c r="W22" s="621"/>
      <c r="Y22" s="671"/>
      <c r="Z22" s="673" t="s">
        <v>47</v>
      </c>
      <c r="AA22" s="673" t="str">
        <f t="shared" si="5"/>
        <v/>
      </c>
      <c r="AB22" s="673"/>
      <c r="AC22" s="674"/>
      <c r="AD22" s="674"/>
      <c r="AE22" s="675"/>
      <c r="AF22" s="676"/>
      <c r="AG22" s="676"/>
      <c r="AH22" s="724"/>
      <c r="AI22" s="725"/>
      <c r="AJ22" s="675"/>
      <c r="AK22" s="724"/>
      <c r="AL22" s="730"/>
      <c r="AM22" s="459"/>
      <c r="AN22" s="459"/>
      <c r="AO22" s="429"/>
      <c r="AP22" s="429"/>
      <c r="AQ22" s="429"/>
      <c r="AR22" s="429"/>
      <c r="AS22" s="429"/>
      <c r="AT22" s="459"/>
      <c r="AU22" s="459">
        <v>0</v>
      </c>
      <c r="AV22" s="459">
        <v>0</v>
      </c>
      <c r="AW22" s="459"/>
      <c r="AX22" s="708"/>
    </row>
    <row r="23" ht="14.25" customHeight="1" spans="1:50">
      <c r="A23" s="469" t="str">
        <f>ADDRESS(3,7)</f>
        <v>$G$3</v>
      </c>
      <c r="B23" s="404"/>
      <c r="C23" s="438" t="s">
        <v>78</v>
      </c>
      <c r="D23" s="465" t="s">
        <v>61</v>
      </c>
      <c r="E23" s="429"/>
      <c r="F23" s="454" t="s">
        <v>6</v>
      </c>
      <c r="G23" s="451">
        <f>IF(AND(ISNUMBER(CHOOSE(FIND("1",(F23=$G$2)*1&amp;(F23=$H$2)*1&amp;(F23=$I$2)*1&amp;(F23=$J$2)*1&amp;(F23=$K$2)*1&amp;(F23=$L$2)*1&amp;(F23=$M$2)*1&amp;(F23=$N$2)*1&amp;(F23=$O$2)*1),$G$3,$H$3,$I$3,$J$3,$K$3,$L$3,$M$3,$N$3,$O$3)),ISNUMBER($C$10)),INT(CHOOSE(FIND("1",(F23=$G$2)*1&amp;(F23=$H$2)*1&amp;(F23=$I$2)*1&amp;(F23=$J$2)*1&amp;(F23=$K$2)*1&amp;(F23=$L$2)*1&amp;(F23=$M$2)*1&amp;(F23=$N$2)*1&amp;(F23=$O$2)*1),$G$3,$H$3,$I$3,$J$3,$K$3,$L$3,$M$3,$N$3,$O$3)*(1+$C$10/100)),"")</f>
        <v>419820</v>
      </c>
      <c r="H23" s="452">
        <f>IF((OR($D$21="有")),(INT((IF(AND(ISNUMBER(CHOOSE(FIND("1",(F23=$G$2)*1&amp;(F23=$H$2)*1&amp;(F23=$I$2)*1&amp;(F23=$J$2)*1&amp;(F23=$K$2)*1&amp;(F23=$L$2)*1&amp;(F23=$M$2)*1&amp;(F23=$N$2)*1&amp;(F23=$O$2)*1),$G$4,$H$4,$I$4,$J$4,$K$4,$L$4,$M$4,$N$4,$O$4)),ISNUMBER($C$13)),INT(CHOOSE(FIND("1",(F23=$G$2)*1&amp;(F23=$H$2)*1&amp;(F23=$I$2)*1&amp;(F23=$J$2)*1&amp;(F23=$K$2)*1&amp;(F23=$L$2)*1&amp;(F23=$M$2)*1&amp;(F23=$N$2)*1&amp;(F23=$O$2)*1),$G$4,$H$4,$I$4,$J$4,$K$4,$L$4,$M$4,$N$4,$O$4)*(1+$C$13/100)),""))*1.05)+$D$22*2),(IF(AND(ISNUMBER(CHOOSE(FIND("1",(F23=$G$2)*1&amp;(F23=$H$2)*1&amp;(F23=$I$2)*1&amp;(F23=$J$2)*1&amp;(F23=$K$2)*1&amp;(F23=$L$2)*1&amp;(F23=$M$2)*1&amp;(F23=$N$2)*1&amp;(F23=$O$2)*1),$G$4,$H$4,$I$4,$J$4,$K$4,$L$4,$M$4,$N$4,$O$4)),ISNUMBER($C$13)),INT(CHOOSE(FIND("1",(F23=$G$2)*1&amp;(F23=$H$2)*1&amp;(F23=$I$2)*1&amp;(F23=$J$2)*1&amp;(F23=$K$2)*1&amp;(F23=$L$2)*1&amp;(F23=$M$2)*1&amp;(F23=$N$2)*1&amp;(F23=$O$2)*1),$G$4,$H$4,$I$4,$J$4,$K$4,$L$4,$M$4,$N$4,$O$4)*(1+$C$13/100)),"")))</f>
        <v>336126</v>
      </c>
      <c r="I23" s="452">
        <f ca="1">IF(OR(M11="王语嫣",M15="王语嫣"),HLOOKUP(F23,G2:O7,4,0)*(1+C16*0.01)*(1-0.08)-D7*3+A29*4,HLOOKUP(F23,G2:O7,4,0)*(1+C16*0.01)+A29*4)</f>
        <v>13267</v>
      </c>
      <c r="J23" s="534">
        <f ca="1">IF(T31="无",AF23,IF(T31="攻透",AG23,AH23))</f>
        <v>140742</v>
      </c>
      <c r="K23" s="535">
        <f ca="1">IF(AND(L23&gt;0,L23&lt;7),G23-Q23*(L23-1),IF(AND(L23&lt;0,L23&gt;-6),0,G23-Q23*5))</f>
        <v>0</v>
      </c>
      <c r="L23" s="540">
        <f ca="1">IF(OR(N23="",J23="",Q23="",G23=""),"",IF(OR(ROUNDUP(N23/J23,0)&lt;7,ROUNDUP(G23/Q23,0)&lt;6),IF(ROUNDUP(N23/J23,0)&lt;=ROUNDUP(G23/Q23,0),ROUNDUP(N23/J23,0),-ROUNDUP(G23/Q23,0)),11))</f>
        <v>-2</v>
      </c>
      <c r="M23" s="541" t="str">
        <f ca="1">IF(A17&gt;6,IF(ISERROR(INDIRECT("队伍表!"&amp;ADDRESS(8,$A$21))),"",INDIRECT("队伍表!"&amp;ADDRESS(8,$A$21))),"")</f>
        <v>郭靖</v>
      </c>
      <c r="N23" s="538">
        <f ca="1">IF(OR(M23="",ISERROR(Y7),ISERROR(Z7)),"",INT((INT(Z7*($D$7-1)+Y7))*$T$4))</f>
        <v>514170</v>
      </c>
      <c r="O23" s="539">
        <f ca="1">IF(OR($M$23="神捕冷血",$M$23="谢晓峰"),AJ23*1.1,AJ23)</f>
        <v>252799</v>
      </c>
      <c r="P23" s="456">
        <f ca="1">IF(IF(D23="有",IF(D25="有",AK23-AK23*0.12-D24*3-D26*3,AK23-AK23*0.08-D24*3),IF(D25="有",AK23-AK23*0.04-D26*3,AK23))&gt;=0,IF(D23="有",IF(D25="有",AK23-AK23*0.12-D24*3-D26*3,AK23-AK23*0.08-D24*3),IF(D25="有",AK23-AK23*0.04-D26*3,AK23)),0)</f>
        <v>195384</v>
      </c>
      <c r="Q23" s="534">
        <f ca="1">AI23*(1-HLOOKUP(F23,G2:O7,6,0)-A26)</f>
        <v>229950.72</v>
      </c>
      <c r="R23" s="534">
        <f ca="1">IF(AND(L23&gt;0,L23&lt;7),0,IF(L23=11,N23-J23*6,N23+J23*L23))</f>
        <v>232686</v>
      </c>
      <c r="S23" s="617">
        <f ca="1">IF(OR(M23="",ISERROR(AE7),ISERROR(AF7)),"",INT((INT(AF7*($D$7-1)+AE7))*$T$7))</f>
        <v>514350</v>
      </c>
      <c r="T23" s="618">
        <f ca="1">IF(M23="慕容龙城",IF(AND(ISNUMBER(U23),ISNUMBER(I23),ISNUMBER(AI23)),IF(U23-I23&lt;2,1,U23-I23),"")+S23*0.02,IF(AND(ISNUMBER(U23),ISNUMBER(I23),ISNUMBER(AI23)),IF(U23-I23&lt;2,1,U23-I23),""))</f>
        <v>352863.56</v>
      </c>
      <c r="U23" s="619">
        <f ca="1">IF(M23="独孤求败",(1+0.18-HLOOKUP(F23,G2:O7,6,0)-A26)*IF(OR(M23="",ISERROR(S23),ISERROR(AH7)),"",INT(S23*(AH7/100)+O23)),(1-HLOOKUP(F23,G2:O7,6,0)-A26)*IF(OR(M23="",ISERROR(S23),ISERROR(AH7)),"",INT(S23*(AH7/100)+O23)))</f>
        <v>366130.56</v>
      </c>
      <c r="V23" s="620" t="str">
        <f ca="1" t="shared" si="15"/>
        <v/>
      </c>
      <c r="W23" s="621" t="str">
        <f>IF(ISERROR(IF(F23=$V$9,1,IF(Z11="群",ABS(AB23-$AB$26)+1,""))),"",IF(F23=$V$9,1,IF(Z11="群",ABS(AB23-$AB$26)+1,"")))</f>
        <v/>
      </c>
      <c r="Y23" s="671">
        <v>7</v>
      </c>
      <c r="Z23" s="673" t="e">
        <f>VLOOKUP($V9,$F$11:$H$26,3,0)</f>
        <v>#N/A</v>
      </c>
      <c r="AA23" s="673" t="str">
        <f t="shared" si="5"/>
        <v/>
      </c>
      <c r="AB23" s="673">
        <v>7</v>
      </c>
      <c r="AC23" s="674" t="e">
        <f ca="1">CHOOSE(W23,(Z23*1+W4*W5*0.01)*Z26-P23,(Z23*Z29+W4*AA29*W5*0.01)*Z26-P23*AB29,(Z23*Z30+W4*AA30*W5*0.01)*Z26-P23*AB30,(Z23*Z31+W4*AA31*W5*0.01)*Z26-P23*AB31,(Z23*Z32+W4*AA32*W5*0.01)*Z26-P23*AB32,(Z23*Z33+W4*AA33*W5*0.01)*Z26-P23*AB33,(Z23*Z34+W4*AA34*W5*0.01)*Z26-P23*AB34,(Z23*Z35+W4*AA35*W5*0.01)*Z26-P23*AB35)</f>
        <v>#VALUE!</v>
      </c>
      <c r="AD23" s="674" t="e">
        <f ca="1">IF(V9="独孤求败",AC23*(1-HLOOKUP(F23,G2:O7,6,0)-A26+0.18),AC23*(1-HLOOKUP(F23,G2:O7,6,0)-A26))</f>
        <v>#VALUE!</v>
      </c>
      <c r="AE23" s="675">
        <f ca="1" t="shared" ref="AE23" si="17">IF(AND(ISNUMBER(H23),ISNUMBER(P23)),IF(H23-P23&lt;2,1,H23-P23),"")</f>
        <v>140742</v>
      </c>
      <c r="AF23" s="676">
        <f ca="1" t="shared" ref="AF23" si="18">IF(F23="独孤求败",IF(M23="令狐冲",AE23,AE23*1.18),IF(M23="令狐冲",AE23*0.82,AE23))</f>
        <v>140742</v>
      </c>
      <c r="AG23" s="676">
        <f ca="1">IF(F23=V31,INT(W31*VLOOKUP(V31,F11:J32,3,0)+AF23),AF23)</f>
        <v>140742</v>
      </c>
      <c r="AH23" s="724">
        <f ca="1">IF(F23=V31,INT(W31*INT(HLOOKUP(V31,G2:O6,5,0)*(1+C19/100))+AF23),AF23)</f>
        <v>140742</v>
      </c>
      <c r="AI23" s="725">
        <f ca="1">IF(M23="慕容龙城",IF(AND(ISNUMBER(O23),ISNUMBER(I23)),IF(O23-I23&lt;2,1,O23-I23),"")+0.02*S23,IF(AND(ISNUMBER(O23),ISNUMBER(I23)),IF(O23-I23&lt;2,1,O23-I23),""))</f>
        <v>239532</v>
      </c>
      <c r="AJ23" s="675">
        <f ca="1">IF($M$11="阿青",INT((IF(M23="阿飞",INT(1.04*IF(OR(M23="",ISERROR(AA7),ISERROR(AB7)),"",INT(INT((AB7*($D$7-1)+AA7))*$T$5))),IF(OR(M23="",ISERROR(AA7),ISERROR(AB7)),"",INT(INT((AB7*($D$7-1)+AA7))*$T$5))))*1.05+2*$T$3),INT((IF(M23="阿飞",INT(1.04*IF(OR(M23="",ISERROR(AA7),ISERROR(AB7)),"",INT(INT((AB7*($D$7-1)+AA7))*$T$5))),IF(OR(M23="",ISERROR(AA7),ISERROR(AB7)),"",INT(INT((AB7*($D$7-1)+AA7))*$T$5))))))</f>
        <v>252799</v>
      </c>
      <c r="AK23" s="724">
        <f ca="1">INT(IF(OR(M23="",ISERROR(AC7),ISERROR(AD7)),"",IF(VLOOKUP(M23,弟子基础属性!$C$1:$S$171,2,0)="金钟罩",INT(1.1*INT((INT(AD7*($D$7-1)+AC7))*$T$6)),IF(VLOOKUP(M23,弟子基础属性!$C$1:$S$171,2,0)="玉女心经",INT(1.07*INT((INT(AD7*($D$7-1)+AC7))*$T$6)),IF(VLOOKUP(M23,弟子基础属性!$C$1:$S$171,2,0)="先天罡气",INT(1.05*INT((INT(AD7*($D$7-1)+AC7))*$T$6)),INT((INT(AD7*($D$7-1)+AC7))*$T$6))))))</f>
        <v>195384</v>
      </c>
      <c r="AL23" s="733">
        <f ca="1">IF(COUNTIF(AO23:AP23,0)=0,0,1)</f>
        <v>1</v>
      </c>
      <c r="AM23" s="716">
        <f ca="1">IF(AL1="西门吹雪",AL5*1.15,IF(AL1="丁鹏",AL5*1.1,AL5))</f>
        <v>304018</v>
      </c>
      <c r="AN23" s="732">
        <f>IF(AM1="丁鹏",INT(AM5*1.1),IF(AM1="西门吹雪",INT(AM5*1.15),AM5))</f>
        <v>180796</v>
      </c>
      <c r="AO23" s="755">
        <f ca="1">IF(AM1="独孤求败",IF(AL1="令狐冲",IF(OR(AL3=0,AL3=""),"",IF(AN23&lt;AL7,AL3-1,IF((AL3+(AL7-AN23))&lt;=0,0,(AL3+(AL7-AN23))))),IF(OR(AL3=0,AL3=""),"",IF(AN23&lt;AL7,AL3-1,IF((AL3+(AL7-AN23)*1.18)&lt;=0,0,(AL3+(AL7-AN23)*1.18))))),IF(AL1="令狐冲",IF(OR(AL3=0,AL3=""),"",IF(AN23&lt;AL7,AL3-1,IF((AL3+(AL7-AN23)*0.82)&lt;=0,0,(AL3+(AL7-AN23)*0.82)))),IF(OR(AL3=0,AL3=""),"",IF(AN23&lt;AL7,AL3-1,IF((AL3+AL7-AN23)&lt;=0,0,(AL3+AL7-AN23))))))</f>
        <v>365587</v>
      </c>
      <c r="AP23" s="716">
        <f ca="1">IF(AL1="独孤求败",IF(OR(AM3=0,AM3=""),"",IF(AM23&lt;AM7,AM3-1,IF((AM3-(AM23-AM7)*(1+0.18-HLOOKUP(AM1,G2:O7,6,0)-A26))&gt;0,(AM3-(AM23-AM7)*(1+0.18-HLOOKUP(AM1,G2:O7,6,0)-A26)),0))),IF(OR(AM3=0,AM3=""),"",IF(AM23&lt;AM7,AM3-1,IF((AM3+(AM7-AM23))*(1-HLOOKUP(AM1,G2:O7,6,0)-A26)&gt;0,(AM3+(AM7-AM23))*(1-HLOOKUP(AM1,G2:O7,6,0)-A26),0))))</f>
        <v>0</v>
      </c>
      <c r="AQ23" s="755">
        <v>-1</v>
      </c>
      <c r="AR23" s="732"/>
      <c r="AS23" s="761" t="str">
        <f ca="1">IF(ISEVEN(VLOOKUP(AL1,M11:Y28,13,0)),"后手","先手")</f>
        <v>后手</v>
      </c>
      <c r="AT23" s="459"/>
      <c r="AU23" s="707">
        <f ca="1">IF(AND(ISNUMBER(AN23),ISNUMBER(AL7)),IF(AN23-AL7&lt;2,1,AN23-AL7),"")</f>
        <v>62603</v>
      </c>
      <c r="AV23" s="761">
        <f ca="1">IF(AND(ISNUMBER(AM23),ISNUMBER(AM7)),IF(AM23-AM7&lt;2,1,(AM23-AM7)*(1-HLOOKUP(AM1,G2:O7,6,0)-A26)),"")</f>
        <v>255099.84</v>
      </c>
      <c r="AW23" s="782" t="s">
        <v>57</v>
      </c>
      <c r="AX23" s="708"/>
    </row>
    <row r="24" ht="14.25" customHeight="1" spans="1:50">
      <c r="A24" s="469" t="str">
        <f>ADDRESS(3,A17+6)</f>
        <v>$N$3</v>
      </c>
      <c r="B24" s="404"/>
      <c r="C24" s="467" t="s">
        <v>77</v>
      </c>
      <c r="D24" s="468">
        <v>273</v>
      </c>
      <c r="E24" s="429"/>
      <c r="F24" s="454"/>
      <c r="G24" s="455"/>
      <c r="H24" s="456"/>
      <c r="I24" s="456"/>
      <c r="J24" s="534"/>
      <c r="K24" s="535"/>
      <c r="L24" s="529"/>
      <c r="M24" s="537"/>
      <c r="N24" s="538"/>
      <c r="O24" s="539"/>
      <c r="P24" s="456"/>
      <c r="Q24" s="534"/>
      <c r="R24" s="534"/>
      <c r="S24" s="617"/>
      <c r="T24" s="618"/>
      <c r="U24" s="619"/>
      <c r="V24" s="620"/>
      <c r="W24" s="621"/>
      <c r="Y24" s="671"/>
      <c r="Z24" s="673" t="s">
        <v>53</v>
      </c>
      <c r="AA24" s="673" t="str">
        <f t="shared" si="5"/>
        <v/>
      </c>
      <c r="AB24" s="673"/>
      <c r="AC24" s="674"/>
      <c r="AD24" s="674"/>
      <c r="AE24" s="675"/>
      <c r="AF24" s="676"/>
      <c r="AG24" s="676"/>
      <c r="AH24" s="724"/>
      <c r="AI24" s="725"/>
      <c r="AJ24" s="675"/>
      <c r="AK24" s="724"/>
      <c r="AL24" s="675" t="str">
        <f ca="1" t="shared" ref="AL24:AL28" si="19">IF(OR(AL23=1,AL23=""),"",IF(COUNTIF(AN24:AP24,0)=0,0,1))</f>
        <v/>
      </c>
      <c r="AM24" s="722"/>
      <c r="AN24" s="676"/>
      <c r="AO24" s="764">
        <f ca="1">IF(AM1="独孤求败",IF(AL1="令狐冲",IF(OR(AO23=0,AO23=""),"",IF(AM5&lt;AL7,AO23-1,IF((AO23+(AL7-AM5))&lt;=0,0,(AO23+(AL7-AM5))))),IF(OR(AO23=0,AO23=""),"",IF(AM5&lt;AL7,AO23-1,IF((AO23+(AL7-AM5)*1.18)&lt;=0,0,(AO23+(AL7-AM5)*1.18))))),IF(AL1="令狐冲",IF(OR(AO23=0,AO23=""),"",IF(AM5&lt;AL7,AO23-1,IF((AO23+(AL7-AM5)*0.82)&lt;=0,0,(AO23+(AL7-AM5)*0.82)))),IF(OR(AO23=0,AO23=""),"",IF(AM5&lt;AL7,AO23-1,IF((AO23+AL7-AM5)&lt;=0,0,(AO23+AL7-AM5))))))</f>
        <v>302984</v>
      </c>
      <c r="AP24" s="722" t="str">
        <f ca="1">IF(AL1="独孤求败",IF(OR(AP23=0,AP23=""),"",IF(AL5&lt;AM7,AP23-1,IF((AP23-(AL5-AM7)*(1+0.18-HLOOKUP(AM1,G2:O7,6,0)-A26))&gt;0,(AP23-(AL5-AM7)*(1+0.18-HLOOKUP(AM1,G2:O7,6,0)-A26)),0))),IF(OR(AP23=0,AP23=""),"",IF(AL5&lt;AM7,AP23-1,IF((AP23+(AM7-AL5))*(1-HLOOKUP(AM1,G2:O7,6,0)-A26)&gt;0,(AP23+(AM7-AL5))*(1-HLOOKUP(AM1,G2:O7,6,0)-A26),0))))</f>
        <v/>
      </c>
      <c r="AQ24" s="764">
        <v>-2</v>
      </c>
      <c r="AR24" s="765"/>
      <c r="AS24" s="766">
        <f ca="1">AL3</f>
        <v>428190</v>
      </c>
      <c r="AT24" s="459"/>
      <c r="AU24" s="770">
        <f ca="1">IF(AND(ISNUMBER(AM5),ISNUMBER(AL7)),IF(AM5-AL7&lt;2,1,AM5-AL7),"")</f>
        <v>62603</v>
      </c>
      <c r="AV24" s="586">
        <f ca="1">IF(AND(ISNUMBER(AL5),ISNUMBER(AM7)),IF(AL5-AM7&lt;2,1,(AL5-AM7)*(1-HLOOKUP(AM1,G2:O7,6,0)-A26)),"")</f>
        <v>255099.84</v>
      </c>
      <c r="AW24" s="783">
        <f ca="1">SUM(OFFSET(AU23,0,0,ABS(AT28),1))</f>
        <v>62603</v>
      </c>
      <c r="AX24" s="708" t="s">
        <v>67</v>
      </c>
    </row>
    <row r="25" ht="14.25" customHeight="1" spans="1:50">
      <c r="A25" s="457"/>
      <c r="B25" s="404"/>
      <c r="C25" s="438" t="s">
        <v>79</v>
      </c>
      <c r="D25" s="465" t="s">
        <v>61</v>
      </c>
      <c r="E25" s="421"/>
      <c r="F25" s="454" t="s">
        <v>10</v>
      </c>
      <c r="G25" s="470">
        <f>IF(AND(ISNUMBER(CHOOSE(FIND("1",(F25=$G$2)*1&amp;(F25=$H$2)*1&amp;(F25=$I$2)*1&amp;(F25=$J$2)*1&amp;(F25=$K$2)*1&amp;(F25=$L$2)*1&amp;(F25=$M$2)*1&amp;(F25=$N$2)*1&amp;(F25=$O$2)*1),$G$3,$H$3,$I$3,$J$3,$K$3,$L$3,$M$3,$N$3,$O$3)),ISNUMBER($C$10)),INT(CHOOSE(FIND("1",(F25=$G$2)*1&amp;(F25=$H$2)*1&amp;(F25=$I$2)*1&amp;(F25=$J$2)*1&amp;(F25=$K$2)*1&amp;(F25=$L$2)*1&amp;(F25=$M$2)*1&amp;(F25=$N$2)*1&amp;(F25=$O$2)*1),$G$3,$H$3,$I$3,$J$3,$K$3,$L$3,$M$3,$N$3,$O$3)*(1+$C$10/100)),"")</f>
        <v>142416</v>
      </c>
      <c r="H25" s="456">
        <f>IF((OR($D$21="有")),(INT((IF(AND(ISNUMBER(CHOOSE(FIND("1",(F25=$G$2)*1&amp;(F25=$H$2)*1&amp;(F25=$I$2)*1&amp;(F25=$J$2)*1&amp;(F25=$K$2)*1&amp;(F25=$L$2)*1&amp;(F25=$M$2)*1&amp;(F25=$N$2)*1&amp;(F25=$O$2)*1),$G$4,$H$4,$I$4,$J$4,$K$4,$L$4,$M$4,$N$4,$O$4)),ISNUMBER($C$13)),INT(CHOOSE(FIND("1",(F25=$G$2)*1&amp;(F25=$H$2)*1&amp;(F25=$I$2)*1&amp;(F25=$J$2)*1&amp;(F25=$K$2)*1&amp;(F25=$L$2)*1&amp;(F25=$M$2)*1&amp;(F25=$N$2)*1&amp;(F25=$O$2)*1),$G$4,$H$4,$I$4,$J$4,$K$4,$L$4,$M$4,$N$4,$O$4)*(1+$C$13/100)),""))*1.05)+$D$22*2),(IF(AND(ISNUMBER(CHOOSE(FIND("1",(F25=$G$2)*1&amp;(F25=$H$2)*1&amp;(F25=$I$2)*1&amp;(F25=$J$2)*1&amp;(F25=$K$2)*1&amp;(F25=$L$2)*1&amp;(F25=$M$2)*1&amp;(F25=$N$2)*1&amp;(F25=$O$2)*1),$G$4,$H$4,$I$4,$J$4,$K$4,$L$4,$M$4,$N$4,$O$4)),ISNUMBER($C$13)),INT(CHOOSE(FIND("1",(F25=$G$2)*1&amp;(F25=$H$2)*1&amp;(F25=$I$2)*1&amp;(F25=$J$2)*1&amp;(F25=$K$2)*1&amp;(F25=$L$2)*1&amp;(F25=$M$2)*1&amp;(F25=$N$2)*1&amp;(F25=$O$2)*1),$G$4,$H$4,$I$4,$J$4,$K$4,$L$4,$M$4,$N$4,$O$4)*(1+$C$13/100)),"")))</f>
        <v>148526</v>
      </c>
      <c r="I25" s="456">
        <f ca="1">IF(OR(M11="王语嫣",M15="王语嫣"),HLOOKUP(F25,G2:O7,4,0)*(1+C16*0.01)*(1-0.08)-D7*3+A29*4,HLOOKUP(F25,G2:O7,4,0)*(1+C16*0.01)+A29*4)</f>
        <v>11900</v>
      </c>
      <c r="J25" s="534">
        <f ca="1">IF(T31="无",AF25,IF(T31="攻透",AG25,AH25))</f>
        <v>35308</v>
      </c>
      <c r="K25" s="535">
        <f ca="1">IF(AND(L25&gt;0,L25&lt;7),G25-Q25*L25,IF(AND(L25&lt;0,L25&gt;-7),0,G25-Q25*6))</f>
        <v>0</v>
      </c>
      <c r="L25" s="536">
        <f ca="1">IF(OR(N25="",J25="",Q25="",G25=""),"",IF(OR(ROUNDUP(N25/J25,0)&lt;6,ROUNDUP(G25/Q25,0)&lt;7),IF(ROUNDUP(G25/Q25,0)&lt;=ROUNDUP(N25/J25,0),-ROUNDUP(G25/Q25,0),ROUNDUP(N25/J25,0)),11))</f>
        <v>-2</v>
      </c>
      <c r="M25" s="541" t="str">
        <f ca="1">IF(A17&gt;7,IF(ISERROR(INDIRECT("队伍表!"&amp;ADDRESS(9,$A$21))),"",IF(INDIRECT("队伍表!"&amp;ADDRESS(9,$A$21))="","",INDIRECT("队伍表!"&amp;ADDRESS(9,$A$21)))),"")</f>
        <v>石破天</v>
      </c>
      <c r="N25" s="538">
        <f ca="1">IF(OR(M25="",ISERROR(Y8),ISERROR(Z8)),"",INT((INT(Z8*($D$7-1)+Y8))*$T$4))</f>
        <v>471412</v>
      </c>
      <c r="O25" s="539">
        <f ca="1">IF(OR($M$25="神捕冷血",$M$25="谢晓峰"),AJ25*1.1,AJ25)</f>
        <v>90066</v>
      </c>
      <c r="P25" s="456">
        <f ca="1">IF(IF(D23="有",IF(D25="有",AK25-AK25*0.12-D24*3-D26*3,AK25-AK25*0.08-D24*3),IF(D25="有",AK25-AK25*0.04-D26*3,AK25))&gt;=0,IF(D23="有",IF(D25="有",AK25-AK25*0.12-D24*3-D26*3,AK25-AK25*0.08-D24*3),IF(D25="有",AK25-AK25*0.04-D26*3,AK25)),0)</f>
        <v>113218</v>
      </c>
      <c r="Q25" s="534">
        <f ca="1">AI25*(1-HLOOKUP(F25,G2:O7,6,0)-A26)</f>
        <v>75039.36</v>
      </c>
      <c r="R25" s="534">
        <f ca="1">IF(AND(L25&gt;0,L25&lt;7),0,IF(L25=11,N25-J25*5,N25+J25*(L25+1)))</f>
        <v>436104</v>
      </c>
      <c r="S25" s="617">
        <f ca="1">IF(OR(M25="",ISERROR(AE8),ISERROR(AF8)),"",INT((INT(AF8*($D$7-1)+AE8))*$T$7))</f>
        <v>874161</v>
      </c>
      <c r="T25" s="618">
        <f ca="1">IF(AND(ISNUMBER(U25),ISNUMBER(I25),ISNUMBER(AI25)),IF(U25-I25&lt;2,1,U25-I25),"")</f>
        <v>74563.36</v>
      </c>
      <c r="U25" s="619">
        <f ca="1">IF(M25="独孤求败",(1+0.18-HLOOKUP(F25,G2:O7,6,0)-A26)*IF(OR(M25="",ISERROR(S25),ISERROR(AH8)),"",INT(S25*(AH8/100)+O25)),(1-HLOOKUP(F25,G2:O7,6,0)-A26)*IF(OR(M25="",ISERROR(S25),ISERROR(AH8)),"",INT(S25*(AH8/100)+O25)))</f>
        <v>86463.36</v>
      </c>
      <c r="V25" s="620" t="str">
        <f ca="1" t="shared" si="15"/>
        <v/>
      </c>
      <c r="W25" s="621" t="str">
        <f>IF(ISERROR(IF(F25=$V$9,1,IF(Z11="群",ABS(AB25-$AB$26)+1,""))),"",IF(F25=$V$9,1,IF(Z11="群",ABS(AB25-$AB$26)+1,"")))</f>
        <v/>
      </c>
      <c r="Y25" s="671">
        <v>8</v>
      </c>
      <c r="Z25" s="673">
        <f>HLOOKUP(V9,$G$2:$N$6,5,0)</f>
        <v>3093</v>
      </c>
      <c r="AA25" s="673" t="str">
        <f t="shared" si="5"/>
        <v/>
      </c>
      <c r="AB25" s="673">
        <v>8</v>
      </c>
      <c r="AC25" s="674" t="e">
        <f ca="1">CHOOSE(W25,(Z23*1+W4*W5*0.01)*Z26-P25,(Z23*Z29+W4*AA29*W5*0.01)*Z26-P25*AB29,(Z23*Z30+W4*AA30*W5*0.01)*Z26-P25*AB30,(Z23*Z31+W4*AA31*W5*0.01)*Z26-P25*AB31,(Z23*Z32+W4*AA32*W5*0.01)*Z26-P25*AB32,(Z23*Z33+W4*AA33*W5*0.01)*Z26-P25*AB33,(Z23*Z34+W4*AA34*W5*0.01)*Z26-P25*AB34,(Z23*Z35+W4*AA35*W5*0.01)*Z26-P25*AB35)</f>
        <v>#VALUE!</v>
      </c>
      <c r="AD25" s="674" t="e">
        <f ca="1">IF(V9="独孤求败",AC25*(1-HLOOKUP(F25,G2:O7,6,0)-A26+0.18),AC25*(1-HLOOKUP(F25,G2:O7,6,0)-A26))</f>
        <v>#VALUE!</v>
      </c>
      <c r="AE25" s="675">
        <f ca="1">IF(AND(ISNUMBER(H25),ISNUMBER(P25)),IF(H25-P25&lt;2,1,H25-P25),"")</f>
        <v>35308</v>
      </c>
      <c r="AF25" s="676">
        <f ca="1" t="shared" ref="AF25" si="20">IF(F25="独孤求败",IF(M25="令狐冲",AE25,AE25*1.18),IF(M25="令狐冲",AE25*0.82,AE25))</f>
        <v>35308</v>
      </c>
      <c r="AG25" s="676">
        <f ca="1">IF(F25=V31,INT(W31*VLOOKUP(V31,F11:J32,3,0)+AF25),AF25)</f>
        <v>35308</v>
      </c>
      <c r="AH25" s="724">
        <f ca="1">IF(F25=V31,INT(W31*INT(HLOOKUP(V31,G2:O6,5,0)*(1+C19/100))+AF25),AF25)</f>
        <v>35308</v>
      </c>
      <c r="AI25" s="725">
        <f ca="1">IF(AND(ISNUMBER(O25),ISNUMBER(I25)),IF(O25-I25&lt;2,1,O25-I25),"")</f>
        <v>78166</v>
      </c>
      <c r="AJ25" s="734">
        <f ca="1">IF($M$11="阿青",INT((IF(M25="阿飞",INT(1.04*IF(OR(M25="",ISERROR(AA8),ISERROR(AB8)),"",INT(INT((AB8*($D$7-1)+AA8))*$T$5))),IF(OR(M25="",ISERROR(AA8),ISERROR(AB8)),"",INT(INT((AB8*($D$7-1)+AA8))*$T$5))))*1.05+2*$T$3),INT((IF(M25="阿飞",INT(1.04*IF(OR(M25="",ISERROR(AA8),ISERROR(AB8)),"",INT(INT((AB8*($D$7-1)+AA8))*$T$5))),IF(OR(M25="",ISERROR(AA8),ISERROR(AB8)),"",INT(INT((AB8*($D$7-1)+AA8))*$T$5))))))</f>
        <v>90066</v>
      </c>
      <c r="AK25" s="735">
        <f ca="1">INT(IF(OR(M25="",ISERROR(AC8),ISERROR(AD8)),"",IF(VLOOKUP(M25,弟子基础属性!$C$1:$S$171,2,0)="金钟罩",INT(1.1*INT((INT(AD8*($D$7-1)+AC8))*$T$6)),IF(VLOOKUP(M25,弟子基础属性!$C$1:$S$171,2,0)="玉女心经",INT(1.07*INT((INT(AD8*($D$7-1)+AC8))*$T$6)),IF(VLOOKUP(M25,弟子基础属性!$C$1:$S$171,2,0)="先天罡气",INT(1.05*INT((INT(AD8*($D$7-1)+AC8))*$T$6)),INT((INT(AD8*($D$7-1)+AC8))*$T$6))))))</f>
        <v>113218</v>
      </c>
      <c r="AL25" s="675" t="str">
        <f ca="1" t="shared" si="19"/>
        <v/>
      </c>
      <c r="AM25" s="722"/>
      <c r="AN25" s="676"/>
      <c r="AO25" s="764">
        <f ca="1">IF(AM1="独孤求败",IF(AL1="令狐冲",IF(OR(AO24=0,AO24=""),"",IF(AM5&lt;AL7,AO24-1,IF((AO24+(AL7-AM5))&lt;=0,0,(AO24+(AL7-AM5))))),IF(OR(AO24=0,AO24=""),"",IF(AM5&lt;AL7,AO24-1,IF((AO24+(AL7-AM5)*1.18)&lt;=0,0,(AO24+(AL7-AM5)*1.18))))),IF(AL1="令狐冲",IF(OR(AO24=0,AO24=""),"",IF(AM5&lt;AL7,AO24-1,IF((AO24+(AL7-AM5)*0.82)&lt;=0,0,(AO24+(AL7-AM5)*0.82)))),IF(OR(AO24=0,AO24=""),"",IF(AM5&lt;AL7,AO24-1,IF((AO24+AL7-AM5)&lt;=0,0,(AO24+AL7-AM5))))))</f>
        <v>240381</v>
      </c>
      <c r="AP25" s="722" t="str">
        <f ca="1">IF(AL1="独孤求败",IF(OR(AP24=0,AP24=""),"",IF(AL5&lt;AM7,AP24-1,IF((AP24-(AL5-AM7)*(1+0.18-HLOOKUP(AM1,G2:O7,6,0)-A26))&gt;0,(AP24-(AL5-AM7)*(1+0.18-HLOOKUP(AM1,G2:O7,6,0)-A26)),0))),IF(OR(AP24=0,AP24=""),"",IF(AL5&lt;AM7,AP24-1,IF((AP24+(AM7-AL5))*(1-HLOOKUP(AM1,G2:O7,6,0)-A26)&gt;0,(AP24+(AM7-AL5))*(1-HLOOKUP(AM1,G2:O7,6,0)-A26),0))))</f>
        <v/>
      </c>
      <c r="AQ25" s="768">
        <v>-3</v>
      </c>
      <c r="AR25" s="707" t="str">
        <f ca="1">IF(AS23="先手",AP27,AP28)</f>
        <v/>
      </c>
      <c r="AS25" s="761">
        <f ca="1">IF(AS23="先手",AO28,AO27)</f>
        <v>115175</v>
      </c>
      <c r="AT25" s="769" t="s">
        <v>68</v>
      </c>
      <c r="AU25" s="770">
        <f ca="1">AU24</f>
        <v>62603</v>
      </c>
      <c r="AV25" s="586">
        <f ca="1">AV24</f>
        <v>255099.84</v>
      </c>
      <c r="AW25" s="783">
        <f ca="1">IF(AS23="先手",SUM(OFFSET(AU22,0,0,ABS(AT28)+1,1)),SUM(OFFSET(AU22,0,0,ABS(AT28),1)))</f>
        <v>0</v>
      </c>
      <c r="AX25" s="708" t="s">
        <v>69</v>
      </c>
    </row>
    <row r="26" ht="14.25" customHeight="1" spans="1:50">
      <c r="A26" s="457">
        <f>IF(D28="有",0.04,0)</f>
        <v>0.04</v>
      </c>
      <c r="B26" s="404"/>
      <c r="C26" s="467" t="s">
        <v>77</v>
      </c>
      <c r="D26" s="468">
        <v>272</v>
      </c>
      <c r="E26" s="421"/>
      <c r="F26" s="471"/>
      <c r="G26" s="472"/>
      <c r="H26" s="473"/>
      <c r="I26" s="473"/>
      <c r="J26" s="543"/>
      <c r="K26" s="544"/>
      <c r="L26" s="545"/>
      <c r="M26" s="546"/>
      <c r="N26" s="547"/>
      <c r="O26" s="548"/>
      <c r="P26" s="473"/>
      <c r="Q26" s="543"/>
      <c r="R26" s="543"/>
      <c r="S26" s="622"/>
      <c r="T26" s="623"/>
      <c r="U26" s="624"/>
      <c r="V26" s="625"/>
      <c r="W26" s="626"/>
      <c r="Y26" s="677"/>
      <c r="Z26" s="673">
        <f>W7</f>
        <v>1.3</v>
      </c>
      <c r="AA26" s="673"/>
      <c r="AB26" s="673" t="e">
        <f>VLOOKUP(1,血战计算器!$AA$11:$AB$25,2,0)</f>
        <v>#N/A</v>
      </c>
      <c r="AC26" s="674"/>
      <c r="AD26" s="678"/>
      <c r="AE26" s="675"/>
      <c r="AF26" s="676"/>
      <c r="AG26" s="676"/>
      <c r="AH26" s="724"/>
      <c r="AI26" s="725"/>
      <c r="AJ26" s="736"/>
      <c r="AK26" s="737"/>
      <c r="AL26" s="675" t="str">
        <f ca="1" t="shared" si="19"/>
        <v/>
      </c>
      <c r="AM26" s="722"/>
      <c r="AN26" s="676"/>
      <c r="AO26" s="764">
        <f ca="1">IF(AM1="独孤求败",IF(AL1="令狐冲",IF(OR(AO25=0,AO25=""),"",IF(AM5&lt;AL7,AO25-1,IF((AO25+(AL7-AM5))&lt;=0,0,(AO25+(AL7-AM5))))),IF(OR(AO25=0,AO25=""),"",IF(AM5&lt;AL7,AO25-1,IF((AO25+(AL7-AM5)*1.18)&lt;=0,0,(AO25+(AL7-AM5)*1.18))))),IF(AL1="令狐冲",IF(OR(AO25=0,AO25=""),"",IF(AM5&lt;AL7,AO25-1,IF((AO25+(AL7-AM5)*0.82)&lt;=0,0,(AO25+(AL7-AM5)*0.82)))),IF(OR(AO25=0,AO25=""),"",IF(AM5&lt;AL7,AO25-1,IF((AO25+AL7-AM5)&lt;=0,0,(AO25+AL7-AM5))))))</f>
        <v>177778</v>
      </c>
      <c r="AP26" s="722" t="str">
        <f ca="1">IF(AL1="独孤求败",IF(OR(AP25=0,AP25=""),"",IF(AL5&lt;AM7,AP25-1,IF((AP25-(AL5-AM7)*(1+0.18-HLOOKUP(AM1,G2:O7,6,0)-A26))&gt;0,(AP25-(AL5-AM7)*(1+0.18-HLOOKUP(AM1,G2:O7,6,0)-A26)),0))),IF(OR(AP25=0,AP25=""),"",IF(AL5&lt;AM7,AP25-1,IF((AP25+(AM7-AL5))*(1-HLOOKUP(AM1,G2:O7,6,0)-A26)&gt;0,(AP25+(AM7-AL5))*(1-HLOOKUP(AM1,G2:O7,6,0)-A26),0))))</f>
        <v/>
      </c>
      <c r="AQ26" s="768">
        <v>-4</v>
      </c>
      <c r="AR26" s="770">
        <v>0</v>
      </c>
      <c r="AS26" s="586">
        <f ca="1">IF(AS23="后手",IF(AS28=-1,AL3,OFFSET(AO23,ABS(AS28)-2,)),OFFSET(AO23,ABS(AS28)-1,))</f>
        <v>428190</v>
      </c>
      <c r="AT26" s="769" t="s">
        <v>71</v>
      </c>
      <c r="AU26" s="770">
        <f ca="1">AU24</f>
        <v>62603</v>
      </c>
      <c r="AV26" s="586">
        <f ca="1">AV24</f>
        <v>255099.84</v>
      </c>
      <c r="AW26" s="783" t="s">
        <v>72</v>
      </c>
      <c r="AX26" s="708"/>
    </row>
    <row r="27" ht="7.5" customHeight="1" spans="1:50">
      <c r="A27" s="453"/>
      <c r="B27" s="404"/>
      <c r="Y27" s="679">
        <v>10</v>
      </c>
      <c r="Z27" s="680"/>
      <c r="AA27" s="681"/>
      <c r="AB27" s="681"/>
      <c r="AC27" s="681"/>
      <c r="AD27" s="682"/>
      <c r="AE27" s="675">
        <f ca="1">IF(AND(ISNUMBER(H28),ISNUMBER(P28)),IF(H28-P28&lt;2,1,H28-P28),"")</f>
        <v>110137</v>
      </c>
      <c r="AF27" s="676">
        <f ca="1">IF(F28="独孤求败",IF(M28="令狐冲",AE27,AE27*1.18),IF(M28="令狐冲",AE27*0.82,AE27))</f>
        <v>110137</v>
      </c>
      <c r="AG27" s="676">
        <f ca="1">IF(F28=V31,INT(W31*VLOOKUP(V31,F11:J32,3,0)+AF27),AF27)</f>
        <v>110137</v>
      </c>
      <c r="AH27" s="724">
        <f ca="1">IF(F28=V31,INT(W31*INT(HLOOKUP(V31,G2:O6,5,0)*(1+C19/100))+AF27),AF27)</f>
        <v>110137</v>
      </c>
      <c r="AI27" s="725">
        <f ca="1">IF(AND(ISNUMBER(O28),ISNUMBER(I28)),IF(O28-I28&lt;2,1,O28-I28),"")</f>
        <v>289196</v>
      </c>
      <c r="AJ27" s="734">
        <f ca="1">IF($M$11="阿青",INT((IF(M28="阿飞",INT(1.04*IF(OR(M28="",ISERROR(AA9),ISERROR(AB9)),"",INT(INT((AB9*($D$7-1)+AA9))*$T$5))),IF(OR(M28="",ISERROR(AA9),ISERROR(AB9)),"",INT(INT((AB9*($D$7-1)+AA9))*$T$5))))*1.05+2*$T$3),INT((IF(M28="阿飞",INT(1.04*IF(OR(M28="",ISERROR(AA9),ISERROR(AB9)),"",INT(INT((AB9*($D$7-1)+AA9))*$T$5))),IF(OR(M28="",ISERROR(AA9),ISERROR(AB9)),"",INT(INT((AB9*($D$7-1)+AA9))*$T$5))))))</f>
        <v>304228</v>
      </c>
      <c r="AK27" s="735">
        <f ca="1">INT(IF(OR(M28="",ISERROR(AC9),ISERROR(AD9)),"",IF(VLOOKUP(M28,弟子基础属性!$C$1:$S$171,2,0)="金钟罩",INT(1.1*INT((INT(AD9*($D$7-1)+AC9))*$T$6)),IF(VLOOKUP(M28,弟子基础属性!$C$1:$S$171,2,0)="玉女心经",INT(1.07*INT((INT(AD9*($D$7-1)+AC9))*$T$6)),IF(VLOOKUP(M28,弟子基础属性!$C$1:$S$171,2,0)="先天罡气",INT(1.05*INT((INT(AD9*($D$7-1)+AC9))*$T$6)),INT((INT(AD9*($D$7-1)+AC9))*$T$6))))))</f>
        <v>205668</v>
      </c>
      <c r="AL27" s="675" t="str">
        <f ca="1" t="shared" si="19"/>
        <v/>
      </c>
      <c r="AM27" s="722"/>
      <c r="AN27" s="676"/>
      <c r="AO27" s="764">
        <f ca="1">IF(AM1="独孤求败",IF(AL1="令狐冲",IF(OR(AO26=0,AO26=""),"",IF(AM5&lt;AL7,AO26-1,IF((AO26+(AL7-AM5))&lt;=0,0,(AO26+(AL7-AM5))))),IF(OR(AO26=0,AO26=""),"",IF(AM5&lt;AL7,AO26-1,IF((AO26+(AL7-AM5)*1.18)&lt;=0,0,(AO26+(AL7-AM5)*1.18))))),IF(AL1="令狐冲",IF(OR(AO26=0,AO26=""),"",IF(AM5&lt;AL7,AO26-1,IF((AO26+(AL7-AM5)*0.82)&lt;=0,0,(AO26+(AL7-AM5)*0.82)))),IF(OR(AO26=0,AO26=""),"",IF(AM5&lt;AL7,AO26-1,IF((AO26+AL7-AM5)&lt;=0,0,(AO26+AL7-AM5))))))</f>
        <v>115175</v>
      </c>
      <c r="AP27" s="722" t="str">
        <f ca="1">IF(AL1="独孤求败",IF(OR(AP26=0,AP26=""),"",IF(AL5&lt;AM7,AP26-1,IF((AP26-(AL5-AM7)*(1+0.18-HLOOKUP(AM1,G2:O7,6,0)-A26))&gt;0,(AP26-(AL5-AM7)*(1+0.18-HLOOKUP(AM1,G2:O7,6,0)-A26)),0))),IF(OR(AP26=0,AP26=""),"",IF(AL5&lt;AM7,AP26-1,IF((AP26+(AM7-AL5))*(1-HLOOKUP(AM1,G2:O7,6,0)-A26)&gt;0,(AP26+(AM7-AL5))*(1-HLOOKUP(AM1,G2:O7,6,0)-A26),0))))</f>
        <v/>
      </c>
      <c r="AQ27" s="768">
        <v>-5</v>
      </c>
      <c r="AR27" s="704" t="str">
        <f ca="1">IF(AS23="先手",IF(AS28=1,AM3,OFFSET(AP23,AS28-2,)),OFFSET(AP23,AS28-1,))</f>
        <v/>
      </c>
      <c r="AS27" s="596">
        <v>0</v>
      </c>
      <c r="AT27" s="769" t="s">
        <v>73</v>
      </c>
      <c r="AU27" s="770">
        <f ca="1">AU24</f>
        <v>62603</v>
      </c>
      <c r="AV27" s="586">
        <f ca="1">AV24</f>
        <v>255099.84</v>
      </c>
      <c r="AW27" s="783">
        <f ca="1">IF(AS23="先手",SUM(OFFSET(AV22,0,0,ABS(AT28),1)),SUM(OFFSET(AV22,0,0,ABS(AT28)+1,1)))</f>
        <v>255099.84</v>
      </c>
      <c r="AX27" s="708" t="s">
        <v>67</v>
      </c>
    </row>
    <row r="28" ht="14.25" customHeight="1" spans="1:50">
      <c r="A28" s="453"/>
      <c r="C28" s="438" t="s">
        <v>80</v>
      </c>
      <c r="D28" s="465" t="s">
        <v>81</v>
      </c>
      <c r="F28" s="474" t="s">
        <v>8</v>
      </c>
      <c r="G28" s="475">
        <f>IF(AND(ISNUMBER(CHOOSE(FIND("1",(F28=$G$2)*1&amp;(F28=$H$2)*1&amp;(F28=$I$2)*1&amp;(F28=$J$2)*1&amp;(F28=$K$2)*1&amp;(F28=$L$2)*1&amp;(F28=$M$2)*1&amp;(F28=$N$2)*1&amp;(F28=$O$2)*1),$G$3,$H$3,$I$3,$J$3,$K$3,$L$3,$M$3,$N$3,$O$3)),ISNUMBER($C$10)),INT(CHOOSE(FIND("1",(F28=$G$2)*1&amp;(F28=$H$2)*1&amp;(F28=$I$2)*1&amp;(F28=$J$2)*1&amp;(F28=$K$2)*1&amp;(F28=$L$2)*1&amp;(F28=$M$2)*1&amp;(F28=$N$2)*1&amp;(F28=$O$2)*1),$G$3,$H$3,$I$3,$J$3,$K$3,$L$3,$M$3,$N$3,$O$3)*(1+$C$10/100)),"")</f>
        <v>153129</v>
      </c>
      <c r="H28" s="476">
        <f>IF((OR($D$21="有")),(INT((IF(AND(ISNUMBER(CHOOSE(FIND("1",(F28=$G$2)*1&amp;(F28=$H$2)*1&amp;(F28=$I$2)*1&amp;(F28=$J$2)*1&amp;(F28=$K$2)*1&amp;(F28=$L$2)*1&amp;(F28=$M$2)*1&amp;(F28=$N$2)*1&amp;(F28=$O$2)*1),$G$4,$H$4,$I$4,$J$4,$K$4,$L$4,$M$4,$N$4,$O$4)),ISNUMBER($C$13)),INT(CHOOSE(FIND("1",(F28=$G$2)*1&amp;(F28=$H$2)*1&amp;(F28=$I$2)*1&amp;(F28=$J$2)*1&amp;(F28=$K$2)*1&amp;(F28=$L$2)*1&amp;(F28=$M$2)*1&amp;(F28=$N$2)*1&amp;(F28=$O$2)*1),$G$4,$H$4,$I$4,$J$4,$K$4,$L$4,$M$4,$N$4,$O$4)*(1+$C$13/100)),""))*1.05)+$D$22*2),(IF(AND(ISNUMBER(CHOOSE(FIND("1",(F28=$G$2)*1&amp;(F28=$H$2)*1&amp;(F28=$I$2)*1&amp;(F28=$J$2)*1&amp;(F28=$K$2)*1&amp;(F28=$L$2)*1&amp;(F28=$M$2)*1&amp;(F28=$N$2)*1&amp;(F28=$O$2)*1),$G$4,$H$4,$I$4,$J$4,$K$4,$L$4,$M$4,$N$4,$O$4)),ISNUMBER($C$13)),INT(CHOOSE(FIND("1",(F28=$G$2)*1&amp;(F28=$H$2)*1&amp;(F28=$I$2)*1&amp;(F28=$J$2)*1&amp;(F28=$K$2)*1&amp;(F28=$L$2)*1&amp;(F28=$M$2)*1&amp;(F28=$N$2)*1&amp;(F28=$O$2)*1),$G$4,$H$4,$I$4,$J$4,$K$4,$L$4,$M$4,$N$4,$O$4)*(1+$C$13/100)),"")))</f>
        <v>315805</v>
      </c>
      <c r="I28" s="476">
        <f ca="1">IF(OR(M11="王语嫣",M15="王语嫣"),HLOOKUP(F28,G2:O7,4,0)*(1+C16*0.01)*(1-0.08)-D7*3+A29*4,HLOOKUP(F28,G2:O7,4,0)*(1+C16*0.01)+A29*4)</f>
        <v>15032</v>
      </c>
      <c r="J28" s="549">
        <f ca="1">IF(T31="无",AF27,IF(T31="攻透",AG27,AH27))</f>
        <v>110137</v>
      </c>
      <c r="K28" s="550">
        <f ca="1">IF(AND(L28&gt;0,L28&lt;7),G28-Q27*L28,IF(AND(L28&lt;0,L28&gt;-7),0,G28-Q27*6))</f>
        <v>0</v>
      </c>
      <c r="L28" s="551">
        <f ca="1">IF(OR(N28="",J28="",Q28="",G28=""),"",IF(OR(ROUNDUP(N28/J28,0)&lt;6,ROUNDUP(G28/Q28,0)&lt;7),IF(ROUNDUP(G28/Q28,0)&lt;=ROUNDUP(N28/J28,0),-ROUNDUP(G28/Q28,0),ROUNDUP(N28/J28,0)),11))</f>
        <v>-1</v>
      </c>
      <c r="M28" s="552" t="str">
        <f ca="1">IF(A17&gt;7,IF(ISERROR(INDIRECT("队伍表!"&amp;ADDRESS(10,$A$21))),"",INDIRECT("队伍表!"&amp;ADDRESS(10,$A$21))),"")</f>
        <v>杨过</v>
      </c>
      <c r="N28" s="553">
        <f ca="1">IF(OR(M28="",ISERROR(Y9),ISERROR(Z9)),"",INT((INT(Z9*($D$7-1)+Y9))*$T$4))</f>
        <v>428445</v>
      </c>
      <c r="O28" s="554">
        <f ca="1">IF(OR($M$25="神捕冷血",$M$25="谢晓峰"),AJ27*1.1,AJ27)</f>
        <v>304228</v>
      </c>
      <c r="P28" s="476">
        <f ca="1">IF(IF(D25="有",IF(D31="有",AK27-AK27*0.12-D26*3-#REF!*3,AK27-AK27*0.08-D26*3),IF(D31="有",AK27-AK27*0.04-#REF!*3,AK27))&gt;=0,IF(D25="有",IF(D31="有",AK27-AK27*0.12-D26*3-#REF!*3,AK27-AK27*0.08-D26*3),IF(D31="有",AK27-AK27*0.04-#REF!*3,AK27)),0)</f>
        <v>205668</v>
      </c>
      <c r="Q28" s="549">
        <f ca="1">AI27*(1-HLOOKUP(F28,G2:O7,6,0)-A26)</f>
        <v>277628.16</v>
      </c>
      <c r="R28" s="549">
        <f ca="1">IF(AND(L28&gt;0,L28&lt;7),0,IF(L28=11,N28-J28*5,N28+J28*(L28+1)))</f>
        <v>428445</v>
      </c>
      <c r="S28" s="627">
        <f ca="1">IF(OR(M28="",ISERROR(AE9),ISERROR(AF9)),"",INT((INT(AF9*($D$7-1)+AE9))*$T$7))</f>
        <v>617220</v>
      </c>
      <c r="T28" s="628">
        <f ca="1">IF(AND(ISNUMBER(U28),ISNUMBER(I28),ISNUMBER(AI27)),IF(U28-I28&lt;2,1,U28-I28),"")</f>
        <v>597806</v>
      </c>
      <c r="U28" s="629">
        <f ca="1">IF(M28="独孤求败",(1+0.18-HLOOKUP(F28,G2:O7,6,0))*IF(OR(M28="",ISERROR(S28),ISERROR(AH9)),"",INT(S28*(AH9/100)+O28)),(1-HLOOKUP(F28,G2:O7,6,0))*IF(OR(M28="",ISERROR(S28),ISERROR(AH9)),"",INT(S28*(AH9/100)+O28)))</f>
        <v>612838</v>
      </c>
      <c r="V28" s="630" t="s">
        <v>82</v>
      </c>
      <c r="W28" s="631"/>
      <c r="Y28" s="683">
        <v>1</v>
      </c>
      <c r="Z28" s="684">
        <v>1</v>
      </c>
      <c r="AA28" s="684">
        <v>1</v>
      </c>
      <c r="AB28" s="685">
        <v>1</v>
      </c>
      <c r="AE28" s="686"/>
      <c r="AF28" s="687"/>
      <c r="AG28" s="687"/>
      <c r="AH28" s="738"/>
      <c r="AI28" s="739"/>
      <c r="AJ28" s="679"/>
      <c r="AK28" s="740"/>
      <c r="AL28" s="686" t="str">
        <f ca="1" t="shared" si="19"/>
        <v/>
      </c>
      <c r="AM28" s="741"/>
      <c r="AN28" s="687"/>
      <c r="AO28" s="776">
        <f ca="1">IF(AM1="独孤求败",IF(AL1="令狐冲",IF(OR(AO27=0,AO27=""),"",IF(AM5&lt;AL7,AO27-1,IF((AO27+(AL7-AM5))&lt;=0,0,(AO27+(AL7-AM5))))),IF(OR(AO27=0,AO27=""),"",IF(AM5&lt;AL7,AO27-1,IF((AO27+(AL7-AM5)*1.18)&lt;=0,0,(AO27+(AL7-AM5)*1.18))))),IF(AL1="令狐冲",IF(OR(AO27=0,AO27=""),"",IF(AM5&lt;AL7,AO27-1,IF((AO27+(AL7-AM5)*0.82)&lt;=0,0,(AO27+(AL7-AM5)*0.82)))),IF(OR(AO27=0,AO27=""),"",IF(AM5&lt;AL7,AO27-1,IF((AO27+AL7-AM5)&lt;=0,0,(AO27+AL7-AM5))))))</f>
        <v>52572</v>
      </c>
      <c r="AP28" s="741" t="str">
        <f ca="1">IF(AL1="独孤求败",IF(OR(AP27=0,AP27=""),"",IF(AL5&lt;AM7,AP27-1,IF((AP27-(AL5-AM7)*(1+0.18-HLOOKUP(AM1,G2:O7,6,0)-A26))&gt;0,(AP27-(AL5-AM7)*(1+0.18-HLOOKUP(AM1,G2:O7,6,0)-A26)),0))),IF(OR(AP27=0,AP27=""),"",IF(AL5&lt;AM7,AP27-1,IF((AP27+(AM7-AL5))*(1-HLOOKUP(AM1,G2:O7,6,0)-A26)&gt;0,(AP27+(AM7-AL5))*(1-HLOOKUP(AM1,G2:O7,6,0)-A26),0))))</f>
        <v/>
      </c>
      <c r="AQ28" s="776">
        <v>-6</v>
      </c>
      <c r="AR28" s="777"/>
      <c r="AS28" s="778">
        <f ca="1">IF(ISNUMBER(AS24),(IF(AND(AL28=0,ISNUMBER(AO28)),11,IF(AND(VLOOKUP(1,AL23:AQ28,4,0)=0,VLOOKUP(1,AL23:AQ28,5,0)=0),(IF(AS23="先手",ABS(VLOOKUP(1,AL23:AQ28,6,0)),VLOOKUP(1,AL23:AQ28,6,0))),IF(VLOOKUP(1,AL23:AQ28,5,0)=0,(VLOOKUP(1,AL23:AQ28,6,0)),ABS(VLOOKUP(1,AL23:AQ28,6,0)))))),"")</f>
        <v>-1</v>
      </c>
      <c r="AT28" s="662">
        <f ca="1">IF(AS28=11,6,ABS(AS28))</f>
        <v>1</v>
      </c>
      <c r="AU28" s="779">
        <f ca="1">AU24</f>
        <v>62603</v>
      </c>
      <c r="AV28" s="780">
        <f ca="1">AV24</f>
        <v>255099.84</v>
      </c>
      <c r="AW28" s="785">
        <f ca="1">SUM(OFFSET(AV23,0,0,ABS(AT28),1))</f>
        <v>255099.84</v>
      </c>
      <c r="AX28" s="786" t="s">
        <v>69</v>
      </c>
    </row>
    <row r="29" ht="14.25" customHeight="1" spans="1:28">
      <c r="A29" s="453">
        <f>IF(D28="有",D29,0)</f>
        <v>101</v>
      </c>
      <c r="C29" s="467" t="s">
        <v>77</v>
      </c>
      <c r="D29" s="468">
        <v>101</v>
      </c>
      <c r="F29" s="477"/>
      <c r="G29" s="478"/>
      <c r="H29" s="479"/>
      <c r="I29" s="479"/>
      <c r="J29" s="555"/>
      <c r="K29" s="556"/>
      <c r="L29" s="545"/>
      <c r="M29" s="557"/>
      <c r="N29" s="558"/>
      <c r="O29" s="559"/>
      <c r="P29" s="479"/>
      <c r="Q29" s="555"/>
      <c r="R29" s="555"/>
      <c r="S29" s="632"/>
      <c r="T29" s="633"/>
      <c r="U29" s="634"/>
      <c r="V29" s="635"/>
      <c r="W29" s="636"/>
      <c r="Y29" s="688">
        <v>2</v>
      </c>
      <c r="Z29" s="673">
        <v>0.648</v>
      </c>
      <c r="AA29" s="673">
        <v>0.648</v>
      </c>
      <c r="AB29" s="689">
        <v>0.9</v>
      </c>
    </row>
    <row r="30" ht="15" customHeight="1" spans="1:28">
      <c r="A30" s="480"/>
      <c r="B30" s="481"/>
      <c r="E30" s="482"/>
      <c r="F30" s="483" t="s">
        <v>83</v>
      </c>
      <c r="G30" s="484" t="s">
        <v>84</v>
      </c>
      <c r="H30" s="485">
        <v>8</v>
      </c>
      <c r="I30" s="560" t="s">
        <v>46</v>
      </c>
      <c r="J30" s="560" t="s">
        <v>49</v>
      </c>
      <c r="K30" s="561" t="s">
        <v>42</v>
      </c>
      <c r="L30" s="562" t="s">
        <v>50</v>
      </c>
      <c r="M30" s="563" t="s">
        <v>51</v>
      </c>
      <c r="N30" s="564" t="s">
        <v>46</v>
      </c>
      <c r="O30" s="564" t="s">
        <v>49</v>
      </c>
      <c r="P30" s="561" t="s">
        <v>52</v>
      </c>
      <c r="Q30" s="561" t="s">
        <v>54</v>
      </c>
      <c r="R30" s="637" t="s">
        <v>85</v>
      </c>
      <c r="T30" s="638" t="s">
        <v>86</v>
      </c>
      <c r="V30" s="639" t="s">
        <v>45</v>
      </c>
      <c r="W30" s="640" t="s">
        <v>87</v>
      </c>
      <c r="Y30" s="688">
        <v>3</v>
      </c>
      <c r="Z30" s="673">
        <v>0.512</v>
      </c>
      <c r="AA30" s="673">
        <v>0.512</v>
      </c>
      <c r="AB30" s="689">
        <v>0.8</v>
      </c>
    </row>
    <row r="31" customHeight="1" spans="1:28">
      <c r="A31" s="480"/>
      <c r="B31" s="481"/>
      <c r="C31" s="486" t="s">
        <v>88</v>
      </c>
      <c r="D31" s="487"/>
      <c r="E31" s="482"/>
      <c r="F31" s="488"/>
      <c r="G31" s="489"/>
      <c r="H31" s="490" t="s">
        <v>7</v>
      </c>
      <c r="I31" s="565">
        <f>IF(ISERROR(AM3),"",AM3)</f>
        <v>191359</v>
      </c>
      <c r="J31" s="566">
        <f ca="1">IF(ISERROR(AO4),"",AO4)</f>
        <v>153573</v>
      </c>
      <c r="K31" s="566">
        <f ca="1">IF(ISERROR(AR4),"",AR4)</f>
        <v>0</v>
      </c>
      <c r="L31" s="536">
        <f ca="1">AP4</f>
        <v>-3</v>
      </c>
      <c r="M31" s="567" t="str">
        <f ca="1">VLOOKUP(H31,F11:M28,8,0)</f>
        <v>天山童姥</v>
      </c>
      <c r="N31" s="565">
        <f ca="1">IF(ISERROR(AL3),"",AL3)</f>
        <v>428190</v>
      </c>
      <c r="O31" s="566">
        <f ca="1">IF(ISERROR(AQ4),"",AQ4)</f>
        <v>765299.52</v>
      </c>
      <c r="P31" s="566">
        <f ca="1">IF(ISERROR(AS4),"",AS4)</f>
        <v>274617</v>
      </c>
      <c r="Q31" s="566">
        <f ca="1">VLOOKUP(M31,M11:U33,8,0)</f>
        <v>792205.08</v>
      </c>
      <c r="R31" s="641"/>
      <c r="T31" s="642" t="s">
        <v>61</v>
      </c>
      <c r="V31" s="643" t="s">
        <v>9</v>
      </c>
      <c r="W31" s="644">
        <v>0.03</v>
      </c>
      <c r="Y31" s="688">
        <v>4</v>
      </c>
      <c r="Z31" s="673">
        <v>0.392</v>
      </c>
      <c r="AA31" s="673">
        <v>0.392</v>
      </c>
      <c r="AB31" s="689">
        <v>0.7</v>
      </c>
    </row>
    <row r="32" ht="14.25" customHeight="1" spans="1:28">
      <c r="A32" s="491"/>
      <c r="B32" s="481"/>
      <c r="C32" s="492">
        <v>573084</v>
      </c>
      <c r="D32" s="493">
        <f ca="1">IF(ROUNDUP((C32/T4-AJ3)/AJ4,)+1&lt;1,"",ROUNDUP((C32/T4-AJ3)/AJ4,)+1)</f>
        <v>31816</v>
      </c>
      <c r="E32" s="482"/>
      <c r="F32" s="494"/>
      <c r="G32" s="495"/>
      <c r="H32" s="496"/>
      <c r="I32" s="558"/>
      <c r="J32" s="555"/>
      <c r="K32" s="555"/>
      <c r="L32" s="545"/>
      <c r="M32" s="557"/>
      <c r="N32" s="558"/>
      <c r="O32" s="555"/>
      <c r="P32" s="555"/>
      <c r="Q32" s="555"/>
      <c r="R32" s="645"/>
      <c r="T32" s="646"/>
      <c r="V32" s="647"/>
      <c r="W32" s="648"/>
      <c r="Y32" s="688">
        <v>5</v>
      </c>
      <c r="Z32" s="673">
        <v>0.288</v>
      </c>
      <c r="AA32" s="673">
        <v>0.36</v>
      </c>
      <c r="AB32" s="689">
        <v>0.6</v>
      </c>
    </row>
    <row r="33" customHeight="1" spans="19:28">
      <c r="S33" s="402"/>
      <c r="Y33" s="688">
        <v>6</v>
      </c>
      <c r="Z33" s="673">
        <v>0.2</v>
      </c>
      <c r="AA33" s="673">
        <v>0.25</v>
      </c>
      <c r="AB33" s="689">
        <v>0.5</v>
      </c>
    </row>
    <row r="34" ht="12.75" customHeight="1" spans="25:28">
      <c r="Y34" s="688">
        <v>7</v>
      </c>
      <c r="Z34" s="673">
        <v>0.128</v>
      </c>
      <c r="AA34" s="673">
        <v>0.16</v>
      </c>
      <c r="AB34" s="689">
        <v>0.4</v>
      </c>
    </row>
    <row r="35" ht="12" customHeight="1" spans="2:28">
      <c r="B35" s="404"/>
      <c r="D35" s="459"/>
      <c r="I35" s="402"/>
      <c r="J35" s="402"/>
      <c r="K35" s="402"/>
      <c r="Y35" s="690">
        <v>8</v>
      </c>
      <c r="Z35" s="691">
        <v>0.072</v>
      </c>
      <c r="AA35" s="691">
        <v>0.09</v>
      </c>
      <c r="AB35" s="692">
        <v>0.3</v>
      </c>
    </row>
    <row r="36" ht="15" customHeight="1" spans="2:28">
      <c r="B36" s="404"/>
      <c r="D36" s="459"/>
      <c r="I36" s="402"/>
      <c r="J36" s="402"/>
      <c r="K36" s="402"/>
      <c r="L36" s="402"/>
      <c r="M36" s="402"/>
      <c r="N36" s="402"/>
      <c r="O36" s="402"/>
      <c r="P36" s="402"/>
      <c r="Q36" s="402"/>
      <c r="R36" s="402"/>
      <c r="S36" s="402"/>
      <c r="T36" s="402"/>
      <c r="Y36" s="600"/>
      <c r="Z36" s="600"/>
      <c r="AA36" s="600"/>
      <c r="AB36" s="600"/>
    </row>
    <row r="37" ht="6.75" customHeight="1" spans="2:28">
      <c r="B37" s="404"/>
      <c r="D37" s="459"/>
      <c r="G37" s="402"/>
      <c r="H37" s="402"/>
      <c r="I37" s="402"/>
      <c r="J37" s="402"/>
      <c r="K37" s="402"/>
      <c r="L37" s="402"/>
      <c r="M37" s="402"/>
      <c r="N37" s="402"/>
      <c r="O37" s="402"/>
      <c r="P37" s="402"/>
      <c r="Q37" s="402"/>
      <c r="R37" s="402"/>
      <c r="S37" s="402"/>
      <c r="T37" s="402"/>
      <c r="Y37" s="600"/>
      <c r="Z37" s="600"/>
      <c r="AA37" s="600"/>
      <c r="AB37" s="600"/>
    </row>
    <row r="38" ht="16.5" customHeight="1" spans="2:28">
      <c r="B38" s="404"/>
      <c r="D38" s="459"/>
      <c r="G38" s="402"/>
      <c r="H38" s="402"/>
      <c r="I38" s="402"/>
      <c r="J38" s="402"/>
      <c r="K38" s="402"/>
      <c r="L38" s="402"/>
      <c r="M38" s="402"/>
      <c r="N38" s="402"/>
      <c r="O38" s="402"/>
      <c r="P38" s="402"/>
      <c r="Q38" s="402"/>
      <c r="R38" s="402"/>
      <c r="S38" s="402"/>
      <c r="T38" s="402"/>
      <c r="Y38" s="600"/>
      <c r="Z38" s="600"/>
      <c r="AA38" s="600"/>
      <c r="AB38" s="600"/>
    </row>
    <row r="39" customHeight="1" spans="2:18">
      <c r="B39" s="497"/>
      <c r="C39" s="498" t="s">
        <v>89</v>
      </c>
      <c r="D39" s="499"/>
      <c r="E39" s="499"/>
      <c r="F39" s="499"/>
      <c r="G39" s="499"/>
      <c r="H39" s="499"/>
      <c r="I39" s="499"/>
      <c r="J39" s="499"/>
      <c r="K39" s="499"/>
      <c r="L39" s="499"/>
      <c r="M39" s="499"/>
      <c r="N39" s="499"/>
      <c r="O39" s="499"/>
      <c r="P39" s="499"/>
      <c r="Q39" s="499"/>
      <c r="R39" s="501"/>
    </row>
    <row r="40" customHeight="1" spans="2:18">
      <c r="B40" s="500"/>
      <c r="C40" s="499"/>
      <c r="D40" s="499"/>
      <c r="E40" s="499"/>
      <c r="F40" s="499"/>
      <c r="G40" s="501"/>
      <c r="H40" s="501"/>
      <c r="I40" s="501"/>
      <c r="J40" s="501"/>
      <c r="K40" s="501"/>
      <c r="L40" s="459"/>
      <c r="M40" s="459"/>
      <c r="N40" s="501"/>
      <c r="O40" s="501"/>
      <c r="P40" s="501"/>
      <c r="Q40" s="501"/>
      <c r="R40" s="501"/>
    </row>
    <row r="41" spans="2:22">
      <c r="B41" s="502"/>
      <c r="C41" s="502" t="s">
        <v>90</v>
      </c>
      <c r="D41" s="499"/>
      <c r="E41" s="499"/>
      <c r="F41" s="499"/>
      <c r="G41" s="499"/>
      <c r="H41" s="499"/>
      <c r="I41" s="499"/>
      <c r="J41" s="499"/>
      <c r="K41" s="499"/>
      <c r="L41" s="499"/>
      <c r="M41" s="499"/>
      <c r="N41" s="499"/>
      <c r="O41" s="499"/>
      <c r="P41" s="499"/>
      <c r="Q41" s="499"/>
      <c r="R41" s="499"/>
      <c r="S41" s="499"/>
      <c r="T41" s="649"/>
      <c r="U41" s="408"/>
      <c r="V41" s="408"/>
    </row>
    <row r="42" spans="2:18">
      <c r="B42" s="503" t="s">
        <v>91</v>
      </c>
      <c r="C42" s="503"/>
      <c r="D42" s="503"/>
      <c r="E42" s="503"/>
      <c r="F42" s="503"/>
      <c r="G42" s="503"/>
      <c r="H42" s="503"/>
      <c r="I42" s="503"/>
      <c r="J42" s="503"/>
      <c r="K42" s="503"/>
      <c r="L42" s="503"/>
      <c r="M42" s="503"/>
      <c r="N42" s="503"/>
      <c r="O42" s="503"/>
      <c r="P42" s="503"/>
      <c r="Q42" s="503"/>
      <c r="R42" s="503"/>
    </row>
    <row r="43" spans="2:18">
      <c r="B43" s="503" t="s">
        <v>92</v>
      </c>
      <c r="C43" s="503"/>
      <c r="D43" s="503"/>
      <c r="E43" s="503"/>
      <c r="F43" s="503"/>
      <c r="G43" s="503"/>
      <c r="H43" s="503"/>
      <c r="I43" s="503"/>
      <c r="J43" s="503"/>
      <c r="K43" s="503"/>
      <c r="L43" s="503"/>
      <c r="M43" s="503"/>
      <c r="N43" s="503"/>
      <c r="O43" s="503"/>
      <c r="P43" s="503"/>
      <c r="Q43" s="503"/>
      <c r="R43" s="503"/>
    </row>
    <row r="44" spans="2:18">
      <c r="B44" s="504" t="s">
        <v>93</v>
      </c>
      <c r="C44" s="504"/>
      <c r="D44" s="504"/>
      <c r="E44" s="504"/>
      <c r="F44" s="504"/>
      <c r="G44" s="504"/>
      <c r="H44" s="504"/>
      <c r="I44" s="504"/>
      <c r="J44" s="504"/>
      <c r="K44" s="504"/>
      <c r="L44" s="504"/>
      <c r="M44" s="504"/>
      <c r="N44" s="504"/>
      <c r="O44" s="504"/>
      <c r="P44" s="504"/>
      <c r="Q44" s="504"/>
      <c r="R44" s="504"/>
    </row>
    <row r="45" spans="2:18">
      <c r="B45" s="504"/>
      <c r="C45" s="504" t="s">
        <v>94</v>
      </c>
      <c r="D45" s="504"/>
      <c r="E45" s="504"/>
      <c r="F45" s="504"/>
      <c r="G45" s="504"/>
      <c r="H45" s="504"/>
      <c r="I45" s="504"/>
      <c r="J45" s="504"/>
      <c r="K45" s="504"/>
      <c r="L45" s="504"/>
      <c r="M45" s="504"/>
      <c r="N45" s="504"/>
      <c r="O45" s="504"/>
      <c r="P45" s="504"/>
      <c r="Q45" s="504"/>
      <c r="R45" s="504"/>
    </row>
    <row r="46" spans="2:18">
      <c r="B46" s="504"/>
      <c r="C46" s="504" t="s">
        <v>95</v>
      </c>
      <c r="D46" s="504"/>
      <c r="E46" s="504"/>
      <c r="F46" s="504"/>
      <c r="G46" s="504"/>
      <c r="H46" s="504"/>
      <c r="I46" s="504"/>
      <c r="J46" s="504"/>
      <c r="K46" s="504"/>
      <c r="L46" s="504"/>
      <c r="M46" s="504"/>
      <c r="N46" s="504"/>
      <c r="O46" s="504"/>
      <c r="P46" s="504"/>
      <c r="Q46" s="504"/>
      <c r="R46" s="504"/>
    </row>
    <row r="47" spans="12:15">
      <c r="L47" s="568"/>
      <c r="M47" s="568"/>
      <c r="N47" s="569"/>
      <c r="O47" s="569"/>
    </row>
    <row r="48" spans="2:18">
      <c r="B48" s="498"/>
      <c r="C48" s="498" t="s">
        <v>96</v>
      </c>
      <c r="D48" s="498"/>
      <c r="E48" s="498"/>
      <c r="F48" s="498"/>
      <c r="G48" s="498"/>
      <c r="H48" s="498"/>
      <c r="I48" s="498"/>
      <c r="J48" s="498"/>
      <c r="K48" s="498"/>
      <c r="L48" s="498"/>
      <c r="M48" s="498"/>
      <c r="N48" s="498"/>
      <c r="O48" s="498"/>
      <c r="P48" s="498"/>
      <c r="Q48" s="498"/>
      <c r="R48" s="501"/>
    </row>
    <row r="49" spans="12:15">
      <c r="L49" s="568"/>
      <c r="M49" s="568"/>
      <c r="N49" s="569"/>
      <c r="O49" s="569"/>
    </row>
    <row r="50" ht="15" customHeight="1" spans="2:16">
      <c r="B50" s="504" t="s">
        <v>97</v>
      </c>
      <c r="C50" s="504"/>
      <c r="D50" s="504"/>
      <c r="E50" s="504"/>
      <c r="F50" s="504"/>
      <c r="G50" s="504"/>
      <c r="H50" s="504"/>
      <c r="I50" s="504"/>
      <c r="J50" s="504"/>
      <c r="K50" s="504"/>
      <c r="L50" s="504"/>
      <c r="M50" s="504"/>
      <c r="N50" s="504"/>
      <c r="O50" s="504"/>
      <c r="P50" s="504"/>
    </row>
    <row r="51" ht="15" customHeight="1" spans="2:20">
      <c r="B51" s="504"/>
      <c r="C51" s="504" t="s">
        <v>98</v>
      </c>
      <c r="D51" s="504"/>
      <c r="E51" s="504"/>
      <c r="F51" s="504"/>
      <c r="G51" s="504"/>
      <c r="H51" s="504"/>
      <c r="I51" s="504"/>
      <c r="J51" s="504"/>
      <c r="K51" s="504"/>
      <c r="L51" s="504"/>
      <c r="M51" s="504"/>
      <c r="N51" s="504"/>
      <c r="O51" s="504"/>
      <c r="P51" s="504"/>
      <c r="Q51" s="504"/>
      <c r="R51" s="504"/>
      <c r="S51" s="504"/>
      <c r="T51" s="504"/>
    </row>
    <row r="52" ht="15" customHeight="1" spans="2:40">
      <c r="B52" s="504"/>
      <c r="C52" s="504" t="s">
        <v>99</v>
      </c>
      <c r="D52" s="504"/>
      <c r="E52" s="504"/>
      <c r="F52" s="504"/>
      <c r="G52" s="504"/>
      <c r="H52" s="504"/>
      <c r="I52" s="504"/>
      <c r="J52" s="504"/>
      <c r="K52" s="504"/>
      <c r="L52" s="504"/>
      <c r="M52" s="504"/>
      <c r="N52" s="504"/>
      <c r="O52" s="504"/>
      <c r="P52" s="504"/>
      <c r="Q52" s="504"/>
      <c r="R52" s="504"/>
      <c r="S52" s="504"/>
      <c r="T52" s="504"/>
      <c r="U52" s="504"/>
      <c r="V52" s="504"/>
      <c r="AE52" s="693"/>
      <c r="AF52" s="694"/>
      <c r="AG52" s="402"/>
      <c r="AH52" s="693"/>
      <c r="AI52" s="694"/>
      <c r="AK52" s="694"/>
      <c r="AL52" s="693"/>
      <c r="AM52" s="402"/>
      <c r="AN52" s="402"/>
    </row>
    <row r="53" ht="15" customHeight="1" spans="2:40">
      <c r="B53" s="504"/>
      <c r="C53" s="504" t="s">
        <v>100</v>
      </c>
      <c r="D53" s="504"/>
      <c r="E53" s="504"/>
      <c r="F53" s="504"/>
      <c r="G53" s="504"/>
      <c r="H53" s="504"/>
      <c r="I53" s="504"/>
      <c r="J53" s="504"/>
      <c r="K53" s="504"/>
      <c r="L53" s="504"/>
      <c r="M53" s="504"/>
      <c r="N53" s="504"/>
      <c r="O53" s="504"/>
      <c r="P53" s="504"/>
      <c r="Q53" s="504"/>
      <c r="R53" s="504"/>
      <c r="S53" s="504"/>
      <c r="T53" s="504"/>
      <c r="U53" s="504"/>
      <c r="V53" s="504"/>
      <c r="AE53" s="693"/>
      <c r="AF53" s="694"/>
      <c r="AG53" s="402"/>
      <c r="AH53" s="693"/>
      <c r="AI53" s="694"/>
      <c r="AK53" s="694"/>
      <c r="AL53" s="693"/>
      <c r="AM53" s="402"/>
      <c r="AN53" s="402"/>
    </row>
    <row r="54" ht="15" customHeight="1" spans="2:40">
      <c r="B54" s="504"/>
      <c r="C54" s="504" t="s">
        <v>101</v>
      </c>
      <c r="D54" s="504"/>
      <c r="E54" s="504"/>
      <c r="F54" s="504"/>
      <c r="G54" s="504"/>
      <c r="H54" s="504"/>
      <c r="I54" s="504"/>
      <c r="J54" s="504"/>
      <c r="K54" s="504"/>
      <c r="L54" s="504"/>
      <c r="M54" s="504"/>
      <c r="N54" s="504"/>
      <c r="O54" s="504"/>
      <c r="P54" s="504"/>
      <c r="Q54" s="504"/>
      <c r="R54" s="504"/>
      <c r="S54" s="504"/>
      <c r="T54" s="504"/>
      <c r="U54" s="504"/>
      <c r="V54" s="504"/>
      <c r="AE54" s="693"/>
      <c r="AF54" s="694"/>
      <c r="AG54" s="402"/>
      <c r="AH54" s="693"/>
      <c r="AI54" s="694"/>
      <c r="AK54" s="694"/>
      <c r="AL54" s="693"/>
      <c r="AM54" s="402"/>
      <c r="AN54" s="402"/>
    </row>
    <row r="55" ht="15" customHeight="1" spans="2:40">
      <c r="B55" s="504"/>
      <c r="C55" s="504" t="s">
        <v>102</v>
      </c>
      <c r="D55" s="504"/>
      <c r="E55" s="504"/>
      <c r="F55" s="504"/>
      <c r="G55" s="504"/>
      <c r="H55" s="504"/>
      <c r="I55" s="504"/>
      <c r="J55" s="504"/>
      <c r="K55" s="504"/>
      <c r="L55" s="504"/>
      <c r="M55" s="504"/>
      <c r="N55" s="504"/>
      <c r="O55" s="504"/>
      <c r="P55" s="504"/>
      <c r="Q55" s="504"/>
      <c r="R55" s="504"/>
      <c r="S55" s="504"/>
      <c r="T55" s="504"/>
      <c r="U55" s="504"/>
      <c r="V55" s="504"/>
      <c r="AE55" s="693"/>
      <c r="AF55" s="694"/>
      <c r="AG55" s="402"/>
      <c r="AH55" s="693"/>
      <c r="AI55" s="694"/>
      <c r="AK55" s="694"/>
      <c r="AL55" s="693"/>
      <c r="AM55" s="402"/>
      <c r="AN55" s="402"/>
    </row>
    <row r="56" ht="15" customHeight="1" spans="2:40">
      <c r="B56" s="504"/>
      <c r="C56" s="505" t="s">
        <v>103</v>
      </c>
      <c r="D56" s="505"/>
      <c r="E56" s="505"/>
      <c r="F56" s="505"/>
      <c r="G56" s="505"/>
      <c r="H56" s="505"/>
      <c r="I56" s="505"/>
      <c r="J56" s="505"/>
      <c r="K56" s="505"/>
      <c r="L56" s="505"/>
      <c r="M56" s="505"/>
      <c r="N56" s="505"/>
      <c r="O56" s="505"/>
      <c r="P56" s="505"/>
      <c r="Q56" s="504"/>
      <c r="R56" s="504"/>
      <c r="S56" s="504"/>
      <c r="T56" s="504"/>
      <c r="U56" s="504"/>
      <c r="V56" s="504"/>
      <c r="AE56" s="693"/>
      <c r="AF56" s="694"/>
      <c r="AG56" s="402"/>
      <c r="AH56" s="693"/>
      <c r="AI56" s="694"/>
      <c r="AK56" s="694"/>
      <c r="AL56" s="693"/>
      <c r="AM56" s="402"/>
      <c r="AN56" s="402"/>
    </row>
    <row r="57" spans="3:40">
      <c r="C57" s="401" t="s">
        <v>104</v>
      </c>
      <c r="D57" s="401"/>
      <c r="E57" s="401"/>
      <c r="F57" s="401"/>
      <c r="G57" s="401"/>
      <c r="H57" s="401"/>
      <c r="I57" s="401"/>
      <c r="J57" s="401"/>
      <c r="K57" s="401"/>
      <c r="L57" s="401"/>
      <c r="M57" s="401"/>
      <c r="N57" s="401"/>
      <c r="O57" s="401"/>
      <c r="P57" s="401"/>
      <c r="Q57" s="401"/>
      <c r="R57" s="401"/>
      <c r="AE57" s="693"/>
      <c r="AF57" s="694"/>
      <c r="AG57" s="402"/>
      <c r="AH57" s="693"/>
      <c r="AI57" s="694"/>
      <c r="AK57" s="694"/>
      <c r="AL57" s="693"/>
      <c r="AM57" s="402"/>
      <c r="AN57" s="402"/>
    </row>
    <row r="58" spans="2:18">
      <c r="B58" s="506"/>
      <c r="C58" s="506" t="s">
        <v>105</v>
      </c>
      <c r="D58" s="506"/>
      <c r="E58" s="506"/>
      <c r="F58" s="506"/>
      <c r="G58" s="506"/>
      <c r="H58" s="506"/>
      <c r="I58" s="506"/>
      <c r="J58" s="506"/>
      <c r="K58" s="506"/>
      <c r="L58" s="506"/>
      <c r="M58" s="506"/>
      <c r="N58" s="506"/>
      <c r="O58" s="506"/>
      <c r="P58" s="506"/>
      <c r="Q58" s="506"/>
      <c r="R58" s="506"/>
    </row>
    <row r="59" spans="2:15">
      <c r="B59" s="506"/>
      <c r="C59" s="506"/>
      <c r="D59" s="506"/>
      <c r="E59" s="506"/>
      <c r="F59" s="506"/>
      <c r="G59" s="507"/>
      <c r="H59" s="507"/>
      <c r="I59" s="507"/>
      <c r="J59" s="507"/>
      <c r="K59" s="507"/>
      <c r="L59" s="570"/>
      <c r="M59" s="570"/>
      <c r="N59" s="507"/>
      <c r="O59" s="507"/>
    </row>
    <row r="60" spans="3:20">
      <c r="C60" s="504" t="s">
        <v>106</v>
      </c>
      <c r="D60" s="504"/>
      <c r="E60" s="504"/>
      <c r="F60" s="504"/>
      <c r="G60" s="504"/>
      <c r="H60" s="504"/>
      <c r="I60" s="504"/>
      <c r="J60" s="504"/>
      <c r="K60" s="504"/>
      <c r="L60" s="504"/>
      <c r="M60" s="504"/>
      <c r="N60" s="504"/>
      <c r="O60" s="504"/>
      <c r="P60" s="504"/>
      <c r="Q60" s="504"/>
      <c r="R60" s="504"/>
      <c r="S60" s="504"/>
      <c r="T60" s="504"/>
    </row>
    <row r="61" spans="3:20">
      <c r="C61" s="504" t="s">
        <v>107</v>
      </c>
      <c r="D61" s="504"/>
      <c r="E61" s="504"/>
      <c r="F61" s="504"/>
      <c r="G61" s="504"/>
      <c r="H61" s="504"/>
      <c r="I61" s="504"/>
      <c r="J61" s="504"/>
      <c r="K61" s="504"/>
      <c r="L61" s="504"/>
      <c r="M61" s="504"/>
      <c r="N61" s="504"/>
      <c r="O61" s="504"/>
      <c r="P61" s="504"/>
      <c r="Q61" s="504"/>
      <c r="R61" s="504"/>
      <c r="S61" s="650"/>
      <c r="T61" s="650"/>
    </row>
    <row r="62" spans="3:20">
      <c r="C62" s="504" t="s">
        <v>108</v>
      </c>
      <c r="D62" s="504"/>
      <c r="E62" s="504"/>
      <c r="F62" s="504"/>
      <c r="G62" s="504"/>
      <c r="H62" s="504"/>
      <c r="I62" s="504"/>
      <c r="J62" s="504"/>
      <c r="K62" s="504"/>
      <c r="L62" s="504"/>
      <c r="M62" s="504"/>
      <c r="N62" s="504"/>
      <c r="O62" s="504"/>
      <c r="P62" s="504"/>
      <c r="Q62" s="504"/>
      <c r="R62" s="504"/>
      <c r="S62" s="650"/>
      <c r="T62" s="650"/>
    </row>
    <row r="64" spans="14:20">
      <c r="N64" s="571" t="s">
        <v>109</v>
      </c>
      <c r="O64" s="571"/>
      <c r="P64" s="571"/>
      <c r="Q64" s="571"/>
      <c r="R64" s="571"/>
      <c r="S64" s="571"/>
      <c r="T64" s="571"/>
    </row>
    <row r="65" spans="16:20">
      <c r="P65" s="571"/>
      <c r="Q65" s="571"/>
      <c r="R65" s="571"/>
      <c r="S65" s="571"/>
      <c r="T65" s="571"/>
    </row>
    <row r="81" spans="12:13">
      <c r="L81" s="403"/>
      <c r="M81" s="403"/>
    </row>
    <row r="82" spans="12:13">
      <c r="L82" s="403"/>
      <c r="M82" s="403"/>
    </row>
  </sheetData>
  <sheetProtection algorithmName="SHA-512" hashValue="9RsifdgaK5ZogGeUKvkNDAyJ/L17Q8/vUogxwH5P2O/mxYKzgQWOAfognLTVv68Liz3VmN7DjKBaUszCnejEsg==" saltValue="GuNNd+r5poE03F92hth3vQ==" spinCount="100000" sheet="1" selectLockedCells="1" objects="1" scenarios="1"/>
  <protectedRanges>
    <protectedRange sqref="W6:X7 H30" name="区域1" securityDescriptor=""/>
  </protectedRanges>
  <mergeCells count="302">
    <mergeCell ref="P2:T2"/>
    <mergeCell ref="C31:D31"/>
    <mergeCell ref="C39:Q39"/>
    <mergeCell ref="C41:S41"/>
    <mergeCell ref="B42:R42"/>
    <mergeCell ref="B43:R43"/>
    <mergeCell ref="B44:R44"/>
    <mergeCell ref="C45:R45"/>
    <mergeCell ref="C46:R46"/>
    <mergeCell ref="C48:Q48"/>
    <mergeCell ref="B50:P50"/>
    <mergeCell ref="C51:T51"/>
    <mergeCell ref="C52:V52"/>
    <mergeCell ref="C53:T53"/>
    <mergeCell ref="C54:V54"/>
    <mergeCell ref="C55:V55"/>
    <mergeCell ref="C56:P56"/>
    <mergeCell ref="C57:R57"/>
    <mergeCell ref="C58:R58"/>
    <mergeCell ref="C60:T60"/>
    <mergeCell ref="C61:R61"/>
    <mergeCell ref="C62:R62"/>
    <mergeCell ref="S62:T62"/>
    <mergeCell ref="N64:T64"/>
    <mergeCell ref="A1:A2"/>
    <mergeCell ref="C3:C4"/>
    <mergeCell ref="F9:F10"/>
    <mergeCell ref="F11:F12"/>
    <mergeCell ref="F13:F14"/>
    <mergeCell ref="F15:F16"/>
    <mergeCell ref="F17:F18"/>
    <mergeCell ref="F19:F20"/>
    <mergeCell ref="F21:F22"/>
    <mergeCell ref="F23:F24"/>
    <mergeCell ref="F25:F26"/>
    <mergeCell ref="F28:F29"/>
    <mergeCell ref="F30:F32"/>
    <mergeCell ref="G9:G10"/>
    <mergeCell ref="G11:G12"/>
    <mergeCell ref="G13:G14"/>
    <mergeCell ref="G15:G16"/>
    <mergeCell ref="G17:G18"/>
    <mergeCell ref="G19:G20"/>
    <mergeCell ref="G21:G22"/>
    <mergeCell ref="G23:G24"/>
    <mergeCell ref="G25:G26"/>
    <mergeCell ref="G28:G29"/>
    <mergeCell ref="G30:G32"/>
    <mergeCell ref="H9:H10"/>
    <mergeCell ref="H11:H12"/>
    <mergeCell ref="H13:H14"/>
    <mergeCell ref="H15:H16"/>
    <mergeCell ref="H17:H18"/>
    <mergeCell ref="H19:H20"/>
    <mergeCell ref="H21:H22"/>
    <mergeCell ref="H23:H24"/>
    <mergeCell ref="H25:H26"/>
    <mergeCell ref="H28:H29"/>
    <mergeCell ref="H31:H32"/>
    <mergeCell ref="I9:I10"/>
    <mergeCell ref="I11:I12"/>
    <mergeCell ref="I13:I14"/>
    <mergeCell ref="I15:I16"/>
    <mergeCell ref="I17:I18"/>
    <mergeCell ref="I19:I20"/>
    <mergeCell ref="I21:I22"/>
    <mergeCell ref="I23:I24"/>
    <mergeCell ref="I25:I26"/>
    <mergeCell ref="I28:I29"/>
    <mergeCell ref="I31:I32"/>
    <mergeCell ref="J9:J10"/>
    <mergeCell ref="J11:J12"/>
    <mergeCell ref="J13:J14"/>
    <mergeCell ref="J15:J16"/>
    <mergeCell ref="J17:J18"/>
    <mergeCell ref="J19:J20"/>
    <mergeCell ref="J21:J22"/>
    <mergeCell ref="J23:J24"/>
    <mergeCell ref="J25:J26"/>
    <mergeCell ref="J28:J29"/>
    <mergeCell ref="J31:J32"/>
    <mergeCell ref="K9:K10"/>
    <mergeCell ref="K11:K12"/>
    <mergeCell ref="K13:K14"/>
    <mergeCell ref="K15:K16"/>
    <mergeCell ref="K17:K18"/>
    <mergeCell ref="K19:K20"/>
    <mergeCell ref="K21:K22"/>
    <mergeCell ref="K23:K24"/>
    <mergeCell ref="K25:K26"/>
    <mergeCell ref="K28:K29"/>
    <mergeCell ref="K31:K32"/>
    <mergeCell ref="L9:L10"/>
    <mergeCell ref="L11:L12"/>
    <mergeCell ref="L13:L14"/>
    <mergeCell ref="L15:L16"/>
    <mergeCell ref="L17:L18"/>
    <mergeCell ref="L19:L20"/>
    <mergeCell ref="L21:L22"/>
    <mergeCell ref="L23:L24"/>
    <mergeCell ref="L25:L26"/>
    <mergeCell ref="L28:L29"/>
    <mergeCell ref="L31:L32"/>
    <mergeCell ref="M9:M10"/>
    <mergeCell ref="M11:M12"/>
    <mergeCell ref="M13:M14"/>
    <mergeCell ref="M15:M16"/>
    <mergeCell ref="M17:M18"/>
    <mergeCell ref="M19:M20"/>
    <mergeCell ref="M21:M22"/>
    <mergeCell ref="M23:M24"/>
    <mergeCell ref="M25:M26"/>
    <mergeCell ref="M28:M29"/>
    <mergeCell ref="M31:M32"/>
    <mergeCell ref="N9:N10"/>
    <mergeCell ref="N11:N12"/>
    <mergeCell ref="N13:N14"/>
    <mergeCell ref="N15:N16"/>
    <mergeCell ref="N17:N18"/>
    <mergeCell ref="N19:N20"/>
    <mergeCell ref="N21:N22"/>
    <mergeCell ref="N23:N24"/>
    <mergeCell ref="N25:N26"/>
    <mergeCell ref="N28:N29"/>
    <mergeCell ref="N31:N32"/>
    <mergeCell ref="O9:O10"/>
    <mergeCell ref="O11:O12"/>
    <mergeCell ref="O13:O14"/>
    <mergeCell ref="O15:O16"/>
    <mergeCell ref="O17:O18"/>
    <mergeCell ref="O19:O20"/>
    <mergeCell ref="O21:O22"/>
    <mergeCell ref="O23:O24"/>
    <mergeCell ref="O25:O26"/>
    <mergeCell ref="O28:O29"/>
    <mergeCell ref="O31:O32"/>
    <mergeCell ref="P9:P10"/>
    <mergeCell ref="P11:P12"/>
    <mergeCell ref="P13:P14"/>
    <mergeCell ref="P15:P16"/>
    <mergeCell ref="P17:P18"/>
    <mergeCell ref="P19:P20"/>
    <mergeCell ref="P21:P22"/>
    <mergeCell ref="P23:P24"/>
    <mergeCell ref="P25:P26"/>
    <mergeCell ref="P28:P29"/>
    <mergeCell ref="P31:P32"/>
    <mergeCell ref="Q9:Q10"/>
    <mergeCell ref="Q11:Q12"/>
    <mergeCell ref="Q13:Q14"/>
    <mergeCell ref="Q15:Q16"/>
    <mergeCell ref="Q17:Q18"/>
    <mergeCell ref="Q19:Q20"/>
    <mergeCell ref="Q21:Q22"/>
    <mergeCell ref="Q23:Q24"/>
    <mergeCell ref="Q25:Q26"/>
    <mergeCell ref="Q28:Q29"/>
    <mergeCell ref="Q31:Q32"/>
    <mergeCell ref="R9:R10"/>
    <mergeCell ref="R11:R12"/>
    <mergeCell ref="R13:R14"/>
    <mergeCell ref="R15:R16"/>
    <mergeCell ref="R17:R18"/>
    <mergeCell ref="R19:R20"/>
    <mergeCell ref="R21:R22"/>
    <mergeCell ref="R23:R24"/>
    <mergeCell ref="R25:R26"/>
    <mergeCell ref="R28:R29"/>
    <mergeCell ref="R30:R32"/>
    <mergeCell ref="S9:S10"/>
    <mergeCell ref="S11:S12"/>
    <mergeCell ref="S13:S14"/>
    <mergeCell ref="S15:S16"/>
    <mergeCell ref="S17:S18"/>
    <mergeCell ref="S19:S20"/>
    <mergeCell ref="S21:S22"/>
    <mergeCell ref="S23:S24"/>
    <mergeCell ref="S25:S26"/>
    <mergeCell ref="S28:S29"/>
    <mergeCell ref="T9:T10"/>
    <mergeCell ref="T11:T12"/>
    <mergeCell ref="T13:T14"/>
    <mergeCell ref="T15:T16"/>
    <mergeCell ref="T17:T18"/>
    <mergeCell ref="T19:T20"/>
    <mergeCell ref="T21:T22"/>
    <mergeCell ref="T23:T24"/>
    <mergeCell ref="T25:T26"/>
    <mergeCell ref="T28:T29"/>
    <mergeCell ref="T31:T32"/>
    <mergeCell ref="U9:U10"/>
    <mergeCell ref="U11:U12"/>
    <mergeCell ref="U13:U14"/>
    <mergeCell ref="U15:U16"/>
    <mergeCell ref="U17:U18"/>
    <mergeCell ref="U19:U20"/>
    <mergeCell ref="U21:U22"/>
    <mergeCell ref="U23:U24"/>
    <mergeCell ref="U25:U26"/>
    <mergeCell ref="U28:U29"/>
    <mergeCell ref="V9:V10"/>
    <mergeCell ref="V11:V12"/>
    <mergeCell ref="V13:V14"/>
    <mergeCell ref="V15:V16"/>
    <mergeCell ref="V17:V18"/>
    <mergeCell ref="V19:V20"/>
    <mergeCell ref="V21:V22"/>
    <mergeCell ref="V23:V24"/>
    <mergeCell ref="V25:V26"/>
    <mergeCell ref="V31:V32"/>
    <mergeCell ref="W9:W10"/>
    <mergeCell ref="W11:W12"/>
    <mergeCell ref="W13:W14"/>
    <mergeCell ref="W15:W16"/>
    <mergeCell ref="W17:W18"/>
    <mergeCell ref="W19:W20"/>
    <mergeCell ref="W21:W22"/>
    <mergeCell ref="W23:W24"/>
    <mergeCell ref="W25:W26"/>
    <mergeCell ref="W31:W32"/>
    <mergeCell ref="AC11:AC12"/>
    <mergeCell ref="AC13:AC14"/>
    <mergeCell ref="AC15:AC16"/>
    <mergeCell ref="AC17:AC18"/>
    <mergeCell ref="AC19:AC20"/>
    <mergeCell ref="AC21:AC22"/>
    <mergeCell ref="AC23:AC24"/>
    <mergeCell ref="AC25:AC26"/>
    <mergeCell ref="AD11:AD12"/>
    <mergeCell ref="AD13:AD14"/>
    <mergeCell ref="AD15:AD16"/>
    <mergeCell ref="AD17:AD18"/>
    <mergeCell ref="AD19:AD20"/>
    <mergeCell ref="AD21:AD22"/>
    <mergeCell ref="AD23:AD24"/>
    <mergeCell ref="AD25:AD26"/>
    <mergeCell ref="AE11:AE12"/>
    <mergeCell ref="AE13:AE14"/>
    <mergeCell ref="AE15:AE16"/>
    <mergeCell ref="AE17:AE18"/>
    <mergeCell ref="AE19:AE20"/>
    <mergeCell ref="AE21:AE22"/>
    <mergeCell ref="AE23:AE24"/>
    <mergeCell ref="AE25:AE26"/>
    <mergeCell ref="AE27:AE28"/>
    <mergeCell ref="AF11:AF12"/>
    <mergeCell ref="AF13:AF14"/>
    <mergeCell ref="AF15:AF16"/>
    <mergeCell ref="AF17:AF18"/>
    <mergeCell ref="AF19:AF20"/>
    <mergeCell ref="AF21:AF22"/>
    <mergeCell ref="AF23:AF24"/>
    <mergeCell ref="AF25:AF26"/>
    <mergeCell ref="AF27:AF28"/>
    <mergeCell ref="AG11:AG12"/>
    <mergeCell ref="AG13:AG14"/>
    <mergeCell ref="AG15:AG16"/>
    <mergeCell ref="AG17:AG18"/>
    <mergeCell ref="AG19:AG20"/>
    <mergeCell ref="AG21:AG22"/>
    <mergeCell ref="AG23:AG24"/>
    <mergeCell ref="AG25:AG26"/>
    <mergeCell ref="AG27:AG28"/>
    <mergeCell ref="AH11:AH12"/>
    <mergeCell ref="AH13:AH14"/>
    <mergeCell ref="AH15:AH16"/>
    <mergeCell ref="AH17:AH18"/>
    <mergeCell ref="AH19:AH20"/>
    <mergeCell ref="AH21:AH22"/>
    <mergeCell ref="AH23:AH24"/>
    <mergeCell ref="AH25:AH26"/>
    <mergeCell ref="AH27:AH28"/>
    <mergeCell ref="AI11:AI12"/>
    <mergeCell ref="AI13:AI14"/>
    <mergeCell ref="AI15:AI16"/>
    <mergeCell ref="AI17:AI18"/>
    <mergeCell ref="AI19:AI20"/>
    <mergeCell ref="AI21:AI22"/>
    <mergeCell ref="AI23:AI24"/>
    <mergeCell ref="AI25:AI26"/>
    <mergeCell ref="AI27:AI28"/>
    <mergeCell ref="AJ11:AJ12"/>
    <mergeCell ref="AJ13:AJ14"/>
    <mergeCell ref="AJ15:AJ16"/>
    <mergeCell ref="AJ17:AJ18"/>
    <mergeCell ref="AJ19:AJ20"/>
    <mergeCell ref="AJ21:AJ22"/>
    <mergeCell ref="AJ23:AJ24"/>
    <mergeCell ref="AJ25:AJ26"/>
    <mergeCell ref="AJ27:AJ28"/>
    <mergeCell ref="AK11:AK12"/>
    <mergeCell ref="AK13:AK14"/>
    <mergeCell ref="AK15:AK16"/>
    <mergeCell ref="AK17:AK18"/>
    <mergeCell ref="AK19:AK20"/>
    <mergeCell ref="AK21:AK22"/>
    <mergeCell ref="AK23:AK24"/>
    <mergeCell ref="AK25:AK26"/>
    <mergeCell ref="AK27:AK28"/>
    <mergeCell ref="V2:W3"/>
    <mergeCell ref="J81:N82"/>
    <mergeCell ref="V28:W29"/>
  </mergeCells>
  <conditionalFormatting sqref="L11:L26 L31 L28:L29">
    <cfRule type="cellIs" dxfId="0" priority="1" stopIfTrue="1" operator="between">
      <formula>0</formula>
      <formula>6</formula>
    </cfRule>
    <cfRule type="cellIs" dxfId="1" priority="2" stopIfTrue="1" operator="between">
      <formula>0</formula>
      <formula>-6</formula>
    </cfRule>
  </conditionalFormatting>
  <conditionalFormatting sqref="F11">
    <cfRule type="expression" dxfId="2" priority="3" stopIfTrue="1">
      <formula>COUNTIF($F$11:F25,F11)&gt;1</formula>
    </cfRule>
  </conditionalFormatting>
  <conditionalFormatting sqref="T11:T12">
    <cfRule type="expression" dxfId="3" priority="4" stopIfTrue="1">
      <formula>$T$11&lt;$G$11</formula>
    </cfRule>
    <cfRule type="expression" dxfId="4" priority="5" stopIfTrue="1">
      <formula>$T$11&gt;=$G$11</formula>
    </cfRule>
    <cfRule type="cellIs" dxfId="5" priority="6" stopIfTrue="1" operator="equal">
      <formula>0</formula>
    </cfRule>
  </conditionalFormatting>
  <conditionalFormatting sqref="T13:T14">
    <cfRule type="expression" dxfId="6" priority="7" stopIfTrue="1">
      <formula>$T$13&lt;$G$13</formula>
    </cfRule>
    <cfRule type="expression" dxfId="7" priority="8" stopIfTrue="1">
      <formula>$T$13&gt;=$G$13</formula>
    </cfRule>
  </conditionalFormatting>
  <conditionalFormatting sqref="T23:T24">
    <cfRule type="expression" dxfId="8" priority="9" stopIfTrue="1">
      <formula>$T$23&lt;$G$23</formula>
    </cfRule>
    <cfRule type="expression" dxfId="9" priority="10" stopIfTrue="1">
      <formula>$T$23&gt;=$G$23</formula>
    </cfRule>
  </conditionalFormatting>
  <conditionalFormatting sqref="T25:T26 T28:T29">
    <cfRule type="expression" dxfId="10" priority="11" stopIfTrue="1">
      <formula>$T$25&lt;$G$25</formula>
    </cfRule>
    <cfRule type="expression" dxfId="11" priority="12" stopIfTrue="1">
      <formula>$T$25&gt;=$G$25</formula>
    </cfRule>
  </conditionalFormatting>
  <conditionalFormatting sqref="K25:K26">
    <cfRule type="expression" dxfId="12" priority="13" stopIfTrue="1">
      <formula>ISERROR($K$25)</formula>
    </cfRule>
  </conditionalFormatting>
  <conditionalFormatting sqref="Q25:R26">
    <cfRule type="expression" dxfId="13" priority="14" stopIfTrue="1">
      <formula>ISERROR($R$25)</formula>
    </cfRule>
  </conditionalFormatting>
  <conditionalFormatting sqref="M31:M32">
    <cfRule type="expression" dxfId="14" priority="15" stopIfTrue="1">
      <formula>ISERROR($M$31)</formula>
    </cfRule>
  </conditionalFormatting>
  <conditionalFormatting sqref="V11">
    <cfRule type="expression" dxfId="15" priority="16" stopIfTrue="1">
      <formula>$V$11&gt;=$N$11</formula>
    </cfRule>
    <cfRule type="expression" dxfId="16" priority="17" stopIfTrue="1">
      <formula>$V$11&lt;$N$11</formula>
    </cfRule>
  </conditionalFormatting>
  <conditionalFormatting sqref="V13:V14">
    <cfRule type="expression" dxfId="17" priority="18" stopIfTrue="1">
      <formula>$V$13&lt;$N$13</formula>
    </cfRule>
    <cfRule type="expression" dxfId="18" priority="19" stopIfTrue="1">
      <formula>$V$13&gt;=$N$13</formula>
    </cfRule>
  </conditionalFormatting>
  <conditionalFormatting sqref="V15:V16">
    <cfRule type="expression" dxfId="19" priority="20" stopIfTrue="1">
      <formula>$V$15&lt;$N$15</formula>
    </cfRule>
    <cfRule type="expression" dxfId="20" priority="21" stopIfTrue="1">
      <formula>$V$15&gt;=$N$15</formula>
    </cfRule>
  </conditionalFormatting>
  <conditionalFormatting sqref="V17:V18">
    <cfRule type="expression" dxfId="21" priority="22" stopIfTrue="1">
      <formula>$V$17&lt;$N$17</formula>
    </cfRule>
    <cfRule type="expression" dxfId="22" priority="23" stopIfTrue="1">
      <formula>$V$17&gt;=$N$17</formula>
    </cfRule>
  </conditionalFormatting>
  <conditionalFormatting sqref="V19:V20">
    <cfRule type="expression" dxfId="23" priority="24" stopIfTrue="1">
      <formula>$V$19&lt;$N$19</formula>
    </cfRule>
    <cfRule type="expression" dxfId="24" priority="25" stopIfTrue="1">
      <formula>$V$19&gt;=$N$19</formula>
    </cfRule>
  </conditionalFormatting>
  <conditionalFormatting sqref="V21:V22">
    <cfRule type="expression" dxfId="25" priority="26" stopIfTrue="1">
      <formula>$V$21&lt;$N$21</formula>
    </cfRule>
    <cfRule type="expression" dxfId="26" priority="27" stopIfTrue="1">
      <formula>$V$21&gt;=$N$21</formula>
    </cfRule>
  </conditionalFormatting>
  <conditionalFormatting sqref="V23:V24">
    <cfRule type="expression" dxfId="27" priority="28" stopIfTrue="1">
      <formula>$V$23&lt;$N$23</formula>
    </cfRule>
    <cfRule type="expression" dxfId="28" priority="29" stopIfTrue="1">
      <formula>$V$23&gt;=$N$23</formula>
    </cfRule>
  </conditionalFormatting>
  <conditionalFormatting sqref="V25:V26 V28">
    <cfRule type="expression" dxfId="29" priority="30" stopIfTrue="1">
      <formula>$V$25&lt;$N$25</formula>
    </cfRule>
    <cfRule type="expression" dxfId="30" priority="31" stopIfTrue="1">
      <formula>$V$25&gt;=$N$25</formula>
    </cfRule>
  </conditionalFormatting>
  <conditionalFormatting sqref="O21:P26 O28:P29 K21:K24 Q21:R24">
    <cfRule type="expression" dxfId="31" priority="32" stopIfTrue="1">
      <formula>ISERROR(K21)</formula>
    </cfRule>
  </conditionalFormatting>
  <conditionalFormatting sqref="T15">
    <cfRule type="expression" dxfId="32" priority="33" stopIfTrue="1">
      <formula>$T$15&lt;$G$15</formula>
    </cfRule>
    <cfRule type="expression" dxfId="33" priority="34" stopIfTrue="1">
      <formula>$T$15&gt;=$G$15</formula>
    </cfRule>
  </conditionalFormatting>
  <conditionalFormatting sqref="T17:T18">
    <cfRule type="expression" dxfId="34" priority="35" stopIfTrue="1">
      <formula>$T$17&lt;$G$17</formula>
    </cfRule>
    <cfRule type="expression" dxfId="35" priority="36" stopIfTrue="1">
      <formula>$T$17&gt;=$G$17</formula>
    </cfRule>
  </conditionalFormatting>
  <conditionalFormatting sqref="T19:T20">
    <cfRule type="expression" dxfId="36" priority="37" stopIfTrue="1">
      <formula>$T$19&lt;$G$19</formula>
    </cfRule>
    <cfRule type="expression" dxfId="37" priority="38" stopIfTrue="1">
      <formula>$T$19&gt;=$G$19</formula>
    </cfRule>
  </conditionalFormatting>
  <conditionalFormatting sqref="T21:T22">
    <cfRule type="expression" dxfId="38" priority="39" stopIfTrue="1">
      <formula>$T$21&lt;$G$21</formula>
    </cfRule>
    <cfRule type="expression" dxfId="39" priority="40" stopIfTrue="1">
      <formula>$T$21&gt;=$G$21</formula>
    </cfRule>
  </conditionalFormatting>
  <conditionalFormatting sqref="F23 F21">
    <cfRule type="expression" dxfId="40" priority="41" stopIfTrue="1">
      <formula>COUNTIF($F$11:F40,F21)&gt;1</formula>
    </cfRule>
  </conditionalFormatting>
  <conditionalFormatting sqref="F25">
    <cfRule type="expression" dxfId="41" priority="42" stopIfTrue="1">
      <formula>COUNTIF($F$11:F43,F25)&gt;1</formula>
    </cfRule>
  </conditionalFormatting>
  <conditionalFormatting sqref="F15 F28">
    <cfRule type="expression" dxfId="42" priority="43" stopIfTrue="1">
      <formula>COUNTIF($F$11:F31,F15)&gt;1</formula>
    </cfRule>
  </conditionalFormatting>
  <conditionalFormatting sqref="O31:O32">
    <cfRule type="expression" dxfId="43" priority="44" stopIfTrue="1">
      <formula>$O$31&lt;$I$31</formula>
    </cfRule>
    <cfRule type="expression" dxfId="44" priority="45" stopIfTrue="1">
      <formula>$O$31&gt;=$I$31</formula>
    </cfRule>
  </conditionalFormatting>
  <conditionalFormatting sqref="Q31:Q32">
    <cfRule type="expression" dxfId="45" priority="46" stopIfTrue="1">
      <formula>$Q$31&lt;$I$31</formula>
    </cfRule>
    <cfRule type="expression" dxfId="46" priority="47" stopIfTrue="1">
      <formula>$Q$31&gt;=$I$31</formula>
    </cfRule>
  </conditionalFormatting>
  <conditionalFormatting sqref="J31:J32">
    <cfRule type="expression" dxfId="47" priority="48" stopIfTrue="1">
      <formula>$J$31&lt;$N$31</formula>
    </cfRule>
    <cfRule type="expression" dxfId="48" priority="49" stopIfTrue="1">
      <formula>$J$31&gt;=$N$31</formula>
    </cfRule>
  </conditionalFormatting>
  <conditionalFormatting sqref="F19">
    <cfRule type="expression" dxfId="49" priority="50" stopIfTrue="1">
      <formula>COUNTIF($F$11:F32,F19)&gt;1</formula>
    </cfRule>
  </conditionalFormatting>
  <conditionalFormatting sqref="F17 F13">
    <cfRule type="expression" dxfId="50" priority="51" stopIfTrue="1">
      <formula>COUNTIF($F$11:F28,F13)&gt;1</formula>
    </cfRule>
  </conditionalFormatting>
  <dataValidations count="5">
    <dataValidation type="list" allowBlank="1" showInputMessage="1" showErrorMessage="1" sqref="G2:O2">
      <formula1>弟子基础属性!$C$3:$C$65</formula1>
    </dataValidation>
    <dataValidation type="list" allowBlank="1" showInputMessage="1" showErrorMessage="1" sqref="W6:X6 H30">
      <formula1>"1,2,3,4,5,6,7,8,9,10"</formula1>
    </dataValidation>
    <dataValidation type="list" allowBlank="1" showInputMessage="1" showErrorMessage="1" sqref="D21 D23 D25 D28">
      <formula1>"无,有"</formula1>
    </dataValidation>
    <dataValidation type="list" allowBlank="1" showInputMessage="1" showErrorMessage="1" sqref="T31:T32">
      <formula1>"无,攻透,内透"</formula1>
    </dataValidation>
    <dataValidation type="list" allowBlank="1" showInputMessage="1" showErrorMessage="1" sqref="F11:F26 F28:F29 H31:H32 V9:V10 V31:V32">
      <formula1>$G$2:$O$2</formula1>
    </dataValidation>
  </dataValidations>
  <pageMargins left="0.75" right="0.75" top="1" bottom="1" header="0.5" footer="0.5"/>
  <pageSetup paperSize="9" orientation="portrait" horizontalDpi="200" verticalDpi="300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5606" name="Spinner 1030" r:id="rId4">
              <controlPr print="0" defaultSize="0">
                <anchor moveWithCells="1" sizeWithCells="1">
                  <from>
                    <xdr:col>3</xdr:col>
                    <xdr:colOff>9525</xdr:colOff>
                    <xdr:row>2</xdr:row>
                    <xdr:rowOff>9525</xdr:rowOff>
                  </from>
                  <to>
                    <xdr:col>3</xdr:col>
                    <xdr:colOff>619125</xdr:colOff>
                    <xdr:row>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7" name="Spinner 1031" r:id="rId5">
              <controlPr print="0" defaultSize="0">
                <anchor moveWithCells="1" sizeWithCells="1">
                  <from>
                    <xdr:col>3</xdr:col>
                    <xdr:colOff>9525</xdr:colOff>
                    <xdr:row>8</xdr:row>
                    <xdr:rowOff>9525</xdr:rowOff>
                  </from>
                  <to>
                    <xdr:col>3</xdr:col>
                    <xdr:colOff>314325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8" name="Spinner 1032" r:id="rId6">
              <controlPr print="0" defaultSize="0">
                <anchor moveWithCells="1" sizeWithCells="1">
                  <from>
                    <xdr:col>3</xdr:col>
                    <xdr:colOff>9525</xdr:colOff>
                    <xdr:row>11</xdr:row>
                    <xdr:rowOff>9525</xdr:rowOff>
                  </from>
                  <to>
                    <xdr:col>3</xdr:col>
                    <xdr:colOff>314325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9" name="Spinner 1033" r:id="rId7">
              <controlPr print="0" defaultSize="0">
                <anchor moveWithCells="1" sizeWithCells="1">
                  <from>
                    <xdr:col>3</xdr:col>
                    <xdr:colOff>9525</xdr:colOff>
                    <xdr:row>14</xdr:row>
                    <xdr:rowOff>9525</xdr:rowOff>
                  </from>
                  <to>
                    <xdr:col>3</xdr:col>
                    <xdr:colOff>314325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10" name="Spinner 1034" r:id="rId8">
              <controlPr print="0" defaultSize="0">
                <anchor moveWithCells="1" sizeWithCells="1">
                  <from>
                    <xdr:col>3</xdr:col>
                    <xdr:colOff>0</xdr:colOff>
                    <xdr:row>5</xdr:row>
                    <xdr:rowOff>9525</xdr:rowOff>
                  </from>
                  <to>
                    <xdr:col>3</xdr:col>
                    <xdr:colOff>609600</xdr:colOff>
                    <xdr:row>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1" name="总队伍" r:id="rId9">
              <controlPr locked="0" print="0" defaultSize="0">
                <anchor moveWithCells="1">
                  <from>
                    <xdr:col>0</xdr:col>
                    <xdr:colOff>0</xdr:colOff>
                    <xdr:row>2</xdr:row>
                    <xdr:rowOff>9525</xdr:rowOff>
                  </from>
                  <to>
                    <xdr:col>0</xdr:col>
                    <xdr:colOff>952500</xdr:colOff>
                    <xdr:row>31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84" name="Spinner 1108" r:id="rId10">
              <controlPr print="0" defaultSize="0">
                <anchor moveWithCells="1" sizeWithCells="1">
                  <from>
                    <xdr:col>3</xdr:col>
                    <xdr:colOff>314325</xdr:colOff>
                    <xdr:row>8</xdr:row>
                    <xdr:rowOff>9525</xdr:rowOff>
                  </from>
                  <to>
                    <xdr:col>3</xdr:col>
                    <xdr:colOff>619125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85" name="Spinner 1109" r:id="rId11">
              <controlPr print="0" defaultSize="0">
                <anchor moveWithCells="1" sizeWithCells="1">
                  <from>
                    <xdr:col>3</xdr:col>
                    <xdr:colOff>314325</xdr:colOff>
                    <xdr:row>11</xdr:row>
                    <xdr:rowOff>9525</xdr:rowOff>
                  </from>
                  <to>
                    <xdr:col>3</xdr:col>
                    <xdr:colOff>619125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87" name="Spinner 1111" r:id="rId12">
              <controlPr print="0" defaultSize="0">
                <anchor moveWithCells="1" sizeWithCells="1">
                  <from>
                    <xdr:col>3</xdr:col>
                    <xdr:colOff>314325</xdr:colOff>
                    <xdr:row>14</xdr:row>
                    <xdr:rowOff>9525</xdr:rowOff>
                  </from>
                  <to>
                    <xdr:col>3</xdr:col>
                    <xdr:colOff>619125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43" name="Spinner 1167" r:id="rId13">
              <controlPr print="0" defaultSize="0">
                <anchor moveWithCells="1" sizeWithCells="1">
                  <from>
                    <xdr:col>3</xdr:col>
                    <xdr:colOff>9525</xdr:colOff>
                    <xdr:row>14</xdr:row>
                    <xdr:rowOff>9525</xdr:rowOff>
                  </from>
                  <to>
                    <xdr:col>3</xdr:col>
                    <xdr:colOff>314325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44" name="Spinner 1168" r:id="rId14">
              <controlPr print="0" defaultSize="0">
                <anchor moveWithCells="1" sizeWithCells="1">
                  <from>
                    <xdr:col>3</xdr:col>
                    <xdr:colOff>314325</xdr:colOff>
                    <xdr:row>14</xdr:row>
                    <xdr:rowOff>9525</xdr:rowOff>
                  </from>
                  <to>
                    <xdr:col>3</xdr:col>
                    <xdr:colOff>619125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45" name="Spinner 1169" r:id="rId15">
              <controlPr print="0" defaultSize="0">
                <anchor moveWithCells="1" sizeWithCells="1">
                  <from>
                    <xdr:col>3</xdr:col>
                    <xdr:colOff>9525</xdr:colOff>
                    <xdr:row>17</xdr:row>
                    <xdr:rowOff>9525</xdr:rowOff>
                  </from>
                  <to>
                    <xdr:col>3</xdr:col>
                    <xdr:colOff>314325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46" name="Spinner 1170" r:id="rId16">
              <controlPr print="0" defaultSize="0">
                <anchor moveWithCells="1" sizeWithCells="1">
                  <from>
                    <xdr:col>3</xdr:col>
                    <xdr:colOff>314325</xdr:colOff>
                    <xdr:row>17</xdr:row>
                    <xdr:rowOff>9525</xdr:rowOff>
                  </from>
                  <to>
                    <xdr:col>3</xdr:col>
                    <xdr:colOff>619125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47" name="Spinner 1171" r:id="rId17">
              <controlPr print="0" defaultSize="0">
                <anchor moveWithCells="1" sizeWithCells="1">
                  <from>
                    <xdr:col>3</xdr:col>
                    <xdr:colOff>9525</xdr:colOff>
                    <xdr:row>17</xdr:row>
                    <xdr:rowOff>9525</xdr:rowOff>
                  </from>
                  <to>
                    <xdr:col>3</xdr:col>
                    <xdr:colOff>314325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48" name="Spinner 1172" r:id="rId18">
              <controlPr print="0" defaultSize="0">
                <anchor moveWithCells="1" sizeWithCells="1">
                  <from>
                    <xdr:col>3</xdr:col>
                    <xdr:colOff>314325</xdr:colOff>
                    <xdr:row>17</xdr:row>
                    <xdr:rowOff>9525</xdr:rowOff>
                  </from>
                  <to>
                    <xdr:col>3</xdr:col>
                    <xdr:colOff>619125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49" name="Spinner 1173" r:id="rId19">
              <controlPr print="0" defaultSize="0">
                <anchor moveWithCells="1" sizeWithCells="1">
                  <from>
                    <xdr:col>3</xdr:col>
                    <xdr:colOff>9525</xdr:colOff>
                    <xdr:row>14</xdr:row>
                    <xdr:rowOff>9525</xdr:rowOff>
                  </from>
                  <to>
                    <xdr:col>3</xdr:col>
                    <xdr:colOff>314325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50" name="Spinner 1174" r:id="rId20">
              <controlPr print="0" defaultSize="0">
                <anchor moveWithCells="1" sizeWithCells="1">
                  <from>
                    <xdr:col>3</xdr:col>
                    <xdr:colOff>314325</xdr:colOff>
                    <xdr:row>14</xdr:row>
                    <xdr:rowOff>9525</xdr:rowOff>
                  </from>
                  <to>
                    <xdr:col>3</xdr:col>
                    <xdr:colOff>619125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51" name="Spinner 1175" r:id="rId21">
              <controlPr print="0" defaultSize="0">
                <anchor moveWithCells="1" sizeWithCells="1">
                  <from>
                    <xdr:col>3</xdr:col>
                    <xdr:colOff>9525</xdr:colOff>
                    <xdr:row>14</xdr:row>
                    <xdr:rowOff>9525</xdr:rowOff>
                  </from>
                  <to>
                    <xdr:col>3</xdr:col>
                    <xdr:colOff>314325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52" name="Spinner 1176" r:id="rId22">
              <controlPr print="0" defaultSize="0">
                <anchor moveWithCells="1" sizeWithCells="1">
                  <from>
                    <xdr:col>3</xdr:col>
                    <xdr:colOff>314325</xdr:colOff>
                    <xdr:row>14</xdr:row>
                    <xdr:rowOff>9525</xdr:rowOff>
                  </from>
                  <to>
                    <xdr:col>3</xdr:col>
                    <xdr:colOff>619125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901" name="Option Button 1325" r:id="rId23">
              <controlPr defaultSize="0">
                <anchor moveWithCells="1">
                  <from>
                    <xdr:col>2</xdr:col>
                    <xdr:colOff>47625</xdr:colOff>
                    <xdr:row>0</xdr:row>
                    <xdr:rowOff>104775</xdr:rowOff>
                  </from>
                  <to>
                    <xdr:col>3</xdr:col>
                    <xdr:colOff>47625</xdr:colOff>
                    <xdr:row>1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902" name="Option Button 1326" r:id="rId24">
              <controlPr defaultSize="0">
                <anchor moveWithCells="1">
                  <from>
                    <xdr:col>3</xdr:col>
                    <xdr:colOff>47625</xdr:colOff>
                    <xdr:row>0</xdr:row>
                    <xdr:rowOff>104775</xdr:rowOff>
                  </from>
                  <to>
                    <xdr:col>3</xdr:col>
                    <xdr:colOff>581025</xdr:colOff>
                    <xdr:row>1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0"/>
  <sheetViews>
    <sheetView workbookViewId="0">
      <pane ySplit="1" topLeftCell="A2" activePane="bottomLeft" state="frozen"/>
      <selection/>
      <selection pane="bottomLeft" activeCell="B8" sqref="B8:E8"/>
    </sheetView>
  </sheetViews>
  <sheetFormatPr defaultColWidth="9" defaultRowHeight="18" customHeight="1" outlineLevelCol="4"/>
  <cols>
    <col min="1" max="1" width="10" style="7" customWidth="1"/>
    <col min="2" max="3" width="12.5" style="394" customWidth="1"/>
    <col min="4" max="4" width="13.25" style="394" customWidth="1"/>
    <col min="5" max="5" width="13" style="394" customWidth="1"/>
    <col min="6" max="16384" width="9" style="7"/>
  </cols>
  <sheetData>
    <row r="1" s="393" customFormat="1" customHeight="1" spans="1:5">
      <c r="A1" s="26" t="s">
        <v>110</v>
      </c>
      <c r="B1" s="395" t="s">
        <v>46</v>
      </c>
      <c r="C1" s="395" t="s">
        <v>47</v>
      </c>
      <c r="D1" s="395" t="s">
        <v>48</v>
      </c>
      <c r="E1" s="395" t="s">
        <v>53</v>
      </c>
    </row>
    <row r="2" customHeight="1" spans="1:5">
      <c r="A2" s="396" t="s">
        <v>111</v>
      </c>
      <c r="B2" s="397">
        <v>2</v>
      </c>
      <c r="C2" s="397">
        <v>1.2</v>
      </c>
      <c r="D2" s="397">
        <v>2</v>
      </c>
      <c r="E2" s="397">
        <v>2</v>
      </c>
    </row>
    <row r="3" customHeight="1" spans="1:5">
      <c r="A3" s="398" t="s">
        <v>112</v>
      </c>
      <c r="B3" s="399">
        <v>1</v>
      </c>
      <c r="C3" s="399">
        <v>2.6</v>
      </c>
      <c r="D3" s="399">
        <v>1.5</v>
      </c>
      <c r="E3" s="399">
        <v>0.8</v>
      </c>
    </row>
    <row r="4" customHeight="1" spans="1:5">
      <c r="A4" s="398" t="s">
        <v>113</v>
      </c>
      <c r="B4" s="399">
        <v>1</v>
      </c>
      <c r="C4" s="399">
        <v>2.7</v>
      </c>
      <c r="D4" s="399">
        <v>1.5</v>
      </c>
      <c r="E4" s="399">
        <v>0.8</v>
      </c>
    </row>
    <row r="5" customHeight="1" spans="1:5">
      <c r="A5" s="398" t="s">
        <v>114</v>
      </c>
      <c r="B5" s="399">
        <v>1.5</v>
      </c>
      <c r="C5" s="399">
        <v>2.2</v>
      </c>
      <c r="D5" s="399">
        <v>1.2</v>
      </c>
      <c r="E5" s="399">
        <v>1</v>
      </c>
    </row>
    <row r="6" customHeight="1" spans="1:5">
      <c r="A6" s="398" t="s">
        <v>115</v>
      </c>
      <c r="B6" s="399">
        <v>1.8</v>
      </c>
      <c r="C6" s="399">
        <v>1.8</v>
      </c>
      <c r="D6" s="399">
        <v>1.3</v>
      </c>
      <c r="E6" s="399">
        <v>1.5</v>
      </c>
    </row>
    <row r="7" customHeight="1" spans="1:5">
      <c r="A7" s="398" t="s">
        <v>116</v>
      </c>
      <c r="B7" s="399">
        <v>1.5</v>
      </c>
      <c r="C7" s="399">
        <v>1.5</v>
      </c>
      <c r="D7" s="399">
        <v>1.8</v>
      </c>
      <c r="E7" s="399">
        <v>1.8</v>
      </c>
    </row>
    <row r="8" customHeight="1" spans="1:5">
      <c r="A8" s="400" t="s">
        <v>117</v>
      </c>
      <c r="B8" s="399">
        <v>1.2</v>
      </c>
      <c r="C8" s="399">
        <v>1.5</v>
      </c>
      <c r="D8" s="399">
        <v>1.5</v>
      </c>
      <c r="E8" s="399">
        <v>1</v>
      </c>
    </row>
    <row r="9" customHeight="1" spans="1:5">
      <c r="A9" s="398" t="s">
        <v>118</v>
      </c>
      <c r="B9" s="399">
        <v>1</v>
      </c>
      <c r="C9" s="399">
        <v>2.5</v>
      </c>
      <c r="D9" s="399">
        <v>1</v>
      </c>
      <c r="E9" s="399">
        <v>0.8</v>
      </c>
    </row>
    <row r="10" customHeight="1" spans="1:5">
      <c r="A10" s="398" t="s">
        <v>119</v>
      </c>
      <c r="B10" s="399">
        <v>1</v>
      </c>
      <c r="C10" s="399">
        <v>1.2</v>
      </c>
      <c r="D10" s="399">
        <v>2</v>
      </c>
      <c r="E10" s="399">
        <v>1.4</v>
      </c>
    </row>
    <row r="11" customHeight="1" spans="1:5">
      <c r="A11" s="398" t="s">
        <v>120</v>
      </c>
      <c r="B11" s="399">
        <v>1.2</v>
      </c>
      <c r="C11" s="399">
        <v>2.5</v>
      </c>
      <c r="D11" s="399">
        <v>1.1</v>
      </c>
      <c r="E11" s="399">
        <v>1.5</v>
      </c>
    </row>
    <row r="12" customHeight="1" spans="1:5">
      <c r="A12" s="398" t="s">
        <v>121</v>
      </c>
      <c r="B12" s="399">
        <v>1</v>
      </c>
      <c r="C12" s="399">
        <v>1.2</v>
      </c>
      <c r="D12" s="399">
        <v>2</v>
      </c>
      <c r="E12" s="399">
        <v>0.8</v>
      </c>
    </row>
    <row r="13" customHeight="1" spans="1:5">
      <c r="A13" s="400" t="s">
        <v>122</v>
      </c>
      <c r="B13" s="399">
        <v>1.5</v>
      </c>
      <c r="C13" s="399">
        <v>1</v>
      </c>
      <c r="D13" s="399">
        <v>2</v>
      </c>
      <c r="E13" s="399">
        <v>0.4</v>
      </c>
    </row>
    <row r="14" customHeight="1" spans="1:5">
      <c r="A14" s="398" t="s">
        <v>123</v>
      </c>
      <c r="B14" s="399">
        <v>1.2</v>
      </c>
      <c r="C14" s="399">
        <v>2.5</v>
      </c>
      <c r="D14" s="399">
        <v>1.1</v>
      </c>
      <c r="E14" s="399">
        <v>1.5</v>
      </c>
    </row>
    <row r="15" customHeight="1" spans="1:5">
      <c r="A15" s="400" t="s">
        <v>124</v>
      </c>
      <c r="B15" s="399">
        <v>1.2</v>
      </c>
      <c r="C15" s="399">
        <v>2</v>
      </c>
      <c r="D15" s="399">
        <v>1.4</v>
      </c>
      <c r="E15" s="399">
        <v>1</v>
      </c>
    </row>
    <row r="16" customHeight="1" spans="1:5">
      <c r="A16" s="398" t="s">
        <v>125</v>
      </c>
      <c r="B16" s="399">
        <v>2.5</v>
      </c>
      <c r="C16" s="399">
        <v>1</v>
      </c>
      <c r="D16" s="399">
        <v>1.5</v>
      </c>
      <c r="E16" s="399">
        <v>1.8</v>
      </c>
    </row>
    <row r="17" customHeight="1" spans="1:5">
      <c r="A17" s="398" t="s">
        <v>126</v>
      </c>
      <c r="B17" s="399">
        <v>2.5</v>
      </c>
      <c r="C17" s="399">
        <v>1</v>
      </c>
      <c r="D17" s="399">
        <v>1.5</v>
      </c>
      <c r="E17" s="399">
        <v>1.8</v>
      </c>
    </row>
    <row r="18" customHeight="1" spans="1:5">
      <c r="A18" s="398" t="s">
        <v>127</v>
      </c>
      <c r="B18" s="399">
        <v>1.5</v>
      </c>
      <c r="C18" s="399">
        <v>2.2</v>
      </c>
      <c r="D18" s="399">
        <v>1.2</v>
      </c>
      <c r="E18" s="399">
        <v>1.5</v>
      </c>
    </row>
    <row r="19" customHeight="1" spans="1:5">
      <c r="A19" s="398" t="s">
        <v>128</v>
      </c>
      <c r="B19" s="399">
        <v>1</v>
      </c>
      <c r="C19" s="399">
        <v>2</v>
      </c>
      <c r="D19" s="399">
        <v>1.2</v>
      </c>
      <c r="E19" s="399">
        <v>0.8</v>
      </c>
    </row>
    <row r="20" customHeight="1" spans="1:5">
      <c r="A20" s="398" t="s">
        <v>129</v>
      </c>
      <c r="B20" s="399">
        <v>1</v>
      </c>
      <c r="C20" s="399">
        <v>2.5</v>
      </c>
      <c r="D20" s="399">
        <v>1.5</v>
      </c>
      <c r="E20" s="399">
        <v>1</v>
      </c>
    </row>
    <row r="21" customHeight="1" spans="1:5">
      <c r="A21" s="400" t="s">
        <v>130</v>
      </c>
      <c r="B21" s="399">
        <v>1</v>
      </c>
      <c r="C21" s="399">
        <v>2.6</v>
      </c>
      <c r="D21" s="399">
        <v>1.4</v>
      </c>
      <c r="E21" s="399">
        <v>0.6</v>
      </c>
    </row>
    <row r="22" customHeight="1" spans="1:5">
      <c r="A22" s="398" t="s">
        <v>131</v>
      </c>
      <c r="B22" s="399">
        <v>1.5</v>
      </c>
      <c r="C22" s="399">
        <v>1.5</v>
      </c>
      <c r="D22" s="399">
        <v>1.8</v>
      </c>
      <c r="E22" s="399">
        <v>1.8</v>
      </c>
    </row>
    <row r="23" customHeight="1" spans="1:5">
      <c r="A23" s="398" t="s">
        <v>132</v>
      </c>
      <c r="B23" s="399"/>
      <c r="C23" s="399"/>
      <c r="D23" s="399"/>
      <c r="E23" s="399"/>
    </row>
    <row r="24" customHeight="1" spans="1:5">
      <c r="A24" s="398" t="s">
        <v>133</v>
      </c>
      <c r="B24" s="399">
        <v>1.5</v>
      </c>
      <c r="C24" s="399">
        <v>1.8</v>
      </c>
      <c r="D24" s="399">
        <v>1.2</v>
      </c>
      <c r="E24" s="399">
        <v>1.4</v>
      </c>
    </row>
    <row r="25" customHeight="1" spans="1:5">
      <c r="A25" s="398" t="s">
        <v>134</v>
      </c>
      <c r="B25" s="399">
        <v>1.5</v>
      </c>
      <c r="C25" s="399">
        <v>1.8</v>
      </c>
      <c r="D25" s="399">
        <v>1.2</v>
      </c>
      <c r="E25" s="399">
        <v>1.4</v>
      </c>
    </row>
    <row r="26" customHeight="1" spans="1:5">
      <c r="A26" s="398" t="s">
        <v>135</v>
      </c>
      <c r="B26" s="399">
        <v>1.8</v>
      </c>
      <c r="C26" s="399">
        <v>1.6</v>
      </c>
      <c r="D26" s="399">
        <v>1.6</v>
      </c>
      <c r="E26" s="399">
        <v>1.4</v>
      </c>
    </row>
    <row r="27" customHeight="1" spans="1:5">
      <c r="A27" s="398" t="s">
        <v>136</v>
      </c>
      <c r="B27" s="399">
        <v>1.8</v>
      </c>
      <c r="C27" s="399">
        <v>1.6</v>
      </c>
      <c r="D27" s="399">
        <v>1.6</v>
      </c>
      <c r="E27" s="399">
        <v>1.4</v>
      </c>
    </row>
    <row r="28" customHeight="1" spans="1:5">
      <c r="A28" s="398" t="s">
        <v>137</v>
      </c>
      <c r="B28" s="399">
        <v>1.5</v>
      </c>
      <c r="C28" s="399">
        <v>1.8</v>
      </c>
      <c r="D28" s="399">
        <v>1.2</v>
      </c>
      <c r="E28" s="399">
        <v>1.4</v>
      </c>
    </row>
    <row r="29" customHeight="1" spans="1:5">
      <c r="A29" s="398" t="s">
        <v>138</v>
      </c>
      <c r="B29" s="399">
        <v>1.6</v>
      </c>
      <c r="C29" s="399">
        <v>1.5</v>
      </c>
      <c r="D29" s="399">
        <v>1.5</v>
      </c>
      <c r="E29" s="399">
        <v>1.8</v>
      </c>
    </row>
    <row r="30" customHeight="1" spans="1:5">
      <c r="A30" s="398" t="s">
        <v>139</v>
      </c>
      <c r="B30" s="399">
        <v>1.4</v>
      </c>
      <c r="C30" s="399">
        <v>1.6</v>
      </c>
      <c r="D30" s="399">
        <v>2</v>
      </c>
      <c r="E30" s="399">
        <v>1.4</v>
      </c>
    </row>
    <row r="31" customHeight="1" spans="1:5">
      <c r="A31" s="398" t="s">
        <v>140</v>
      </c>
      <c r="B31" s="399">
        <v>1.5</v>
      </c>
      <c r="C31" s="399">
        <v>1.8</v>
      </c>
      <c r="D31" s="399">
        <v>1.2</v>
      </c>
      <c r="E31" s="399">
        <v>1.4</v>
      </c>
    </row>
    <row r="32" customHeight="1" spans="1:5">
      <c r="A32" s="398" t="s">
        <v>141</v>
      </c>
      <c r="B32" s="399">
        <v>1.5</v>
      </c>
      <c r="C32" s="399">
        <v>2.2</v>
      </c>
      <c r="D32" s="399">
        <v>1</v>
      </c>
      <c r="E32" s="399">
        <v>1.3</v>
      </c>
    </row>
    <row r="33" customHeight="1" spans="1:5">
      <c r="A33" s="398" t="s">
        <v>142</v>
      </c>
      <c r="B33" s="399">
        <v>1.5</v>
      </c>
      <c r="C33" s="399">
        <v>1.8</v>
      </c>
      <c r="D33" s="399">
        <v>1.2</v>
      </c>
      <c r="E33" s="399">
        <v>1.4</v>
      </c>
    </row>
    <row r="34" customHeight="1" spans="1:5">
      <c r="A34" s="398" t="s">
        <v>143</v>
      </c>
      <c r="B34" s="399">
        <v>1.5</v>
      </c>
      <c r="C34" s="399">
        <v>1.8</v>
      </c>
      <c r="D34" s="399">
        <v>1.2</v>
      </c>
      <c r="E34" s="399">
        <v>1.4</v>
      </c>
    </row>
    <row r="35" customHeight="1" spans="1:5">
      <c r="A35" s="398" t="s">
        <v>144</v>
      </c>
      <c r="B35" s="399"/>
      <c r="C35" s="399"/>
      <c r="D35" s="399"/>
      <c r="E35" s="399"/>
    </row>
    <row r="36" customHeight="1" spans="1:5">
      <c r="A36" s="398" t="s">
        <v>145</v>
      </c>
      <c r="B36" s="399">
        <v>1.2</v>
      </c>
      <c r="C36" s="399">
        <v>1.8</v>
      </c>
      <c r="D36" s="399">
        <v>1.2</v>
      </c>
      <c r="E36" s="399">
        <v>1.5</v>
      </c>
    </row>
    <row r="37" customHeight="1" spans="1:5">
      <c r="A37" s="398" t="s">
        <v>146</v>
      </c>
      <c r="B37" s="399">
        <v>1.5</v>
      </c>
      <c r="C37" s="399">
        <v>1.5</v>
      </c>
      <c r="D37" s="399">
        <v>1.2</v>
      </c>
      <c r="E37" s="399">
        <v>1.5</v>
      </c>
    </row>
    <row r="38" customHeight="1" spans="1:5">
      <c r="A38" s="398" t="s">
        <v>147</v>
      </c>
      <c r="B38" s="399">
        <v>1.5</v>
      </c>
      <c r="C38" s="399">
        <v>1.5</v>
      </c>
      <c r="D38" s="399">
        <v>1.2</v>
      </c>
      <c r="E38" s="399">
        <v>1.5</v>
      </c>
    </row>
    <row r="39" customHeight="1" spans="1:5">
      <c r="A39" s="398" t="s">
        <v>148</v>
      </c>
      <c r="B39" s="399">
        <v>1.5</v>
      </c>
      <c r="C39" s="399">
        <v>1.5</v>
      </c>
      <c r="D39" s="399">
        <v>1.2</v>
      </c>
      <c r="E39" s="399">
        <v>1.5</v>
      </c>
    </row>
    <row r="40" customHeight="1" spans="1:5">
      <c r="A40" s="398" t="s">
        <v>149</v>
      </c>
      <c r="B40" s="399">
        <v>1.5</v>
      </c>
      <c r="C40" s="399">
        <v>1.5</v>
      </c>
      <c r="D40" s="399">
        <v>1.2</v>
      </c>
      <c r="E40" s="399">
        <v>1.5</v>
      </c>
    </row>
    <row r="41" customHeight="1" spans="1:5">
      <c r="A41" s="398" t="s">
        <v>150</v>
      </c>
      <c r="B41" s="399">
        <v>1.5</v>
      </c>
      <c r="C41" s="399">
        <v>1.5</v>
      </c>
      <c r="D41" s="399">
        <v>1.2</v>
      </c>
      <c r="E41" s="399">
        <v>1.5</v>
      </c>
    </row>
    <row r="42" customHeight="1" spans="1:5">
      <c r="A42" s="398" t="s">
        <v>151</v>
      </c>
      <c r="B42" s="399">
        <v>1.5</v>
      </c>
      <c r="C42" s="399">
        <v>1.5</v>
      </c>
      <c r="D42" s="399">
        <v>1</v>
      </c>
      <c r="E42" s="399">
        <v>1.5</v>
      </c>
    </row>
    <row r="43" customHeight="1" spans="1:5">
      <c r="A43" s="398" t="s">
        <v>152</v>
      </c>
      <c r="B43" s="399">
        <v>1.5</v>
      </c>
      <c r="C43" s="399">
        <v>1.5</v>
      </c>
      <c r="D43" s="399">
        <v>1.2</v>
      </c>
      <c r="E43" s="399">
        <v>1.5</v>
      </c>
    </row>
    <row r="44" customHeight="1" spans="1:5">
      <c r="A44" s="398" t="s">
        <v>153</v>
      </c>
      <c r="B44" s="399">
        <v>1.5</v>
      </c>
      <c r="C44" s="399">
        <v>1.5</v>
      </c>
      <c r="D44" s="399">
        <v>1.2</v>
      </c>
      <c r="E44" s="399">
        <v>1.5</v>
      </c>
    </row>
    <row r="45" customHeight="1" spans="1:5">
      <c r="A45" s="398" t="s">
        <v>154</v>
      </c>
      <c r="B45" s="399">
        <v>1.5</v>
      </c>
      <c r="C45" s="399">
        <v>1.5</v>
      </c>
      <c r="D45" s="399">
        <v>1.2</v>
      </c>
      <c r="E45" s="399">
        <v>1.5</v>
      </c>
    </row>
    <row r="46" customHeight="1" spans="1:5">
      <c r="A46" s="398" t="s">
        <v>155</v>
      </c>
      <c r="B46" s="399">
        <v>1.5</v>
      </c>
      <c r="C46" s="399">
        <v>1.5</v>
      </c>
      <c r="D46" s="399">
        <v>1.2</v>
      </c>
      <c r="E46" s="399">
        <v>1.5</v>
      </c>
    </row>
    <row r="47" customHeight="1" spans="1:5">
      <c r="A47" s="398" t="s">
        <v>156</v>
      </c>
      <c r="B47" s="399">
        <v>1.8</v>
      </c>
      <c r="C47" s="399">
        <v>1.8</v>
      </c>
      <c r="D47" s="399">
        <v>1.5</v>
      </c>
      <c r="E47" s="399">
        <v>1.7</v>
      </c>
    </row>
    <row r="48" customHeight="1" spans="1:5">
      <c r="A48" s="398" t="s">
        <v>157</v>
      </c>
      <c r="B48" s="399">
        <v>1.8</v>
      </c>
      <c r="C48" s="399">
        <v>1.5</v>
      </c>
      <c r="D48" s="399">
        <v>1.5</v>
      </c>
      <c r="E48" s="399">
        <v>2</v>
      </c>
    </row>
    <row r="49" customHeight="1" spans="1:5">
      <c r="A49" s="398" t="s">
        <v>158</v>
      </c>
      <c r="B49" s="399">
        <v>1.5</v>
      </c>
      <c r="C49" s="399">
        <v>1.5</v>
      </c>
      <c r="D49" s="399">
        <v>1.2</v>
      </c>
      <c r="E49" s="399">
        <v>1.5</v>
      </c>
    </row>
    <row r="50" customHeight="1" spans="1:5">
      <c r="A50" s="398" t="s">
        <v>159</v>
      </c>
      <c r="B50" s="399">
        <v>1.5</v>
      </c>
      <c r="C50" s="399">
        <v>1</v>
      </c>
      <c r="D50" s="399">
        <v>1.6</v>
      </c>
      <c r="E50" s="399">
        <v>2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U10"/>
  <sheetViews>
    <sheetView workbookViewId="0">
      <selection activeCell="C24" sqref="C24"/>
    </sheetView>
  </sheetViews>
  <sheetFormatPr defaultColWidth="6.625" defaultRowHeight="15.95" customHeight="1"/>
  <cols>
    <col min="1" max="15" width="6.625" style="383" customWidth="1"/>
    <col min="16" max="16" width="6.625" style="384" customWidth="1"/>
    <col min="17" max="29" width="6.625" style="383" customWidth="1"/>
    <col min="30" max="30" width="6.625" style="384" customWidth="1"/>
    <col min="31" max="16384" width="6.625" style="383"/>
  </cols>
  <sheetData>
    <row r="1" customHeight="1" spans="1:47">
      <c r="A1" s="385" t="s">
        <v>126</v>
      </c>
      <c r="B1" s="385" t="s">
        <v>115</v>
      </c>
      <c r="C1" s="385" t="s">
        <v>127</v>
      </c>
      <c r="D1" s="385" t="s">
        <v>131</v>
      </c>
      <c r="E1" s="385" t="s">
        <v>120</v>
      </c>
      <c r="F1" s="385" t="s">
        <v>114</v>
      </c>
      <c r="G1" s="385" t="s">
        <v>128</v>
      </c>
      <c r="H1" s="386" t="s">
        <v>123</v>
      </c>
      <c r="I1" s="385" t="s">
        <v>116</v>
      </c>
      <c r="J1" s="385" t="s">
        <v>160</v>
      </c>
      <c r="K1" s="385" t="s">
        <v>161</v>
      </c>
      <c r="L1" s="385" t="s">
        <v>125</v>
      </c>
      <c r="M1" s="385" t="s">
        <v>133</v>
      </c>
      <c r="N1" s="385" t="s">
        <v>119</v>
      </c>
      <c r="O1" s="389" t="s">
        <v>135</v>
      </c>
      <c r="P1" s="385" t="s">
        <v>137</v>
      </c>
      <c r="Q1" s="391" t="s">
        <v>142</v>
      </c>
      <c r="R1" s="391" t="s">
        <v>134</v>
      </c>
      <c r="S1" s="385" t="s">
        <v>140</v>
      </c>
      <c r="T1" s="385" t="s">
        <v>139</v>
      </c>
      <c r="U1" s="385" t="s">
        <v>141</v>
      </c>
      <c r="V1" s="385" t="s">
        <v>143</v>
      </c>
      <c r="W1" s="385" t="s">
        <v>138</v>
      </c>
      <c r="X1" s="385" t="s">
        <v>113</v>
      </c>
      <c r="Y1" s="385" t="s">
        <v>112</v>
      </c>
      <c r="Z1" s="385" t="s">
        <v>136</v>
      </c>
      <c r="AA1" s="389" t="s">
        <v>159</v>
      </c>
      <c r="AB1" s="389" t="s">
        <v>157</v>
      </c>
      <c r="AC1" s="389" t="s">
        <v>148</v>
      </c>
      <c r="AD1" s="385" t="s">
        <v>152</v>
      </c>
      <c r="AE1" s="391" t="s">
        <v>153</v>
      </c>
      <c r="AF1" s="385" t="s">
        <v>145</v>
      </c>
      <c r="AG1" s="385" t="s">
        <v>155</v>
      </c>
      <c r="AH1" s="385" t="s">
        <v>150</v>
      </c>
      <c r="AI1" s="385" t="s">
        <v>156</v>
      </c>
      <c r="AJ1" s="385" t="s">
        <v>158</v>
      </c>
      <c r="AK1" s="385" t="s">
        <v>146</v>
      </c>
      <c r="AL1" s="385" t="s">
        <v>147</v>
      </c>
      <c r="AM1" s="385" t="s">
        <v>149</v>
      </c>
      <c r="AN1" s="385" t="s">
        <v>154</v>
      </c>
      <c r="AO1" s="385" t="s">
        <v>151</v>
      </c>
      <c r="AP1" s="385" t="s">
        <v>118</v>
      </c>
      <c r="AQ1" s="385" t="s">
        <v>121</v>
      </c>
      <c r="AR1" s="385" t="s">
        <v>129</v>
      </c>
      <c r="AS1" s="385" t="s">
        <v>111</v>
      </c>
      <c r="AT1" s="385" t="s">
        <v>162</v>
      </c>
      <c r="AU1" s="385" t="s">
        <v>163</v>
      </c>
    </row>
    <row r="2" customHeight="1" spans="1:47">
      <c r="A2" s="387" t="s">
        <v>164</v>
      </c>
      <c r="B2" s="387" t="s">
        <v>165</v>
      </c>
      <c r="C2" s="387" t="s">
        <v>166</v>
      </c>
      <c r="D2" s="387" t="s">
        <v>167</v>
      </c>
      <c r="E2" s="387" t="s">
        <v>9</v>
      </c>
      <c r="F2" s="388" t="s">
        <v>2</v>
      </c>
      <c r="G2" s="388" t="s">
        <v>168</v>
      </c>
      <c r="H2" s="388" t="s">
        <v>169</v>
      </c>
      <c r="I2" s="388" t="s">
        <v>170</v>
      </c>
      <c r="J2" s="388" t="s">
        <v>171</v>
      </c>
      <c r="K2" s="387" t="s">
        <v>6</v>
      </c>
      <c r="L2" s="387" t="s">
        <v>10</v>
      </c>
      <c r="M2" s="387" t="s">
        <v>172</v>
      </c>
      <c r="N2" s="387" t="s">
        <v>173</v>
      </c>
      <c r="O2" s="390" t="s">
        <v>174</v>
      </c>
      <c r="P2" s="387" t="s">
        <v>175</v>
      </c>
      <c r="Q2" s="392" t="s">
        <v>176</v>
      </c>
      <c r="R2" s="392" t="s">
        <v>177</v>
      </c>
      <c r="S2" s="387" t="s">
        <v>166</v>
      </c>
      <c r="T2" s="387" t="s">
        <v>178</v>
      </c>
      <c r="U2" s="387" t="s">
        <v>179</v>
      </c>
      <c r="V2" s="387" t="s">
        <v>180</v>
      </c>
      <c r="W2" s="387" t="s">
        <v>181</v>
      </c>
      <c r="X2" s="387" t="s">
        <v>182</v>
      </c>
      <c r="Y2" s="387" t="s">
        <v>182</v>
      </c>
      <c r="Z2" s="387" t="s">
        <v>183</v>
      </c>
      <c r="AA2" s="390" t="s">
        <v>184</v>
      </c>
      <c r="AB2" s="390" t="s">
        <v>175</v>
      </c>
      <c r="AC2" s="390" t="s">
        <v>185</v>
      </c>
      <c r="AD2" s="387" t="s">
        <v>186</v>
      </c>
      <c r="AE2" s="392" t="s">
        <v>187</v>
      </c>
      <c r="AF2" s="387" t="s">
        <v>188</v>
      </c>
      <c r="AG2" s="387" t="s">
        <v>189</v>
      </c>
      <c r="AH2" s="387" t="s">
        <v>190</v>
      </c>
      <c r="AI2" s="387" t="s">
        <v>191</v>
      </c>
      <c r="AJ2" s="387" t="s">
        <v>192</v>
      </c>
      <c r="AK2" s="387" t="s">
        <v>193</v>
      </c>
      <c r="AL2" s="387" t="s">
        <v>194</v>
      </c>
      <c r="AM2" s="387" t="s">
        <v>195</v>
      </c>
      <c r="AN2" s="387" t="s">
        <v>196</v>
      </c>
      <c r="AO2" s="387" t="s">
        <v>197</v>
      </c>
      <c r="AP2" s="387" t="s">
        <v>198</v>
      </c>
      <c r="AQ2" s="387" t="s">
        <v>3</v>
      </c>
      <c r="AR2" s="387" t="s">
        <v>199</v>
      </c>
      <c r="AS2" s="387" t="s">
        <v>200</v>
      </c>
      <c r="AT2" s="387" t="s">
        <v>201</v>
      </c>
      <c r="AU2" s="387" t="s">
        <v>202</v>
      </c>
    </row>
    <row r="3" customHeight="1" spans="1:47">
      <c r="A3" s="387" t="s">
        <v>195</v>
      </c>
      <c r="B3" s="387" t="s">
        <v>203</v>
      </c>
      <c r="C3" s="387" t="s">
        <v>204</v>
      </c>
      <c r="D3" s="387" t="s">
        <v>205</v>
      </c>
      <c r="E3" s="387" t="s">
        <v>192</v>
      </c>
      <c r="F3" s="388" t="s">
        <v>188</v>
      </c>
      <c r="G3" s="388" t="s">
        <v>10</v>
      </c>
      <c r="H3" s="388" t="s">
        <v>190</v>
      </c>
      <c r="I3" s="388" t="s">
        <v>191</v>
      </c>
      <c r="J3" s="388" t="s">
        <v>206</v>
      </c>
      <c r="K3" s="387" t="s">
        <v>8</v>
      </c>
      <c r="L3" s="387" t="s">
        <v>185</v>
      </c>
      <c r="M3" s="387" t="s">
        <v>207</v>
      </c>
      <c r="N3" s="387" t="s">
        <v>166</v>
      </c>
      <c r="O3" s="390" t="s">
        <v>208</v>
      </c>
      <c r="P3" s="387" t="s">
        <v>209</v>
      </c>
      <c r="Q3" s="392" t="s">
        <v>210</v>
      </c>
      <c r="R3" s="392" t="s">
        <v>211</v>
      </c>
      <c r="S3" s="387" t="s">
        <v>212</v>
      </c>
      <c r="T3" s="387" t="s">
        <v>213</v>
      </c>
      <c r="U3" s="387" t="s">
        <v>214</v>
      </c>
      <c r="V3" s="387" t="s">
        <v>215</v>
      </c>
      <c r="W3" s="387" t="s">
        <v>216</v>
      </c>
      <c r="X3" s="387" t="s">
        <v>200</v>
      </c>
      <c r="Y3" s="387" t="s">
        <v>200</v>
      </c>
      <c r="Z3" s="387" t="s">
        <v>211</v>
      </c>
      <c r="AA3" s="390" t="s">
        <v>207</v>
      </c>
      <c r="AB3" s="390" t="s">
        <v>210</v>
      </c>
      <c r="AC3" s="390" t="s">
        <v>192</v>
      </c>
      <c r="AD3" s="387" t="s">
        <v>217</v>
      </c>
      <c r="AE3" s="392" t="s">
        <v>218</v>
      </c>
      <c r="AF3" s="387" t="s">
        <v>208</v>
      </c>
      <c r="AG3" s="387" t="s">
        <v>165</v>
      </c>
      <c r="AH3" s="387" t="s">
        <v>216</v>
      </c>
      <c r="AI3" s="387" t="s">
        <v>219</v>
      </c>
      <c r="AJ3" s="387" t="s">
        <v>166</v>
      </c>
      <c r="AK3" s="387" t="s">
        <v>177</v>
      </c>
      <c r="AL3" s="387" t="s">
        <v>172</v>
      </c>
      <c r="AM3" s="387" t="s">
        <v>9</v>
      </c>
      <c r="AN3" s="387" t="s">
        <v>181</v>
      </c>
      <c r="AO3" s="387" t="s">
        <v>179</v>
      </c>
      <c r="AP3" s="387" t="s">
        <v>3</v>
      </c>
      <c r="AQ3" s="387" t="s">
        <v>198</v>
      </c>
      <c r="AR3" s="387" t="s">
        <v>198</v>
      </c>
      <c r="AS3" s="387" t="s">
        <v>191</v>
      </c>
      <c r="AT3" s="387" t="s">
        <v>220</v>
      </c>
      <c r="AU3" s="387" t="s">
        <v>31</v>
      </c>
    </row>
    <row r="4" customHeight="1" spans="1:47">
      <c r="A4" s="387" t="s">
        <v>196</v>
      </c>
      <c r="B4" s="387" t="s">
        <v>221</v>
      </c>
      <c r="C4" s="387" t="s">
        <v>222</v>
      </c>
      <c r="D4" s="387" t="s">
        <v>223</v>
      </c>
      <c r="E4" s="387" t="s">
        <v>193</v>
      </c>
      <c r="F4" s="388" t="s">
        <v>178</v>
      </c>
      <c r="G4" s="388" t="s">
        <v>189</v>
      </c>
      <c r="H4" s="388" t="s">
        <v>193</v>
      </c>
      <c r="I4" s="388" t="s">
        <v>180</v>
      </c>
      <c r="J4" s="388" t="s">
        <v>223</v>
      </c>
      <c r="K4" s="387" t="s">
        <v>224</v>
      </c>
      <c r="L4" s="387" t="s">
        <v>164</v>
      </c>
      <c r="M4" s="387" t="s">
        <v>210</v>
      </c>
      <c r="N4" s="387" t="s">
        <v>178</v>
      </c>
      <c r="O4" s="390" t="s">
        <v>211</v>
      </c>
      <c r="P4" s="387" t="s">
        <v>194</v>
      </c>
      <c r="Q4" s="392" t="s">
        <v>212</v>
      </c>
      <c r="R4" s="392" t="s">
        <v>216</v>
      </c>
      <c r="S4" s="387" t="s">
        <v>214</v>
      </c>
      <c r="T4" s="387" t="s">
        <v>215</v>
      </c>
      <c r="U4" s="387" t="s">
        <v>209</v>
      </c>
      <c r="V4" s="387" t="s">
        <v>225</v>
      </c>
      <c r="W4" s="387" t="s">
        <v>213</v>
      </c>
      <c r="X4" s="387"/>
      <c r="Y4" s="387" t="s">
        <v>183</v>
      </c>
      <c r="Z4" s="387" t="s">
        <v>209</v>
      </c>
      <c r="AA4" s="390" t="s">
        <v>208</v>
      </c>
      <c r="AB4" s="390" t="s">
        <v>226</v>
      </c>
      <c r="AC4" s="390" t="s">
        <v>227</v>
      </c>
      <c r="AD4" s="387" t="s">
        <v>228</v>
      </c>
      <c r="AE4" s="392" t="s">
        <v>197</v>
      </c>
      <c r="AF4" s="387" t="s">
        <v>194</v>
      </c>
      <c r="AG4" s="387" t="s">
        <v>229</v>
      </c>
      <c r="AH4" s="387" t="s">
        <v>203</v>
      </c>
      <c r="AI4" s="387" t="s">
        <v>230</v>
      </c>
      <c r="AJ4" s="387" t="s">
        <v>231</v>
      </c>
      <c r="AK4" s="387" t="s">
        <v>232</v>
      </c>
      <c r="AL4" s="387" t="s">
        <v>212</v>
      </c>
      <c r="AM4" s="387" t="s">
        <v>222</v>
      </c>
      <c r="AN4" s="387" t="s">
        <v>211</v>
      </c>
      <c r="AO4" s="387" t="s">
        <v>225</v>
      </c>
      <c r="AP4" s="387" t="s">
        <v>5</v>
      </c>
      <c r="AQ4" s="387" t="s">
        <v>10</v>
      </c>
      <c r="AR4" s="387" t="s">
        <v>226</v>
      </c>
      <c r="AS4" s="387" t="s">
        <v>190</v>
      </c>
      <c r="AT4" s="387" t="s">
        <v>233</v>
      </c>
      <c r="AU4" s="387" t="s">
        <v>176</v>
      </c>
    </row>
    <row r="5" customHeight="1" spans="1:47">
      <c r="A5" s="387" t="s">
        <v>234</v>
      </c>
      <c r="B5" s="387" t="s">
        <v>231</v>
      </c>
      <c r="C5" s="387" t="s">
        <v>219</v>
      </c>
      <c r="D5" s="387" t="s">
        <v>230</v>
      </c>
      <c r="E5" s="387" t="s">
        <v>226</v>
      </c>
      <c r="F5" s="388" t="s">
        <v>209</v>
      </c>
      <c r="G5" s="388" t="s">
        <v>192</v>
      </c>
      <c r="H5" s="388" t="s">
        <v>235</v>
      </c>
      <c r="I5" s="388" t="s">
        <v>225</v>
      </c>
      <c r="J5" s="388" t="s">
        <v>175</v>
      </c>
      <c r="K5" s="387" t="s">
        <v>7</v>
      </c>
      <c r="L5" s="387" t="s">
        <v>210</v>
      </c>
      <c r="M5" s="387" t="s">
        <v>236</v>
      </c>
      <c r="N5" s="387" t="s">
        <v>175</v>
      </c>
      <c r="O5" s="390" t="s">
        <v>229</v>
      </c>
      <c r="P5" s="387" t="s">
        <v>218</v>
      </c>
      <c r="Q5" s="392" t="s">
        <v>227</v>
      </c>
      <c r="R5" s="392" t="s">
        <v>237</v>
      </c>
      <c r="S5" s="387" t="s">
        <v>228</v>
      </c>
      <c r="T5" s="387" t="s">
        <v>232</v>
      </c>
      <c r="U5" s="387" t="s">
        <v>217</v>
      </c>
      <c r="V5" s="387" t="s">
        <v>197</v>
      </c>
      <c r="W5" s="387" t="s">
        <v>238</v>
      </c>
      <c r="X5" s="387"/>
      <c r="Y5" s="387" t="s">
        <v>173</v>
      </c>
      <c r="Z5" s="387" t="s">
        <v>196</v>
      </c>
      <c r="AA5" s="390" t="s">
        <v>210</v>
      </c>
      <c r="AB5" s="390" t="s">
        <v>237</v>
      </c>
      <c r="AC5" s="390" t="s">
        <v>237</v>
      </c>
      <c r="AD5" s="387" t="s">
        <v>238</v>
      </c>
      <c r="AE5" s="392" t="s">
        <v>195</v>
      </c>
      <c r="AF5" s="387" t="s">
        <v>204</v>
      </c>
      <c r="AG5" s="387" t="s">
        <v>236</v>
      </c>
      <c r="AH5" s="387" t="s">
        <v>234</v>
      </c>
      <c r="AI5" s="387" t="s">
        <v>221</v>
      </c>
      <c r="AJ5" s="387" t="s">
        <v>235</v>
      </c>
      <c r="AK5" s="387" t="s">
        <v>194</v>
      </c>
      <c r="AL5" s="387" t="s">
        <v>216</v>
      </c>
      <c r="AM5" s="387" t="s">
        <v>223</v>
      </c>
      <c r="AN5" s="387" t="s">
        <v>219</v>
      </c>
      <c r="AO5" s="387" t="s">
        <v>230</v>
      </c>
      <c r="AP5" s="387" t="s">
        <v>189</v>
      </c>
      <c r="AQ5" s="387" t="s">
        <v>168</v>
      </c>
      <c r="AR5" s="387" t="s">
        <v>204</v>
      </c>
      <c r="AS5" s="387" t="s">
        <v>173</v>
      </c>
      <c r="AT5" s="387" t="s">
        <v>239</v>
      </c>
      <c r="AU5" s="387" t="s">
        <v>240</v>
      </c>
    </row>
    <row r="6" customHeight="1" spans="1:47">
      <c r="A6" s="387" t="s">
        <v>172</v>
      </c>
      <c r="B6" s="387" t="s">
        <v>174</v>
      </c>
      <c r="C6" s="387" t="s">
        <v>185</v>
      </c>
      <c r="D6" s="387" t="s">
        <v>186</v>
      </c>
      <c r="E6" s="387" t="s">
        <v>176</v>
      </c>
      <c r="F6" s="388" t="s">
        <v>176</v>
      </c>
      <c r="G6" s="388" t="s">
        <v>5</v>
      </c>
      <c r="H6" s="388" t="s">
        <v>181</v>
      </c>
      <c r="I6" s="388" t="s">
        <v>167</v>
      </c>
      <c r="J6" s="388" t="s">
        <v>184</v>
      </c>
      <c r="K6" s="387" t="s">
        <v>234</v>
      </c>
      <c r="L6" s="387" t="s">
        <v>179</v>
      </c>
      <c r="M6" s="387" t="s">
        <v>165</v>
      </c>
      <c r="N6" s="387" t="s">
        <v>209</v>
      </c>
      <c r="O6" s="390" t="s">
        <v>176</v>
      </c>
      <c r="P6" s="387" t="s">
        <v>188</v>
      </c>
      <c r="Q6" s="392" t="s">
        <v>177</v>
      </c>
      <c r="R6" s="392" t="s">
        <v>187</v>
      </c>
      <c r="S6" s="387" t="s">
        <v>191</v>
      </c>
      <c r="T6" s="387" t="s">
        <v>180</v>
      </c>
      <c r="U6" s="387" t="s">
        <v>190</v>
      </c>
      <c r="V6" s="387" t="s">
        <v>167</v>
      </c>
      <c r="W6" s="387" t="s">
        <v>191</v>
      </c>
      <c r="X6" s="387"/>
      <c r="Y6" s="387" t="s">
        <v>178</v>
      </c>
      <c r="Z6" s="387" t="s">
        <v>175</v>
      </c>
      <c r="AA6" s="390" t="s">
        <v>211</v>
      </c>
      <c r="AB6" s="390" t="s">
        <v>195</v>
      </c>
      <c r="AC6" s="390" t="s">
        <v>209</v>
      </c>
      <c r="AD6" s="387" t="s">
        <v>215</v>
      </c>
      <c r="AE6" s="392" t="s">
        <v>196</v>
      </c>
      <c r="AF6" s="387" t="s">
        <v>215</v>
      </c>
      <c r="AG6" s="387" t="s">
        <v>213</v>
      </c>
      <c r="AH6" s="387" t="s">
        <v>236</v>
      </c>
      <c r="AI6" s="387" t="s">
        <v>205</v>
      </c>
      <c r="AJ6" s="387" t="s">
        <v>203</v>
      </c>
      <c r="AK6" s="387" t="s">
        <v>225</v>
      </c>
      <c r="AL6" s="387" t="s">
        <v>214</v>
      </c>
      <c r="AM6" s="387" t="s">
        <v>204</v>
      </c>
      <c r="AN6" s="387" t="s">
        <v>227</v>
      </c>
      <c r="AO6" s="387" t="s">
        <v>237</v>
      </c>
      <c r="AP6" s="387" t="s">
        <v>204</v>
      </c>
      <c r="AQ6" s="387" t="s">
        <v>241</v>
      </c>
      <c r="AR6" s="387" t="s">
        <v>242</v>
      </c>
      <c r="AS6" s="387" t="s">
        <v>179</v>
      </c>
      <c r="AT6" s="387" t="s">
        <v>243</v>
      </c>
      <c r="AU6" s="387" t="s">
        <v>215</v>
      </c>
    </row>
    <row r="7" customHeight="1" spans="1:47">
      <c r="A7" s="387" t="s">
        <v>184</v>
      </c>
      <c r="B7" s="387" t="s">
        <v>186</v>
      </c>
      <c r="C7" s="387" t="s">
        <v>177</v>
      </c>
      <c r="D7" s="387" t="s">
        <v>188</v>
      </c>
      <c r="E7" s="387" t="s">
        <v>191</v>
      </c>
      <c r="F7" s="388" t="s">
        <v>184</v>
      </c>
      <c r="G7" s="388" t="s">
        <v>242</v>
      </c>
      <c r="H7" s="388" t="s">
        <v>9</v>
      </c>
      <c r="I7" s="388" t="s">
        <v>178</v>
      </c>
      <c r="J7" s="388" t="s">
        <v>10</v>
      </c>
      <c r="K7" s="387" t="s">
        <v>4</v>
      </c>
      <c r="L7" s="387" t="s">
        <v>180</v>
      </c>
      <c r="M7" s="387" t="s">
        <v>185</v>
      </c>
      <c r="N7" s="387" t="s">
        <v>244</v>
      </c>
      <c r="O7" s="390" t="s">
        <v>165</v>
      </c>
      <c r="P7" s="387" t="s">
        <v>166</v>
      </c>
      <c r="Q7" s="392" t="s">
        <v>178</v>
      </c>
      <c r="R7" s="392" t="s">
        <v>167</v>
      </c>
      <c r="S7" s="387" t="s">
        <v>180</v>
      </c>
      <c r="T7" s="387" t="s">
        <v>9</v>
      </c>
      <c r="U7" s="387" t="s">
        <v>181</v>
      </c>
      <c r="V7" s="387" t="s">
        <v>187</v>
      </c>
      <c r="W7" s="387" t="s">
        <v>188</v>
      </c>
      <c r="X7" s="387"/>
      <c r="Y7" s="387" t="s">
        <v>191</v>
      </c>
      <c r="Z7" s="387" t="s">
        <v>190</v>
      </c>
      <c r="AA7" s="390" t="s">
        <v>172</v>
      </c>
      <c r="AB7" s="390" t="s">
        <v>186</v>
      </c>
      <c r="AC7" s="390" t="s">
        <v>186</v>
      </c>
      <c r="AD7" s="387" t="s">
        <v>177</v>
      </c>
      <c r="AE7" s="392" t="s">
        <v>166</v>
      </c>
      <c r="AF7" s="387" t="s">
        <v>190</v>
      </c>
      <c r="AG7" s="387" t="s">
        <v>174</v>
      </c>
      <c r="AH7" s="387" t="s">
        <v>181</v>
      </c>
      <c r="AI7" s="387" t="s">
        <v>9</v>
      </c>
      <c r="AJ7" s="387" t="s">
        <v>178</v>
      </c>
      <c r="AK7" s="387" t="s">
        <v>187</v>
      </c>
      <c r="AL7" s="387" t="s">
        <v>164</v>
      </c>
      <c r="AM7" s="387" t="s">
        <v>180</v>
      </c>
      <c r="AN7" s="387" t="s">
        <v>186</v>
      </c>
      <c r="AO7" s="387" t="s">
        <v>180</v>
      </c>
      <c r="AP7" s="387" t="s">
        <v>242</v>
      </c>
      <c r="AQ7" s="387" t="s">
        <v>245</v>
      </c>
      <c r="AR7" s="387" t="s">
        <v>10</v>
      </c>
      <c r="AS7" s="387" t="s">
        <v>230</v>
      </c>
      <c r="AT7" s="387" t="s">
        <v>164</v>
      </c>
      <c r="AU7" s="387" t="s">
        <v>246</v>
      </c>
    </row>
    <row r="8" customHeight="1" spans="1:47">
      <c r="A8" s="387" t="s">
        <v>165</v>
      </c>
      <c r="B8" s="387" t="s">
        <v>177</v>
      </c>
      <c r="C8" s="387" t="s">
        <v>178</v>
      </c>
      <c r="D8" s="387" t="s">
        <v>181</v>
      </c>
      <c r="E8" s="387" t="s">
        <v>172</v>
      </c>
      <c r="F8" s="388" t="s">
        <v>247</v>
      </c>
      <c r="G8" s="388" t="s">
        <v>204</v>
      </c>
      <c r="H8" s="388" t="s">
        <v>172</v>
      </c>
      <c r="I8" s="388" t="s">
        <v>165</v>
      </c>
      <c r="J8" s="388" t="s">
        <v>219</v>
      </c>
      <c r="K8" s="387" t="s">
        <v>199</v>
      </c>
      <c r="L8" s="387" t="s">
        <v>189</v>
      </c>
      <c r="M8" s="387" t="s">
        <v>174</v>
      </c>
      <c r="N8" s="387" t="s">
        <v>248</v>
      </c>
      <c r="O8" s="390" t="s">
        <v>166</v>
      </c>
      <c r="P8" s="387" t="s">
        <v>176</v>
      </c>
      <c r="Q8" s="392" t="s">
        <v>167</v>
      </c>
      <c r="R8" s="392" t="s">
        <v>9</v>
      </c>
      <c r="S8" s="387" t="s">
        <v>178</v>
      </c>
      <c r="T8" s="387" t="s">
        <v>177</v>
      </c>
      <c r="U8" s="387" t="s">
        <v>188</v>
      </c>
      <c r="V8" s="387" t="s">
        <v>186</v>
      </c>
      <c r="W8" s="387" t="s">
        <v>187</v>
      </c>
      <c r="X8" s="387"/>
      <c r="Y8" s="387" t="s">
        <v>179</v>
      </c>
      <c r="Z8" s="387" t="s">
        <v>191</v>
      </c>
      <c r="AA8" s="390" t="s">
        <v>187</v>
      </c>
      <c r="AB8" s="390" t="s">
        <v>191</v>
      </c>
      <c r="AC8" s="390" t="s">
        <v>176</v>
      </c>
      <c r="AD8" s="387" t="s">
        <v>187</v>
      </c>
      <c r="AE8" s="392" t="s">
        <v>178</v>
      </c>
      <c r="AF8" s="387" t="s">
        <v>179</v>
      </c>
      <c r="AG8" s="387" t="s">
        <v>185</v>
      </c>
      <c r="AH8" s="387" t="s">
        <v>172</v>
      </c>
      <c r="AI8" s="387" t="s">
        <v>188</v>
      </c>
      <c r="AJ8" s="387" t="s">
        <v>167</v>
      </c>
      <c r="AK8" s="387" t="s">
        <v>166</v>
      </c>
      <c r="AL8" s="387" t="s">
        <v>184</v>
      </c>
      <c r="AM8" s="387" t="s">
        <v>181</v>
      </c>
      <c r="AN8" s="387" t="s">
        <v>177</v>
      </c>
      <c r="AO8" s="387" t="s">
        <v>191</v>
      </c>
      <c r="AP8" s="387" t="s">
        <v>249</v>
      </c>
      <c r="AQ8" s="387" t="s">
        <v>250</v>
      </c>
      <c r="AR8" s="387" t="s">
        <v>168</v>
      </c>
      <c r="AS8" s="387" t="s">
        <v>209</v>
      </c>
      <c r="AT8" s="387" t="s">
        <v>251</v>
      </c>
      <c r="AU8" s="387" t="s">
        <v>252</v>
      </c>
    </row>
    <row r="9" customHeight="1" spans="1:47">
      <c r="A9" s="387" t="s">
        <v>181</v>
      </c>
      <c r="B9" s="387" t="s">
        <v>166</v>
      </c>
      <c r="C9" s="387" t="s">
        <v>188</v>
      </c>
      <c r="D9" s="387" t="s">
        <v>175</v>
      </c>
      <c r="E9" s="387" t="s">
        <v>190</v>
      </c>
      <c r="F9" s="388" t="s">
        <v>190</v>
      </c>
      <c r="G9" s="388" t="s">
        <v>226</v>
      </c>
      <c r="H9" s="388" t="s">
        <v>174</v>
      </c>
      <c r="I9" s="388" t="s">
        <v>247</v>
      </c>
      <c r="J9" s="388" t="s">
        <v>226</v>
      </c>
      <c r="K9" s="387" t="s">
        <v>204</v>
      </c>
      <c r="L9" s="387" t="s">
        <v>187</v>
      </c>
      <c r="M9" s="387" t="s">
        <v>186</v>
      </c>
      <c r="N9" s="387" t="s">
        <v>253</v>
      </c>
      <c r="O9" s="390" t="s">
        <v>177</v>
      </c>
      <c r="P9" s="387" t="s">
        <v>179</v>
      </c>
      <c r="Q9" s="392" t="s">
        <v>188</v>
      </c>
      <c r="R9" s="392" t="s">
        <v>180</v>
      </c>
      <c r="S9" s="387" t="s">
        <v>174</v>
      </c>
      <c r="T9" s="387" t="s">
        <v>172</v>
      </c>
      <c r="U9" s="387" t="s">
        <v>184</v>
      </c>
      <c r="V9" s="387" t="s">
        <v>190</v>
      </c>
      <c r="W9" s="387" t="s">
        <v>165</v>
      </c>
      <c r="X9" s="387"/>
      <c r="Y9" s="387" t="s">
        <v>174</v>
      </c>
      <c r="Z9" s="387" t="s">
        <v>174</v>
      </c>
      <c r="AA9" s="390" t="s">
        <v>166</v>
      </c>
      <c r="AB9" s="390" t="s">
        <v>188</v>
      </c>
      <c r="AC9" s="390" t="s">
        <v>9</v>
      </c>
      <c r="AD9" s="387" t="s">
        <v>188</v>
      </c>
      <c r="AE9" s="392" t="s">
        <v>181</v>
      </c>
      <c r="AF9" s="387" t="s">
        <v>175</v>
      </c>
      <c r="AG9" s="387" t="s">
        <v>167</v>
      </c>
      <c r="AH9" s="387" t="s">
        <v>174</v>
      </c>
      <c r="AI9" s="387" t="s">
        <v>190</v>
      </c>
      <c r="AJ9" s="387" t="s">
        <v>191</v>
      </c>
      <c r="AK9" s="387" t="s">
        <v>180</v>
      </c>
      <c r="AL9" s="387" t="s">
        <v>178</v>
      </c>
      <c r="AM9" s="387" t="s">
        <v>179</v>
      </c>
      <c r="AN9" s="387" t="s">
        <v>172</v>
      </c>
      <c r="AO9" s="387" t="s">
        <v>185</v>
      </c>
      <c r="AP9" s="387" t="s">
        <v>254</v>
      </c>
      <c r="AQ9" s="387" t="s">
        <v>255</v>
      </c>
      <c r="AR9" s="387" t="s">
        <v>189</v>
      </c>
      <c r="AS9" s="387" t="s">
        <v>229</v>
      </c>
      <c r="AT9" s="387" t="s">
        <v>256</v>
      </c>
      <c r="AU9" s="387" t="s">
        <v>164</v>
      </c>
    </row>
    <row r="10" customHeight="1" spans="1:47">
      <c r="A10" s="387" t="s">
        <v>31</v>
      </c>
      <c r="B10" s="387" t="s">
        <v>170</v>
      </c>
      <c r="C10" s="387" t="s">
        <v>186</v>
      </c>
      <c r="D10" s="387" t="s">
        <v>180</v>
      </c>
      <c r="E10" s="387" t="s">
        <v>257</v>
      </c>
      <c r="F10" s="387" t="s">
        <v>9</v>
      </c>
      <c r="G10" s="387" t="s">
        <v>3</v>
      </c>
      <c r="H10" s="387" t="s">
        <v>166</v>
      </c>
      <c r="I10" s="387" t="s">
        <v>166</v>
      </c>
      <c r="J10" s="387" t="s">
        <v>164</v>
      </c>
      <c r="K10" s="387" t="s">
        <v>5</v>
      </c>
      <c r="L10" s="387" t="s">
        <v>168</v>
      </c>
      <c r="M10" s="387" t="s">
        <v>164</v>
      </c>
      <c r="N10" s="387" t="s">
        <v>200</v>
      </c>
      <c r="O10" s="387" t="s">
        <v>185</v>
      </c>
      <c r="P10" s="387" t="s">
        <v>173</v>
      </c>
      <c r="Q10" s="387" t="s">
        <v>174</v>
      </c>
      <c r="R10" s="387" t="s">
        <v>186</v>
      </c>
      <c r="S10" s="387" t="s">
        <v>258</v>
      </c>
      <c r="T10" s="387" t="s">
        <v>166</v>
      </c>
      <c r="U10" s="387" t="s">
        <v>234</v>
      </c>
      <c r="V10" s="387" t="s">
        <v>175</v>
      </c>
      <c r="W10" s="387" t="s">
        <v>190</v>
      </c>
      <c r="X10" s="387"/>
      <c r="Y10" s="387" t="s">
        <v>170</v>
      </c>
      <c r="Z10" s="387" t="s">
        <v>172</v>
      </c>
      <c r="AA10" s="387" t="s">
        <v>259</v>
      </c>
      <c r="AB10" s="387" t="s">
        <v>187</v>
      </c>
      <c r="AC10" s="387" t="s">
        <v>170</v>
      </c>
      <c r="AD10" s="387" t="s">
        <v>260</v>
      </c>
      <c r="AE10" s="387" t="s">
        <v>175</v>
      </c>
      <c r="AF10" s="387" t="s">
        <v>9</v>
      </c>
      <c r="AG10" s="387" t="s">
        <v>242</v>
      </c>
      <c r="AH10" s="387" t="s">
        <v>191</v>
      </c>
      <c r="AI10" s="387" t="s">
        <v>184</v>
      </c>
      <c r="AJ10" s="387" t="s">
        <v>193</v>
      </c>
      <c r="AK10" s="387" t="s">
        <v>192</v>
      </c>
      <c r="AL10" s="387" t="s">
        <v>195</v>
      </c>
      <c r="AM10" s="387" t="s">
        <v>167</v>
      </c>
      <c r="AN10" s="387" t="s">
        <v>225</v>
      </c>
      <c r="AO10" s="387" t="s">
        <v>200</v>
      </c>
      <c r="AP10" s="387" t="s">
        <v>199</v>
      </c>
      <c r="AQ10" s="387" t="s">
        <v>5</v>
      </c>
      <c r="AR10" s="387" t="s">
        <v>4</v>
      </c>
      <c r="AS10" s="387" t="s">
        <v>261</v>
      </c>
      <c r="AT10" s="387" t="s">
        <v>4</v>
      </c>
      <c r="AU10" s="387" t="s">
        <v>262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86"/>
  <sheetViews>
    <sheetView workbookViewId="0">
      <pane ySplit="1" topLeftCell="A39" activePane="bottomLeft" state="frozen"/>
      <selection/>
      <selection pane="bottomLeft" activeCell="C46" sqref="C46:H46"/>
    </sheetView>
  </sheetViews>
  <sheetFormatPr defaultColWidth="8.625" defaultRowHeight="15" customHeight="1"/>
  <cols>
    <col min="1" max="1" width="15.625" style="23" customWidth="1"/>
    <col min="2" max="9" width="10.625" style="23" customWidth="1"/>
    <col min="10" max="16384" width="8.625" style="23"/>
  </cols>
  <sheetData>
    <row r="1" customHeight="1" spans="1:9">
      <c r="A1" s="26" t="s">
        <v>263</v>
      </c>
      <c r="B1" s="375" t="s">
        <v>264</v>
      </c>
      <c r="C1" s="375" t="s">
        <v>265</v>
      </c>
      <c r="D1" s="376" t="s">
        <v>266</v>
      </c>
      <c r="E1" s="375" t="s">
        <v>267</v>
      </c>
      <c r="F1" s="377" t="s">
        <v>268</v>
      </c>
      <c r="G1" s="377" t="s">
        <v>269</v>
      </c>
      <c r="H1" s="377" t="s">
        <v>270</v>
      </c>
      <c r="I1" s="375" t="s">
        <v>271</v>
      </c>
    </row>
    <row r="2" customHeight="1" spans="1:9">
      <c r="A2" s="375" t="s">
        <v>272</v>
      </c>
      <c r="B2" s="376" t="s">
        <v>273</v>
      </c>
      <c r="C2" s="376" t="str">
        <f t="shared" ref="C2" si="0">IF(ISNUMBER(D2)=FALSE,"辅","攻")</f>
        <v>攻</v>
      </c>
      <c r="D2" s="376">
        <v>26</v>
      </c>
      <c r="E2" s="376" t="s">
        <v>274</v>
      </c>
      <c r="F2" s="376"/>
      <c r="G2" s="376"/>
      <c r="H2" s="376"/>
      <c r="I2" s="376">
        <v>5</v>
      </c>
    </row>
    <row r="3" customHeight="1" spans="1:9">
      <c r="A3" s="375" t="s">
        <v>275</v>
      </c>
      <c r="B3" s="376" t="s">
        <v>273</v>
      </c>
      <c r="C3" s="376" t="str">
        <f t="shared" ref="C3:C24" si="1">IF(ISNUMBER(D3)=FALSE,"辅","攻")</f>
        <v>攻</v>
      </c>
      <c r="D3" s="376">
        <v>7</v>
      </c>
      <c r="E3" s="376" t="s">
        <v>274</v>
      </c>
      <c r="F3" s="376"/>
      <c r="G3" s="376"/>
      <c r="H3" s="376"/>
      <c r="I3" s="376">
        <v>11</v>
      </c>
    </row>
    <row r="4" customHeight="1" spans="1:9">
      <c r="A4" s="375" t="s">
        <v>276</v>
      </c>
      <c r="B4" s="376" t="s">
        <v>273</v>
      </c>
      <c r="C4" s="376" t="str">
        <f t="shared" si="1"/>
        <v>攻</v>
      </c>
      <c r="D4" s="376">
        <v>20</v>
      </c>
      <c r="E4" s="376" t="s">
        <v>274</v>
      </c>
      <c r="F4" s="376"/>
      <c r="G4" s="376"/>
      <c r="H4" s="376"/>
      <c r="I4" s="376">
        <v>6</v>
      </c>
    </row>
    <row r="5" customHeight="1" spans="1:9">
      <c r="A5" s="375" t="s">
        <v>277</v>
      </c>
      <c r="B5" s="376" t="s">
        <v>273</v>
      </c>
      <c r="C5" s="376" t="str">
        <f t="shared" si="1"/>
        <v>攻</v>
      </c>
      <c r="D5" s="376">
        <v>12</v>
      </c>
      <c r="E5" s="376" t="s">
        <v>274</v>
      </c>
      <c r="F5" s="376"/>
      <c r="G5" s="376"/>
      <c r="H5" s="376"/>
      <c r="I5" s="376">
        <v>9</v>
      </c>
    </row>
    <row r="6" customHeight="1" spans="1:9">
      <c r="A6" s="375" t="s">
        <v>278</v>
      </c>
      <c r="B6" s="376" t="s">
        <v>273</v>
      </c>
      <c r="C6" s="376" t="str">
        <f t="shared" si="1"/>
        <v>攻</v>
      </c>
      <c r="D6" s="376">
        <v>27</v>
      </c>
      <c r="E6" s="376" t="s">
        <v>274</v>
      </c>
      <c r="F6" s="376"/>
      <c r="G6" s="376"/>
      <c r="H6" s="376"/>
      <c r="I6" s="376">
        <v>5</v>
      </c>
    </row>
    <row r="7" customHeight="1" spans="1:9">
      <c r="A7" s="375" t="s">
        <v>279</v>
      </c>
      <c r="B7" s="376" t="s">
        <v>273</v>
      </c>
      <c r="C7" s="376" t="str">
        <f t="shared" si="1"/>
        <v>攻</v>
      </c>
      <c r="D7" s="376">
        <v>13</v>
      </c>
      <c r="E7" s="376" t="s">
        <v>274</v>
      </c>
      <c r="F7" s="376"/>
      <c r="G7" s="376"/>
      <c r="H7" s="376"/>
      <c r="I7" s="376">
        <v>7</v>
      </c>
    </row>
    <row r="8" customHeight="1" spans="1:9">
      <c r="A8" s="375" t="s">
        <v>280</v>
      </c>
      <c r="B8" s="376" t="s">
        <v>273</v>
      </c>
      <c r="C8" s="376" t="str">
        <f t="shared" si="1"/>
        <v>攻</v>
      </c>
      <c r="D8" s="376">
        <v>9</v>
      </c>
      <c r="E8" s="376" t="s">
        <v>274</v>
      </c>
      <c r="F8" s="376"/>
      <c r="G8" s="376"/>
      <c r="H8" s="376"/>
      <c r="I8" s="376">
        <v>11</v>
      </c>
    </row>
    <row r="9" customHeight="1" spans="1:9">
      <c r="A9" s="375" t="s">
        <v>281</v>
      </c>
      <c r="B9" s="376" t="s">
        <v>273</v>
      </c>
      <c r="C9" s="376" t="str">
        <f t="shared" si="1"/>
        <v>攻</v>
      </c>
      <c r="D9" s="376">
        <v>16</v>
      </c>
      <c r="E9" s="376" t="s">
        <v>274</v>
      </c>
      <c r="F9" s="376"/>
      <c r="G9" s="376"/>
      <c r="H9" s="376"/>
      <c r="I9" s="376">
        <v>6</v>
      </c>
    </row>
    <row r="10" customHeight="1" spans="1:9">
      <c r="A10" s="375" t="s">
        <v>282</v>
      </c>
      <c r="B10" s="376" t="s">
        <v>273</v>
      </c>
      <c r="C10" s="376" t="str">
        <f t="shared" si="1"/>
        <v>攻</v>
      </c>
      <c r="D10" s="376">
        <v>23</v>
      </c>
      <c r="E10" s="376" t="s">
        <v>274</v>
      </c>
      <c r="F10" s="376"/>
      <c r="G10" s="376"/>
      <c r="H10" s="376"/>
      <c r="I10" s="376">
        <v>5</v>
      </c>
    </row>
    <row r="11" customHeight="1" spans="1:9">
      <c r="A11" s="375" t="s">
        <v>283</v>
      </c>
      <c r="B11" s="376" t="s">
        <v>273</v>
      </c>
      <c r="C11" s="376" t="str">
        <f t="shared" si="1"/>
        <v>攻</v>
      </c>
      <c r="D11" s="376">
        <v>10</v>
      </c>
      <c r="E11" s="376" t="s">
        <v>274</v>
      </c>
      <c r="F11" s="376"/>
      <c r="G11" s="376"/>
      <c r="H11" s="376"/>
      <c r="I11" s="376">
        <v>6</v>
      </c>
    </row>
    <row r="12" customHeight="1" spans="1:9">
      <c r="A12" s="375" t="s">
        <v>284</v>
      </c>
      <c r="B12" s="376" t="s">
        <v>285</v>
      </c>
      <c r="C12" s="376" t="str">
        <f t="shared" si="1"/>
        <v>攻</v>
      </c>
      <c r="D12" s="376">
        <v>11</v>
      </c>
      <c r="E12" s="376" t="s">
        <v>274</v>
      </c>
      <c r="F12" s="376"/>
      <c r="G12" s="376"/>
      <c r="H12" s="376"/>
      <c r="I12" s="376">
        <v>6</v>
      </c>
    </row>
    <row r="13" customHeight="1" spans="1:9">
      <c r="A13" s="375" t="s">
        <v>286</v>
      </c>
      <c r="B13" s="376" t="s">
        <v>285</v>
      </c>
      <c r="C13" s="376" t="str">
        <f t="shared" si="1"/>
        <v>攻</v>
      </c>
      <c r="D13" s="376">
        <v>3</v>
      </c>
      <c r="E13" s="376" t="s">
        <v>274</v>
      </c>
      <c r="F13" s="376"/>
      <c r="G13" s="376"/>
      <c r="H13" s="376"/>
      <c r="I13" s="376">
        <v>8</v>
      </c>
    </row>
    <row r="14" customHeight="1" spans="1:9">
      <c r="A14" s="375" t="s">
        <v>287</v>
      </c>
      <c r="B14" s="376" t="s">
        <v>285</v>
      </c>
      <c r="C14" s="376" t="str">
        <f t="shared" si="1"/>
        <v>攻</v>
      </c>
      <c r="D14" s="376">
        <v>3</v>
      </c>
      <c r="E14" s="376" t="s">
        <v>274</v>
      </c>
      <c r="F14" s="376"/>
      <c r="G14" s="376"/>
      <c r="H14" s="376"/>
      <c r="I14" s="376">
        <v>8</v>
      </c>
    </row>
    <row r="15" customHeight="1" spans="1:9">
      <c r="A15" s="375" t="s">
        <v>288</v>
      </c>
      <c r="B15" s="376" t="s">
        <v>285</v>
      </c>
      <c r="C15" s="376" t="str">
        <f t="shared" si="1"/>
        <v>攻</v>
      </c>
      <c r="D15" s="376">
        <v>3</v>
      </c>
      <c r="E15" s="376" t="s">
        <v>274</v>
      </c>
      <c r="F15" s="376"/>
      <c r="G15" s="376"/>
      <c r="H15" s="376"/>
      <c r="I15" s="376">
        <v>8</v>
      </c>
    </row>
    <row r="16" customHeight="1" spans="1:9">
      <c r="A16" s="375" t="s">
        <v>289</v>
      </c>
      <c r="B16" s="376" t="s">
        <v>285</v>
      </c>
      <c r="C16" s="376" t="str">
        <f t="shared" si="1"/>
        <v>攻</v>
      </c>
      <c r="D16" s="376">
        <v>8</v>
      </c>
      <c r="E16" s="376" t="s">
        <v>274</v>
      </c>
      <c r="F16" s="376"/>
      <c r="G16" s="376"/>
      <c r="H16" s="376"/>
      <c r="I16" s="376">
        <v>9</v>
      </c>
    </row>
    <row r="17" customHeight="1" spans="1:9">
      <c r="A17" s="375" t="s">
        <v>290</v>
      </c>
      <c r="B17" s="376" t="s">
        <v>285</v>
      </c>
      <c r="C17" s="376" t="str">
        <f t="shared" si="1"/>
        <v>攻</v>
      </c>
      <c r="D17" s="376">
        <v>8</v>
      </c>
      <c r="E17" s="376" t="s">
        <v>274</v>
      </c>
      <c r="F17" s="376"/>
      <c r="G17" s="376"/>
      <c r="H17" s="376"/>
      <c r="I17" s="376">
        <v>9</v>
      </c>
    </row>
    <row r="18" customHeight="1" spans="1:9">
      <c r="A18" s="375" t="s">
        <v>291</v>
      </c>
      <c r="B18" s="376" t="s">
        <v>292</v>
      </c>
      <c r="C18" s="376" t="str">
        <f t="shared" si="1"/>
        <v>攻</v>
      </c>
      <c r="D18" s="376">
        <v>18</v>
      </c>
      <c r="E18" s="376" t="s">
        <v>293</v>
      </c>
      <c r="F18" s="376"/>
      <c r="G18" s="376"/>
      <c r="H18" s="376"/>
      <c r="I18" s="376">
        <v>4</v>
      </c>
    </row>
    <row r="19" customHeight="1" spans="1:9">
      <c r="A19" s="375" t="s">
        <v>294</v>
      </c>
      <c r="B19" s="376" t="s">
        <v>292</v>
      </c>
      <c r="C19" s="376" t="str">
        <f t="shared" si="1"/>
        <v>攻</v>
      </c>
      <c r="D19" s="376">
        <v>25</v>
      </c>
      <c r="E19" s="376" t="s">
        <v>293</v>
      </c>
      <c r="F19" s="376"/>
      <c r="G19" s="376"/>
      <c r="H19" s="376"/>
      <c r="I19" s="376">
        <v>3</v>
      </c>
    </row>
    <row r="20" customHeight="1" spans="1:9">
      <c r="A20" s="375" t="s">
        <v>295</v>
      </c>
      <c r="B20" s="376" t="s">
        <v>292</v>
      </c>
      <c r="C20" s="376" t="str">
        <f t="shared" si="1"/>
        <v>攻</v>
      </c>
      <c r="D20" s="376">
        <v>71</v>
      </c>
      <c r="E20" s="376" t="s">
        <v>274</v>
      </c>
      <c r="F20" s="376"/>
      <c r="G20" s="376"/>
      <c r="H20" s="376"/>
      <c r="I20" s="376">
        <v>19</v>
      </c>
    </row>
    <row r="21" customHeight="1" spans="1:9">
      <c r="A21" s="375" t="s">
        <v>296</v>
      </c>
      <c r="B21" s="376" t="s">
        <v>292</v>
      </c>
      <c r="C21" s="376" t="str">
        <f t="shared" si="1"/>
        <v>攻</v>
      </c>
      <c r="D21" s="376">
        <v>52</v>
      </c>
      <c r="E21" s="376" t="s">
        <v>274</v>
      </c>
      <c r="F21" s="376"/>
      <c r="G21" s="376"/>
      <c r="H21" s="376"/>
      <c r="I21" s="376">
        <v>25</v>
      </c>
    </row>
    <row r="22" customHeight="1" spans="1:9">
      <c r="A22" s="375" t="s">
        <v>297</v>
      </c>
      <c r="B22" s="376" t="s">
        <v>292</v>
      </c>
      <c r="C22" s="376" t="str">
        <f t="shared" si="1"/>
        <v>攻</v>
      </c>
      <c r="D22" s="376">
        <v>68</v>
      </c>
      <c r="E22" s="376" t="s">
        <v>274</v>
      </c>
      <c r="F22" s="376"/>
      <c r="G22" s="376"/>
      <c r="H22" s="376"/>
      <c r="I22" s="376">
        <v>25</v>
      </c>
    </row>
    <row r="23" customHeight="1" spans="1:9">
      <c r="A23" s="375" t="s">
        <v>298</v>
      </c>
      <c r="B23" s="376" t="s">
        <v>292</v>
      </c>
      <c r="C23" s="376" t="str">
        <f t="shared" si="1"/>
        <v>攻</v>
      </c>
      <c r="D23" s="376">
        <v>20</v>
      </c>
      <c r="E23" s="376" t="s">
        <v>293</v>
      </c>
      <c r="F23" s="376"/>
      <c r="G23" s="376"/>
      <c r="H23" s="376"/>
      <c r="I23" s="376">
        <v>4</v>
      </c>
    </row>
    <row r="24" customHeight="1" spans="1:9">
      <c r="A24" s="375" t="s">
        <v>299</v>
      </c>
      <c r="B24" s="376" t="s">
        <v>292</v>
      </c>
      <c r="C24" s="376" t="str">
        <f t="shared" si="1"/>
        <v>攻</v>
      </c>
      <c r="D24" s="376">
        <v>50</v>
      </c>
      <c r="E24" s="376" t="s">
        <v>274</v>
      </c>
      <c r="F24" s="376"/>
      <c r="G24" s="376"/>
      <c r="H24" s="376"/>
      <c r="I24" s="376">
        <v>23</v>
      </c>
    </row>
    <row r="25" customHeight="1" spans="1:9">
      <c r="A25" s="375" t="s">
        <v>300</v>
      </c>
      <c r="B25" s="376" t="s">
        <v>292</v>
      </c>
      <c r="C25" s="376" t="s">
        <v>20</v>
      </c>
      <c r="D25" s="376">
        <v>59</v>
      </c>
      <c r="E25" s="376" t="s">
        <v>274</v>
      </c>
      <c r="F25" s="376"/>
      <c r="G25" s="376"/>
      <c r="H25" s="376"/>
      <c r="I25" s="376">
        <v>19</v>
      </c>
    </row>
    <row r="26" customHeight="1" spans="1:9">
      <c r="A26" s="375" t="s">
        <v>301</v>
      </c>
      <c r="B26" s="376" t="s">
        <v>302</v>
      </c>
      <c r="C26" s="376" t="str">
        <f t="shared" ref="C26" si="2">IF(ISNUMBER(D26)=FALSE,"辅","攻")</f>
        <v>攻</v>
      </c>
      <c r="D26" s="376">
        <v>30</v>
      </c>
      <c r="E26" s="376" t="s">
        <v>293</v>
      </c>
      <c r="F26" s="376"/>
      <c r="G26" s="376"/>
      <c r="H26" s="376"/>
      <c r="I26" s="376">
        <v>6</v>
      </c>
    </row>
    <row r="27" customHeight="1" spans="1:9">
      <c r="A27" s="375" t="s">
        <v>303</v>
      </c>
      <c r="B27" s="376" t="s">
        <v>292</v>
      </c>
      <c r="C27" s="376" t="str">
        <f t="shared" ref="C27:C40" si="3">IF(ISNUMBER(D27)=FALSE,"辅","攻")</f>
        <v>攻</v>
      </c>
      <c r="D27" s="376">
        <v>56</v>
      </c>
      <c r="E27" s="376" t="s">
        <v>274</v>
      </c>
      <c r="F27" s="376"/>
      <c r="G27" s="376"/>
      <c r="H27" s="376"/>
      <c r="I27" s="376">
        <v>23</v>
      </c>
    </row>
    <row r="28" customHeight="1" spans="1:9">
      <c r="A28" s="375" t="s">
        <v>304</v>
      </c>
      <c r="B28" s="376" t="s">
        <v>302</v>
      </c>
      <c r="C28" s="376" t="str">
        <f t="shared" si="3"/>
        <v>攻</v>
      </c>
      <c r="D28" s="376">
        <v>16</v>
      </c>
      <c r="E28" s="376" t="s">
        <v>274</v>
      </c>
      <c r="F28" s="376"/>
      <c r="G28" s="376"/>
      <c r="H28" s="376"/>
      <c r="I28" s="376">
        <v>3</v>
      </c>
    </row>
    <row r="29" customHeight="1" spans="1:9">
      <c r="A29" s="375" t="s">
        <v>305</v>
      </c>
      <c r="B29" s="376" t="s">
        <v>302</v>
      </c>
      <c r="C29" s="376" t="str">
        <f t="shared" si="3"/>
        <v>攻</v>
      </c>
      <c r="D29" s="376">
        <v>45</v>
      </c>
      <c r="E29" s="376" t="s">
        <v>274</v>
      </c>
      <c r="F29" s="376"/>
      <c r="G29" s="376"/>
      <c r="H29" s="376"/>
      <c r="I29" s="376">
        <v>10</v>
      </c>
    </row>
    <row r="30" customHeight="1" spans="1:9">
      <c r="A30" s="375" t="s">
        <v>306</v>
      </c>
      <c r="B30" s="376" t="s">
        <v>302</v>
      </c>
      <c r="C30" s="376" t="str">
        <f t="shared" si="3"/>
        <v>攻</v>
      </c>
      <c r="D30" s="376">
        <v>13</v>
      </c>
      <c r="E30" s="376" t="s">
        <v>293</v>
      </c>
      <c r="F30" s="376"/>
      <c r="G30" s="376"/>
      <c r="H30" s="376"/>
      <c r="I30" s="376">
        <v>3</v>
      </c>
    </row>
    <row r="31" customHeight="1" spans="1:9">
      <c r="A31" s="375" t="s">
        <v>307</v>
      </c>
      <c r="B31" s="376" t="s">
        <v>302</v>
      </c>
      <c r="C31" s="376" t="str">
        <f t="shared" si="3"/>
        <v>攻</v>
      </c>
      <c r="D31" s="376">
        <v>16</v>
      </c>
      <c r="E31" s="376" t="s">
        <v>293</v>
      </c>
      <c r="F31" s="376"/>
      <c r="G31" s="376"/>
      <c r="H31" s="376"/>
      <c r="I31" s="376">
        <v>2</v>
      </c>
    </row>
    <row r="32" customHeight="1" spans="1:9">
      <c r="A32" s="375" t="s">
        <v>308</v>
      </c>
      <c r="B32" s="376" t="s">
        <v>302</v>
      </c>
      <c r="C32" s="376" t="str">
        <f t="shared" si="3"/>
        <v>攻</v>
      </c>
      <c r="D32" s="376">
        <v>30</v>
      </c>
      <c r="E32" s="376" t="s">
        <v>274</v>
      </c>
      <c r="F32" s="376"/>
      <c r="G32" s="376"/>
      <c r="H32" s="376"/>
      <c r="I32" s="376">
        <v>7</v>
      </c>
    </row>
    <row r="33" customHeight="1" spans="1:9">
      <c r="A33" s="375" t="s">
        <v>309</v>
      </c>
      <c r="B33" s="376" t="s">
        <v>302</v>
      </c>
      <c r="C33" s="376" t="str">
        <f t="shared" si="3"/>
        <v>攻</v>
      </c>
      <c r="D33" s="376">
        <v>33</v>
      </c>
      <c r="E33" s="376" t="s">
        <v>274</v>
      </c>
      <c r="F33" s="376"/>
      <c r="G33" s="376"/>
      <c r="H33" s="376"/>
      <c r="I33" s="376">
        <v>7</v>
      </c>
    </row>
    <row r="34" customHeight="1" spans="1:9">
      <c r="A34" s="375" t="s">
        <v>310</v>
      </c>
      <c r="B34" s="376" t="s">
        <v>302</v>
      </c>
      <c r="C34" s="376" t="str">
        <f t="shared" si="3"/>
        <v>攻</v>
      </c>
      <c r="D34" s="376">
        <v>40</v>
      </c>
      <c r="E34" s="376" t="s">
        <v>274</v>
      </c>
      <c r="F34" s="376"/>
      <c r="G34" s="376"/>
      <c r="H34" s="376"/>
      <c r="I34" s="376">
        <v>11</v>
      </c>
    </row>
    <row r="35" customHeight="1" spans="1:9">
      <c r="A35" s="375" t="s">
        <v>311</v>
      </c>
      <c r="B35" s="376" t="s">
        <v>302</v>
      </c>
      <c r="C35" s="376" t="str">
        <f t="shared" si="3"/>
        <v>攻</v>
      </c>
      <c r="D35" s="376">
        <v>32</v>
      </c>
      <c r="E35" s="376" t="s">
        <v>274</v>
      </c>
      <c r="F35" s="376"/>
      <c r="G35" s="376"/>
      <c r="H35" s="376"/>
      <c r="I35" s="376">
        <v>12</v>
      </c>
    </row>
    <row r="36" customHeight="1" spans="1:9">
      <c r="A36" s="375" t="s">
        <v>312</v>
      </c>
      <c r="B36" s="376" t="s">
        <v>302</v>
      </c>
      <c r="C36" s="376" t="str">
        <f t="shared" si="3"/>
        <v>攻</v>
      </c>
      <c r="D36" s="376">
        <v>36</v>
      </c>
      <c r="E36" s="376" t="s">
        <v>274</v>
      </c>
      <c r="F36" s="376"/>
      <c r="G36" s="376"/>
      <c r="H36" s="376"/>
      <c r="I36" s="376">
        <v>13</v>
      </c>
    </row>
    <row r="37" customHeight="1" spans="1:9">
      <c r="A37" s="375" t="s">
        <v>313</v>
      </c>
      <c r="B37" s="376" t="s">
        <v>302</v>
      </c>
      <c r="C37" s="376" t="str">
        <f t="shared" si="3"/>
        <v>攻</v>
      </c>
      <c r="D37" s="376">
        <v>42</v>
      </c>
      <c r="E37" s="376" t="s">
        <v>274</v>
      </c>
      <c r="F37" s="376"/>
      <c r="G37" s="376"/>
      <c r="H37" s="376"/>
      <c r="I37" s="376">
        <v>13</v>
      </c>
    </row>
    <row r="38" customHeight="1" spans="1:9">
      <c r="A38" s="375" t="s">
        <v>314</v>
      </c>
      <c r="B38" s="376" t="s">
        <v>302</v>
      </c>
      <c r="C38" s="376" t="str">
        <f t="shared" si="3"/>
        <v>攻</v>
      </c>
      <c r="D38" s="376">
        <v>28</v>
      </c>
      <c r="E38" s="376" t="s">
        <v>274</v>
      </c>
      <c r="F38" s="376"/>
      <c r="G38" s="376"/>
      <c r="H38" s="376"/>
      <c r="I38" s="376">
        <v>8</v>
      </c>
    </row>
    <row r="39" customHeight="1" spans="1:9">
      <c r="A39" s="375" t="s">
        <v>315</v>
      </c>
      <c r="B39" s="376" t="s">
        <v>302</v>
      </c>
      <c r="C39" s="376" t="str">
        <f t="shared" si="3"/>
        <v>攻</v>
      </c>
      <c r="D39" s="376">
        <v>10</v>
      </c>
      <c r="E39" s="376" t="s">
        <v>293</v>
      </c>
      <c r="F39" s="376"/>
      <c r="G39" s="376"/>
      <c r="H39" s="376"/>
      <c r="I39" s="376">
        <v>1</v>
      </c>
    </row>
    <row r="40" customHeight="1" spans="1:9">
      <c r="A40" s="375" t="s">
        <v>316</v>
      </c>
      <c r="B40" s="376" t="s">
        <v>302</v>
      </c>
      <c r="C40" s="376" t="str">
        <f t="shared" si="3"/>
        <v>攻</v>
      </c>
      <c r="D40" s="376">
        <v>39</v>
      </c>
      <c r="E40" s="376" t="s">
        <v>274</v>
      </c>
      <c r="F40" s="376"/>
      <c r="G40" s="376"/>
      <c r="H40" s="376"/>
      <c r="I40" s="376">
        <v>10</v>
      </c>
    </row>
    <row r="41" customHeight="1" spans="1:9">
      <c r="A41" s="375" t="s">
        <v>317</v>
      </c>
      <c r="B41" s="376" t="s">
        <v>292</v>
      </c>
      <c r="C41" s="376" t="s">
        <v>20</v>
      </c>
      <c r="D41" s="376">
        <v>40</v>
      </c>
      <c r="E41" s="376" t="s">
        <v>274</v>
      </c>
      <c r="F41" s="376"/>
      <c r="G41" s="376"/>
      <c r="H41" s="376"/>
      <c r="I41" s="376">
        <v>3</v>
      </c>
    </row>
    <row r="42" customHeight="1" spans="1:9">
      <c r="A42" s="375" t="s">
        <v>318</v>
      </c>
      <c r="B42" s="376" t="s">
        <v>292</v>
      </c>
      <c r="C42" s="376" t="s">
        <v>20</v>
      </c>
      <c r="D42" s="376">
        <v>30</v>
      </c>
      <c r="E42" s="376" t="s">
        <v>293</v>
      </c>
      <c r="F42" s="376"/>
      <c r="G42" s="378"/>
      <c r="H42" s="376"/>
      <c r="I42" s="376">
        <v>6</v>
      </c>
    </row>
    <row r="43" customHeight="1" spans="1:9">
      <c r="A43" s="375" t="s">
        <v>319</v>
      </c>
      <c r="B43" s="376" t="s">
        <v>292</v>
      </c>
      <c r="C43" s="376" t="s">
        <v>20</v>
      </c>
      <c r="D43" s="376">
        <v>30</v>
      </c>
      <c r="E43" s="376" t="s">
        <v>293</v>
      </c>
      <c r="F43" s="376"/>
      <c r="G43" s="378"/>
      <c r="H43" s="376"/>
      <c r="I43" s="376">
        <v>6</v>
      </c>
    </row>
    <row r="44" customHeight="1" spans="1:9">
      <c r="A44" s="375" t="s">
        <v>320</v>
      </c>
      <c r="B44" s="376" t="s">
        <v>292</v>
      </c>
      <c r="C44" s="376" t="str">
        <f t="shared" ref="C44:C49" si="4">IF(ISNUMBER(D44)=FALSE,"辅","攻")</f>
        <v>攻</v>
      </c>
      <c r="D44" s="376">
        <v>52</v>
      </c>
      <c r="E44" s="376" t="s">
        <v>274</v>
      </c>
      <c r="F44" s="376"/>
      <c r="G44" s="376"/>
      <c r="H44" s="376"/>
      <c r="I44" s="376">
        <v>25</v>
      </c>
    </row>
    <row r="45" customHeight="1" spans="1:9">
      <c r="A45" s="377" t="s">
        <v>321</v>
      </c>
      <c r="B45" s="376" t="s">
        <v>292</v>
      </c>
      <c r="C45" s="376" t="str">
        <f t="shared" si="4"/>
        <v>攻</v>
      </c>
      <c r="D45" s="376">
        <v>40</v>
      </c>
      <c r="E45" s="376" t="s">
        <v>274</v>
      </c>
      <c r="F45" s="376"/>
      <c r="G45" s="376"/>
      <c r="H45" s="376"/>
      <c r="I45" s="376">
        <v>15</v>
      </c>
    </row>
    <row r="46" customHeight="1" spans="1:9">
      <c r="A46" s="377" t="s">
        <v>322</v>
      </c>
      <c r="B46" s="376" t="s">
        <v>292</v>
      </c>
      <c r="C46" s="376" t="str">
        <f t="shared" si="4"/>
        <v>攻</v>
      </c>
      <c r="D46" s="376">
        <v>36</v>
      </c>
      <c r="E46" s="376" t="s">
        <v>274</v>
      </c>
      <c r="F46" s="376"/>
      <c r="G46" s="376"/>
      <c r="H46" s="376"/>
      <c r="I46" s="376">
        <v>13</v>
      </c>
    </row>
    <row r="47" customHeight="1" spans="1:9">
      <c r="A47" s="377" t="s">
        <v>323</v>
      </c>
      <c r="B47" s="376" t="s">
        <v>292</v>
      </c>
      <c r="C47" s="376" t="str">
        <f t="shared" si="4"/>
        <v>攻</v>
      </c>
      <c r="D47" s="376">
        <v>80</v>
      </c>
      <c r="E47" s="376" t="s">
        <v>274</v>
      </c>
      <c r="F47" s="376"/>
      <c r="G47" s="376"/>
      <c r="H47" s="376"/>
      <c r="I47" s="376">
        <v>18</v>
      </c>
    </row>
    <row r="48" customHeight="1" spans="1:9">
      <c r="A48" s="377" t="s">
        <v>324</v>
      </c>
      <c r="B48" s="376" t="s">
        <v>292</v>
      </c>
      <c r="C48" s="376" t="str">
        <f t="shared" si="4"/>
        <v>攻</v>
      </c>
      <c r="D48" s="376">
        <v>18</v>
      </c>
      <c r="E48" s="379" t="s">
        <v>293</v>
      </c>
      <c r="F48" s="376"/>
      <c r="G48" s="376"/>
      <c r="H48" s="376"/>
      <c r="I48" s="376">
        <v>4</v>
      </c>
    </row>
    <row r="49" customHeight="1" spans="1:9">
      <c r="A49" s="377" t="s">
        <v>325</v>
      </c>
      <c r="B49" s="376" t="s">
        <v>292</v>
      </c>
      <c r="C49" s="376" t="str">
        <f t="shared" si="4"/>
        <v>攻</v>
      </c>
      <c r="D49" s="376">
        <v>45</v>
      </c>
      <c r="E49" s="379" t="s">
        <v>274</v>
      </c>
      <c r="F49" s="376"/>
      <c r="G49" s="376"/>
      <c r="H49" s="376"/>
      <c r="I49" s="376">
        <v>9</v>
      </c>
    </row>
    <row r="50" customHeight="1" spans="1:9">
      <c r="A50" s="377" t="s">
        <v>326</v>
      </c>
      <c r="B50" s="379" t="s">
        <v>292</v>
      </c>
      <c r="C50" s="379" t="s">
        <v>20</v>
      </c>
      <c r="D50" s="376">
        <v>74</v>
      </c>
      <c r="E50" s="379" t="s">
        <v>274</v>
      </c>
      <c r="F50" s="376"/>
      <c r="G50" s="376"/>
      <c r="H50" s="376"/>
      <c r="I50" s="376">
        <v>18</v>
      </c>
    </row>
    <row r="51" customHeight="1" spans="1:9">
      <c r="A51" s="377" t="s">
        <v>327</v>
      </c>
      <c r="B51" s="379" t="s">
        <v>292</v>
      </c>
      <c r="C51" s="379" t="s">
        <v>20</v>
      </c>
      <c r="D51" s="376">
        <v>22</v>
      </c>
      <c r="E51" s="379" t="s">
        <v>293</v>
      </c>
      <c r="F51" s="376"/>
      <c r="G51" s="376"/>
      <c r="H51" s="376"/>
      <c r="I51" s="376">
        <v>4</v>
      </c>
    </row>
    <row r="52" customHeight="1" spans="1:9">
      <c r="A52" s="377" t="s">
        <v>328</v>
      </c>
      <c r="B52" s="379" t="s">
        <v>292</v>
      </c>
      <c r="C52" s="379" t="s">
        <v>20</v>
      </c>
      <c r="D52" s="376">
        <v>76</v>
      </c>
      <c r="E52" s="379" t="s">
        <v>274</v>
      </c>
      <c r="F52" s="376"/>
      <c r="G52" s="376"/>
      <c r="H52" s="376"/>
      <c r="I52" s="376">
        <v>19</v>
      </c>
    </row>
    <row r="53" customHeight="1" spans="1:9">
      <c r="A53" s="375" t="s">
        <v>329</v>
      </c>
      <c r="B53" s="376" t="s">
        <v>292</v>
      </c>
      <c r="C53" s="376" t="str">
        <f>IF(ISNUMBER(D53)=FALSE,"辅","攻")</f>
        <v>辅</v>
      </c>
      <c r="D53" s="376"/>
      <c r="E53" s="376"/>
      <c r="F53" s="376"/>
      <c r="G53" s="376"/>
      <c r="H53" s="376"/>
      <c r="I53" s="376"/>
    </row>
    <row r="54" customHeight="1" spans="1:9">
      <c r="A54" s="377" t="s">
        <v>330</v>
      </c>
      <c r="B54" s="379" t="s">
        <v>292</v>
      </c>
      <c r="C54" s="379" t="s">
        <v>20</v>
      </c>
      <c r="D54" s="376">
        <v>23</v>
      </c>
      <c r="E54" s="379" t="s">
        <v>293</v>
      </c>
      <c r="F54" s="376"/>
      <c r="G54" s="376"/>
      <c r="H54" s="376"/>
      <c r="I54" s="376">
        <v>4</v>
      </c>
    </row>
    <row r="55" customHeight="1" spans="1:9">
      <c r="A55" s="375" t="s">
        <v>331</v>
      </c>
      <c r="B55" s="376" t="s">
        <v>292</v>
      </c>
      <c r="C55" s="376" t="s">
        <v>20</v>
      </c>
      <c r="D55" s="376">
        <v>27</v>
      </c>
      <c r="E55" s="376" t="s">
        <v>293</v>
      </c>
      <c r="F55" s="376"/>
      <c r="G55" s="376"/>
      <c r="H55" s="376"/>
      <c r="I55" s="376">
        <v>4</v>
      </c>
    </row>
    <row r="56" customHeight="1" spans="1:9">
      <c r="A56" s="375" t="s">
        <v>332</v>
      </c>
      <c r="B56" s="376" t="s">
        <v>292</v>
      </c>
      <c r="C56" s="376" t="str">
        <f>IF(ISNUMBER(D56)=FALSE,"辅","攻")</f>
        <v>辅</v>
      </c>
      <c r="D56" s="376"/>
      <c r="E56" s="376"/>
      <c r="F56" s="376"/>
      <c r="G56" s="376"/>
      <c r="H56" s="376"/>
      <c r="I56" s="376"/>
    </row>
    <row r="57" customHeight="1" spans="1:9">
      <c r="A57" s="375" t="s">
        <v>333</v>
      </c>
      <c r="B57" s="376" t="s">
        <v>292</v>
      </c>
      <c r="C57" s="376" t="s">
        <v>20</v>
      </c>
      <c r="D57" s="376">
        <v>24</v>
      </c>
      <c r="E57" s="376" t="s">
        <v>293</v>
      </c>
      <c r="F57" s="376"/>
      <c r="G57" s="376"/>
      <c r="H57" s="376"/>
      <c r="I57" s="376">
        <v>4</v>
      </c>
    </row>
    <row r="58" customHeight="1" spans="1:9">
      <c r="A58" s="377" t="s">
        <v>334</v>
      </c>
      <c r="B58" s="379" t="s">
        <v>292</v>
      </c>
      <c r="C58" s="379" t="s">
        <v>335</v>
      </c>
      <c r="D58" s="376"/>
      <c r="E58" s="376"/>
      <c r="F58" s="376"/>
      <c r="G58" s="376"/>
      <c r="H58" s="376"/>
      <c r="I58" s="376"/>
    </row>
    <row r="59" customHeight="1" spans="1:9">
      <c r="A59" s="377" t="s">
        <v>336</v>
      </c>
      <c r="B59" s="379" t="s">
        <v>292</v>
      </c>
      <c r="C59" s="379" t="s">
        <v>20</v>
      </c>
      <c r="D59" s="376">
        <v>52</v>
      </c>
      <c r="E59" s="379" t="s">
        <v>274</v>
      </c>
      <c r="F59" s="376"/>
      <c r="G59" s="376"/>
      <c r="H59" s="376"/>
      <c r="I59" s="376">
        <v>23</v>
      </c>
    </row>
    <row r="60" s="23" customFormat="1" customHeight="1" spans="1:9">
      <c r="A60" s="377" t="s">
        <v>337</v>
      </c>
      <c r="B60" s="379" t="s">
        <v>292</v>
      </c>
      <c r="C60" s="379" t="s">
        <v>20</v>
      </c>
      <c r="D60" s="376">
        <v>24</v>
      </c>
      <c r="E60" s="379" t="s">
        <v>293</v>
      </c>
      <c r="F60" s="376"/>
      <c r="G60" s="376"/>
      <c r="H60" s="376"/>
      <c r="I60" s="376">
        <v>6</v>
      </c>
    </row>
    <row r="61" customHeight="1" spans="1:9">
      <c r="A61" s="375"/>
      <c r="B61" s="376"/>
      <c r="C61" s="376"/>
      <c r="D61" s="376"/>
      <c r="E61" s="376"/>
      <c r="F61" s="376"/>
      <c r="G61" s="376"/>
      <c r="H61" s="376"/>
      <c r="I61" s="376"/>
    </row>
    <row r="62" customHeight="1" spans="1:9">
      <c r="A62" s="375" t="s">
        <v>338</v>
      </c>
      <c r="B62" s="376" t="s">
        <v>292</v>
      </c>
      <c r="C62" s="379" t="s">
        <v>30</v>
      </c>
      <c r="D62" s="376"/>
      <c r="E62" s="376"/>
      <c r="F62" s="380"/>
      <c r="G62" s="380">
        <v>7</v>
      </c>
      <c r="H62" s="380"/>
      <c r="I62" s="381">
        <v>4.5</v>
      </c>
    </row>
    <row r="63" customHeight="1" spans="1:9">
      <c r="A63" s="375" t="s">
        <v>339</v>
      </c>
      <c r="B63" s="376" t="s">
        <v>292</v>
      </c>
      <c r="C63" s="379" t="s">
        <v>340</v>
      </c>
      <c r="D63" s="376"/>
      <c r="E63" s="376"/>
      <c r="F63" s="380"/>
      <c r="G63" s="380"/>
      <c r="H63" s="380">
        <v>8</v>
      </c>
      <c r="I63" s="381">
        <v>3</v>
      </c>
    </row>
    <row r="64" customHeight="1" spans="1:9">
      <c r="A64" s="375" t="s">
        <v>341</v>
      </c>
      <c r="B64" s="376" t="s">
        <v>292</v>
      </c>
      <c r="C64" s="379" t="s">
        <v>20</v>
      </c>
      <c r="D64" s="376"/>
      <c r="E64" s="376"/>
      <c r="F64" s="380">
        <v>4</v>
      </c>
      <c r="G64" s="380"/>
      <c r="H64" s="380"/>
      <c r="I64" s="381">
        <v>4</v>
      </c>
    </row>
    <row r="65" customHeight="1" spans="1:9">
      <c r="A65" s="375" t="s">
        <v>342</v>
      </c>
      <c r="B65" s="376" t="s">
        <v>292</v>
      </c>
      <c r="C65" s="379" t="s">
        <v>30</v>
      </c>
      <c r="D65" s="376"/>
      <c r="E65" s="376"/>
      <c r="F65" s="380"/>
      <c r="G65" s="380">
        <v>15</v>
      </c>
      <c r="H65" s="380"/>
      <c r="I65" s="381">
        <v>3</v>
      </c>
    </row>
    <row r="66" customHeight="1" spans="1:9">
      <c r="A66" s="375" t="s">
        <v>343</v>
      </c>
      <c r="B66" s="376" t="s">
        <v>292</v>
      </c>
      <c r="C66" s="379" t="s">
        <v>340</v>
      </c>
      <c r="D66" s="376"/>
      <c r="E66" s="376"/>
      <c r="F66" s="380"/>
      <c r="G66" s="380"/>
      <c r="H66" s="380">
        <v>5</v>
      </c>
      <c r="I66" s="381">
        <v>4</v>
      </c>
    </row>
    <row r="67" customHeight="1" spans="1:9">
      <c r="A67" s="375" t="s">
        <v>344</v>
      </c>
      <c r="B67" s="376" t="s">
        <v>292</v>
      </c>
      <c r="C67" s="379" t="s">
        <v>20</v>
      </c>
      <c r="D67" s="376"/>
      <c r="E67" s="376"/>
      <c r="F67" s="380">
        <v>12</v>
      </c>
      <c r="G67" s="380"/>
      <c r="H67" s="380"/>
      <c r="I67" s="381">
        <v>2</v>
      </c>
    </row>
    <row r="68" customHeight="1" spans="1:9">
      <c r="A68" s="377" t="s">
        <v>345</v>
      </c>
      <c r="B68" s="379" t="s">
        <v>292</v>
      </c>
      <c r="C68" s="379" t="s">
        <v>20</v>
      </c>
      <c r="D68" s="376"/>
      <c r="E68" s="376"/>
      <c r="F68" s="380">
        <v>4</v>
      </c>
      <c r="G68" s="380"/>
      <c r="H68" s="380"/>
      <c r="I68" s="381">
        <v>2.4</v>
      </c>
    </row>
    <row r="69" customHeight="1" spans="1:9">
      <c r="A69" s="377" t="s">
        <v>346</v>
      </c>
      <c r="B69" s="379" t="s">
        <v>292</v>
      </c>
      <c r="C69" s="379" t="s">
        <v>20</v>
      </c>
      <c r="D69" s="376"/>
      <c r="E69" s="376"/>
      <c r="F69" s="380">
        <v>8</v>
      </c>
      <c r="G69" s="380"/>
      <c r="H69" s="380"/>
      <c r="I69" s="381">
        <v>3</v>
      </c>
    </row>
    <row r="70" customHeight="1" spans="1:9">
      <c r="A70" s="377" t="s">
        <v>347</v>
      </c>
      <c r="B70" s="379" t="s">
        <v>292</v>
      </c>
      <c r="C70" s="379" t="s">
        <v>30</v>
      </c>
      <c r="D70" s="376"/>
      <c r="E70" s="376"/>
      <c r="F70" s="380"/>
      <c r="G70" s="380">
        <v>5</v>
      </c>
      <c r="H70" s="380"/>
      <c r="I70" s="381">
        <v>4</v>
      </c>
    </row>
    <row r="71" customHeight="1" spans="1:9">
      <c r="A71" s="377" t="s">
        <v>348</v>
      </c>
      <c r="B71" s="379" t="s">
        <v>292</v>
      </c>
      <c r="C71" s="379" t="s">
        <v>20</v>
      </c>
      <c r="D71" s="376"/>
      <c r="E71" s="376"/>
      <c r="F71" s="380">
        <v>13</v>
      </c>
      <c r="G71" s="380"/>
      <c r="H71" s="380"/>
      <c r="I71" s="381">
        <v>3.15</v>
      </c>
    </row>
    <row r="72" customHeight="1" spans="1:9">
      <c r="A72" s="377" t="s">
        <v>349</v>
      </c>
      <c r="B72" s="379" t="s">
        <v>292</v>
      </c>
      <c r="C72" s="379" t="s">
        <v>30</v>
      </c>
      <c r="D72" s="376"/>
      <c r="E72" s="376"/>
      <c r="F72" s="380"/>
      <c r="G72" s="380">
        <v>6</v>
      </c>
      <c r="H72" s="380"/>
      <c r="I72" s="381">
        <v>5.15</v>
      </c>
    </row>
    <row r="73" customHeight="1" spans="1:9">
      <c r="A73" s="375" t="s">
        <v>350</v>
      </c>
      <c r="B73" s="376" t="s">
        <v>292</v>
      </c>
      <c r="C73" s="379" t="s">
        <v>30</v>
      </c>
      <c r="D73" s="376"/>
      <c r="E73" s="376"/>
      <c r="F73" s="380"/>
      <c r="G73" s="380">
        <v>5</v>
      </c>
      <c r="H73" s="380"/>
      <c r="I73" s="381">
        <v>5</v>
      </c>
    </row>
    <row r="74" customHeight="1" spans="1:9">
      <c r="A74" s="375" t="s">
        <v>351</v>
      </c>
      <c r="B74" s="376" t="s">
        <v>302</v>
      </c>
      <c r="C74" s="379" t="s">
        <v>340</v>
      </c>
      <c r="D74" s="376"/>
      <c r="E74" s="376"/>
      <c r="F74" s="380"/>
      <c r="G74" s="380"/>
      <c r="H74" s="380">
        <v>3</v>
      </c>
      <c r="I74" s="381">
        <v>2.8</v>
      </c>
    </row>
    <row r="75" customHeight="1" spans="1:9">
      <c r="A75" s="375" t="s">
        <v>352</v>
      </c>
      <c r="B75" s="376" t="s">
        <v>302</v>
      </c>
      <c r="C75" s="379" t="s">
        <v>20</v>
      </c>
      <c r="D75" s="376"/>
      <c r="E75" s="376"/>
      <c r="F75" s="380">
        <v>7</v>
      </c>
      <c r="G75" s="380"/>
      <c r="H75" s="380"/>
      <c r="I75" s="381">
        <v>1.8</v>
      </c>
    </row>
    <row r="76" customHeight="1" spans="1:9">
      <c r="A76" s="375" t="s">
        <v>353</v>
      </c>
      <c r="B76" s="376" t="s">
        <v>302</v>
      </c>
      <c r="C76" s="379" t="s">
        <v>30</v>
      </c>
      <c r="D76" s="376"/>
      <c r="E76" s="376"/>
      <c r="F76" s="380"/>
      <c r="G76" s="380">
        <v>10</v>
      </c>
      <c r="H76" s="380"/>
      <c r="I76" s="381">
        <v>2.3</v>
      </c>
    </row>
    <row r="77" customHeight="1" spans="1:9">
      <c r="A77" s="375" t="s">
        <v>354</v>
      </c>
      <c r="B77" s="376" t="s">
        <v>273</v>
      </c>
      <c r="C77" s="379" t="s">
        <v>340</v>
      </c>
      <c r="D77" s="376"/>
      <c r="E77" s="376"/>
      <c r="F77" s="380"/>
      <c r="G77" s="380"/>
      <c r="H77" s="380">
        <v>5</v>
      </c>
      <c r="I77" s="381">
        <v>1</v>
      </c>
    </row>
    <row r="78" customHeight="1" spans="1:9">
      <c r="A78" s="375" t="s">
        <v>355</v>
      </c>
      <c r="B78" s="376" t="s">
        <v>273</v>
      </c>
      <c r="C78" s="379" t="s">
        <v>30</v>
      </c>
      <c r="D78" s="376"/>
      <c r="E78" s="376"/>
      <c r="F78" s="380"/>
      <c r="G78" s="380">
        <v>6</v>
      </c>
      <c r="H78" s="380"/>
      <c r="I78" s="381">
        <v>1.8</v>
      </c>
    </row>
    <row r="79" customHeight="1" spans="1:9">
      <c r="A79" s="375" t="s">
        <v>356</v>
      </c>
      <c r="B79" s="376" t="s">
        <v>273</v>
      </c>
      <c r="C79" s="379" t="s">
        <v>20</v>
      </c>
      <c r="D79" s="376"/>
      <c r="E79" s="376"/>
      <c r="F79" s="380">
        <v>4</v>
      </c>
      <c r="G79" s="380"/>
      <c r="H79" s="380"/>
      <c r="I79" s="381">
        <v>1</v>
      </c>
    </row>
    <row r="80" customHeight="1" spans="1:9">
      <c r="A80" s="375" t="s">
        <v>357</v>
      </c>
      <c r="B80" s="376" t="s">
        <v>292</v>
      </c>
      <c r="C80" s="379" t="s">
        <v>20</v>
      </c>
      <c r="D80" s="376"/>
      <c r="E80" s="376"/>
      <c r="F80" s="380">
        <v>15</v>
      </c>
      <c r="G80" s="380"/>
      <c r="H80" s="380"/>
      <c r="I80" s="381">
        <v>2.9</v>
      </c>
    </row>
    <row r="81" customHeight="1" spans="1:9">
      <c r="A81" s="375" t="s">
        <v>358</v>
      </c>
      <c r="B81" s="376" t="s">
        <v>292</v>
      </c>
      <c r="C81" s="379" t="s">
        <v>20</v>
      </c>
      <c r="D81" s="376"/>
      <c r="E81" s="376"/>
      <c r="F81" s="380">
        <v>12</v>
      </c>
      <c r="G81" s="380"/>
      <c r="H81" s="380"/>
      <c r="I81" s="381">
        <v>3</v>
      </c>
    </row>
    <row r="82" customHeight="1" spans="6:9">
      <c r="F82" s="382"/>
      <c r="G82" s="382"/>
      <c r="H82" s="382"/>
      <c r="I82" s="382"/>
    </row>
    <row r="83" customHeight="1" spans="6:9">
      <c r="F83" s="382"/>
      <c r="G83" s="382"/>
      <c r="H83" s="382"/>
      <c r="I83" s="382"/>
    </row>
    <row r="84" customHeight="1" spans="6:9">
      <c r="F84" s="382"/>
      <c r="G84" s="382"/>
      <c r="H84" s="382"/>
      <c r="I84" s="382"/>
    </row>
    <row r="85" customHeight="1" spans="6:9">
      <c r="F85" s="382"/>
      <c r="G85" s="382"/>
      <c r="H85" s="382"/>
      <c r="I85" s="382"/>
    </row>
    <row r="86" customHeight="1" spans="6:9">
      <c r="F86" s="382"/>
      <c r="G86" s="382"/>
      <c r="H86" s="382"/>
      <c r="I86" s="382"/>
    </row>
  </sheetData>
  <conditionalFormatting sqref="1:1048576">
    <cfRule type="cellIs" dxfId="51" priority="1" stopIfTrue="1" operator="equal">
      <formula>"辅"</formula>
    </cfRule>
  </conditionalFormatting>
  <dataValidations count="1">
    <dataValidation type="whole" operator="between" allowBlank="1" showInputMessage="1" showErrorMessage="1" sqref="F$1:H$1048576">
      <formula1>0</formula1>
      <formula2>100</formula2>
    </dataValidation>
  </dataValidations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40"/>
  <sheetViews>
    <sheetView workbookViewId="0">
      <selection activeCell="G8" sqref="G8:G9"/>
    </sheetView>
  </sheetViews>
  <sheetFormatPr defaultColWidth="9" defaultRowHeight="13.5"/>
  <cols>
    <col min="1" max="1" width="11.125" style="7" customWidth="1"/>
    <col min="2" max="10" width="9.375" style="7" customWidth="1"/>
    <col min="11" max="16384" width="9" style="7"/>
  </cols>
  <sheetData>
    <row r="1" ht="18" customHeight="1"/>
    <row r="2" ht="9" customHeight="1" spans="4:8">
      <c r="D2" s="293" t="s">
        <v>359</v>
      </c>
      <c r="E2" s="293"/>
      <c r="F2" s="293"/>
      <c r="G2" s="293"/>
      <c r="H2" s="293"/>
    </row>
    <row r="3" ht="6.75" customHeight="1" spans="4:8">
      <c r="D3" s="293"/>
      <c r="E3" s="293"/>
      <c r="F3" s="293"/>
      <c r="G3" s="293"/>
      <c r="H3" s="293"/>
    </row>
    <row r="4" ht="20.25" customHeight="1" spans="4:11">
      <c r="D4" s="293"/>
      <c r="E4" s="293"/>
      <c r="F4" s="293"/>
      <c r="G4" s="293"/>
      <c r="H4" s="293"/>
      <c r="J4" s="348" t="s">
        <v>360</v>
      </c>
      <c r="K4" s="349" t="s">
        <v>361</v>
      </c>
    </row>
    <row r="5" ht="18.75" customHeight="1" spans="4:17">
      <c r="D5" s="251"/>
      <c r="E5" s="251"/>
      <c r="F5" s="251"/>
      <c r="G5" s="251"/>
      <c r="H5" s="251"/>
      <c r="J5" s="350" t="s">
        <v>362</v>
      </c>
      <c r="L5" s="219" t="s">
        <v>363</v>
      </c>
      <c r="M5" s="13"/>
      <c r="N5" s="13"/>
      <c r="O5" s="13"/>
      <c r="P5" s="13"/>
      <c r="Q5" s="13"/>
    </row>
    <row r="6" ht="14.25" customHeight="1" spans="2:17">
      <c r="B6" s="294" t="s">
        <v>364</v>
      </c>
      <c r="C6" s="295"/>
      <c r="D6" s="296" t="str">
        <f>$A$30</f>
        <v>令狐冲</v>
      </c>
      <c r="E6" s="297" t="s">
        <v>365</v>
      </c>
      <c r="F6" s="298" t="s">
        <v>12</v>
      </c>
      <c r="G6" s="299" t="s">
        <v>20</v>
      </c>
      <c r="H6" s="299" t="s">
        <v>30</v>
      </c>
      <c r="I6" s="351" t="s">
        <v>340</v>
      </c>
      <c r="J6" s="352" t="s">
        <v>366</v>
      </c>
      <c r="L6" s="219" t="s">
        <v>367</v>
      </c>
      <c r="M6" s="13"/>
      <c r="N6" s="13"/>
      <c r="O6" s="13"/>
      <c r="P6" s="13"/>
      <c r="Q6" s="13"/>
    </row>
    <row r="7" ht="14.25" customHeight="1" spans="2:17">
      <c r="B7" s="300"/>
      <c r="C7" s="301"/>
      <c r="D7" s="302"/>
      <c r="E7" s="303"/>
      <c r="F7" s="304"/>
      <c r="G7" s="305"/>
      <c r="H7" s="305"/>
      <c r="I7" s="353"/>
      <c r="J7" s="354"/>
      <c r="L7" s="219" t="s">
        <v>368</v>
      </c>
      <c r="M7" s="13"/>
      <c r="N7" s="13"/>
      <c r="O7" s="13"/>
      <c r="P7" s="13"/>
      <c r="Q7" s="13"/>
    </row>
    <row r="8" ht="14.25" customHeight="1" spans="2:17">
      <c r="B8" s="306"/>
      <c r="C8" s="307"/>
      <c r="D8" s="308" t="s">
        <v>369</v>
      </c>
      <c r="E8" s="309">
        <v>256</v>
      </c>
      <c r="F8" s="310">
        <v>1953</v>
      </c>
      <c r="G8" s="311">
        <v>4182</v>
      </c>
      <c r="H8" s="311">
        <v>598</v>
      </c>
      <c r="I8" s="355">
        <v>3007</v>
      </c>
      <c r="J8" s="356">
        <f t="shared" ref="J8" si="0">SUM(F8:I9)</f>
        <v>9740</v>
      </c>
      <c r="L8" s="219" t="s">
        <v>370</v>
      </c>
      <c r="M8" s="13"/>
      <c r="N8" s="13"/>
      <c r="O8" s="13"/>
      <c r="P8" s="13"/>
      <c r="Q8" s="13"/>
    </row>
    <row r="9" ht="14.25" customHeight="1" spans="2:17">
      <c r="B9" s="312"/>
      <c r="C9" s="313"/>
      <c r="D9" s="314"/>
      <c r="E9" s="315"/>
      <c r="F9" s="316"/>
      <c r="G9" s="317"/>
      <c r="H9" s="317"/>
      <c r="I9" s="357"/>
      <c r="J9" s="358"/>
      <c r="K9" s="12"/>
      <c r="L9" s="219" t="s">
        <v>371</v>
      </c>
      <c r="M9" s="13"/>
      <c r="N9" s="13"/>
      <c r="O9" s="13"/>
      <c r="P9" s="13"/>
      <c r="Q9" s="13"/>
    </row>
    <row r="10" ht="14.25" customHeight="1" spans="2:17">
      <c r="B10" s="312"/>
      <c r="C10" s="313"/>
      <c r="D10" s="318" t="s">
        <v>372</v>
      </c>
      <c r="E10" s="319" t="s">
        <v>373</v>
      </c>
      <c r="F10" s="320">
        <f>IF(J5="否",VLOOKUP($D$6,弟子基础属性!$C$1:$P$183,5,0),VLOOKUP($D$6,弟子觉醒属性!$C$1:$L$183,2,0))</f>
        <v>180</v>
      </c>
      <c r="G10" s="321">
        <f>IF(J5="否",VLOOKUP($D$6,弟子基础属性!$C$1:$P$183,6,0),VLOOKUP($D$6,弟子觉醒属性!$C$1:$L$183,3,0))</f>
        <v>180</v>
      </c>
      <c r="H10" s="321">
        <f>IF(J5="否",VLOOKUP($D$6,弟子基础属性!$C$1:$P$183,7,0),VLOOKUP($D$6,弟子觉醒属性!$C$1:$L$183,4,0))</f>
        <v>60</v>
      </c>
      <c r="I10" s="359">
        <f>IF(J5="否",VLOOKUP($D$6,弟子基础属性!$C$1:$P$183,8,0),VLOOKUP($D$6,弟子觉醒属性!$C$1:$L$183,5,0))</f>
        <v>300</v>
      </c>
      <c r="J10" s="360">
        <f>SUM(F10:I11)</f>
        <v>720</v>
      </c>
      <c r="K10" s="361"/>
      <c r="L10" s="362" t="s">
        <v>374</v>
      </c>
      <c r="M10" s="362"/>
      <c r="N10" s="362"/>
      <c r="O10" s="362"/>
      <c r="P10" s="362"/>
      <c r="Q10" s="362"/>
    </row>
    <row r="11" ht="14.25" customHeight="1" spans="2:17">
      <c r="B11" s="312"/>
      <c r="C11" s="313"/>
      <c r="D11" s="322"/>
      <c r="E11" s="323"/>
      <c r="F11" s="324"/>
      <c r="G11" s="325"/>
      <c r="H11" s="325"/>
      <c r="I11" s="363"/>
      <c r="J11" s="360"/>
      <c r="K11" s="361"/>
      <c r="L11" s="362" t="s">
        <v>375</v>
      </c>
      <c r="M11" s="362"/>
      <c r="N11" s="362"/>
      <c r="O11" s="362"/>
      <c r="P11" s="362"/>
      <c r="Q11" s="362"/>
    </row>
    <row r="12" customHeight="1" spans="2:11">
      <c r="B12" s="312"/>
      <c r="C12" s="313"/>
      <c r="D12" s="322"/>
      <c r="E12" s="323" t="s">
        <v>271</v>
      </c>
      <c r="F12" s="326">
        <f>IF(J5="否",VLOOKUP($D$6,弟子基础属性!$C$1:$P$183,10,0),VLOOKUP($D$6,弟子觉醒属性!$C$1:$L$183,7,0))</f>
        <v>8</v>
      </c>
      <c r="G12" s="327">
        <f>IF(J5="否",VLOOKUP($D$6,弟子基础属性!$C$1:$P$183,11,0),VLOOKUP($D$6,弟子觉醒属性!$C$1:$L$183,8,0))</f>
        <v>7.9</v>
      </c>
      <c r="H12" s="327">
        <f>IF(J5="否",VLOOKUP($D$6,弟子基础属性!$C$1:$P$183,12,0),VLOOKUP($D$6,弟子觉醒属性!$C$1:$L$183,9,0))</f>
        <v>3.1</v>
      </c>
      <c r="I12" s="364">
        <f>IF(J5="否",VLOOKUP($D$6,弟子基础属性!$C$1:$P$183,13,0),VLOOKUP($D$6,弟子觉醒属性!$C$1:$L$183,10,0))</f>
        <v>12</v>
      </c>
      <c r="J12" s="365">
        <f>SUM(F12:I13)</f>
        <v>31</v>
      </c>
      <c r="K12" s="349" t="s">
        <v>376</v>
      </c>
    </row>
    <row r="13" customHeight="1" spans="2:18">
      <c r="B13" s="312"/>
      <c r="C13" s="313"/>
      <c r="D13" s="328"/>
      <c r="E13" s="329"/>
      <c r="F13" s="326"/>
      <c r="G13" s="327"/>
      <c r="H13" s="327"/>
      <c r="I13" s="364"/>
      <c r="J13" s="365"/>
      <c r="L13" s="362" t="str">
        <f>"1、极攻培养建议：血≥"&amp;F16&amp;"，防≥"&amp;H16&amp;"，内≥"&amp;I16&amp;"，且血+防+内="&amp;INT(F12*$E26+1)+INT(I12*$E26+1)+H16+E26*15&amp;"。"</f>
        <v>1、极攻培养建议：血≥769，防≥298，内≥1153，且血+防+内=3660。</v>
      </c>
      <c r="M13" s="362"/>
      <c r="N13" s="362"/>
      <c r="O13" s="362"/>
      <c r="P13" s="362"/>
      <c r="Q13" s="362"/>
      <c r="R13" s="362"/>
    </row>
    <row r="14" ht="14.25" hidden="1" customHeight="1" spans="2:10">
      <c r="B14" s="312"/>
      <c r="C14" s="313"/>
      <c r="D14" s="308"/>
      <c r="E14" s="309"/>
      <c r="F14" s="324"/>
      <c r="G14" s="325"/>
      <c r="H14" s="325"/>
      <c r="I14" s="363"/>
      <c r="J14" s="366"/>
    </row>
    <row r="15" ht="14.25" hidden="1" customHeight="1" spans="2:10">
      <c r="B15" s="312"/>
      <c r="C15" s="313"/>
      <c r="D15" s="330"/>
      <c r="E15" s="315"/>
      <c r="F15" s="324"/>
      <c r="G15" s="325"/>
      <c r="H15" s="325"/>
      <c r="I15" s="363"/>
      <c r="J15" s="367"/>
    </row>
    <row r="16" ht="14.25" spans="2:18">
      <c r="B16" s="312"/>
      <c r="C16" s="313"/>
      <c r="D16" s="331" t="s">
        <v>377</v>
      </c>
      <c r="E16" s="332"/>
      <c r="F16" s="324">
        <f>INT(F12*$E26+1)</f>
        <v>769</v>
      </c>
      <c r="G16" s="325">
        <f>INT(G12*$E26+1)</f>
        <v>759</v>
      </c>
      <c r="H16" s="325">
        <f>INT(H12*$E26+1)</f>
        <v>298</v>
      </c>
      <c r="I16" s="363">
        <f>INT(I12*$E26+1)</f>
        <v>1153</v>
      </c>
      <c r="J16" s="368">
        <f>SUM(F16:I17)</f>
        <v>2979</v>
      </c>
      <c r="L16" s="362" t="str">
        <f>"2、极防培养建议：血≥"&amp;F16&amp;"，攻≥"&amp;G16&amp;"，内≥"&amp;I16&amp;"，且血+攻+内="&amp;INT(F12*$E26+1)+INT(I12*$E26+1)+G16+E26*15&amp;"。"</f>
        <v>2、极防培养建议：血≥769，攻≥759，内≥1153，且血+攻+内=4121。</v>
      </c>
      <c r="M16" s="362"/>
      <c r="N16" s="362"/>
      <c r="O16" s="362"/>
      <c r="P16" s="362"/>
      <c r="Q16" s="362"/>
      <c r="R16" s="362"/>
    </row>
    <row r="17" ht="14.25" spans="2:17">
      <c r="B17" s="312"/>
      <c r="C17" s="313"/>
      <c r="D17" s="333"/>
      <c r="E17" s="334"/>
      <c r="F17" s="335"/>
      <c r="G17" s="336"/>
      <c r="H17" s="336"/>
      <c r="I17" s="369"/>
      <c r="J17" s="370"/>
      <c r="L17" s="362" t="str">
        <f>"3、攻防培养建议：血≥"&amp;F16&amp;"，内≥"&amp;I16&amp;"，且血+内="&amp;INT(F12*$E26+1)+INT(I12*$E26+1)+E26*15&amp;"。"</f>
        <v>3、攻防培养建议：血≥769，内≥1153，且血+内=3362。</v>
      </c>
      <c r="M17" s="362"/>
      <c r="N17" s="362"/>
      <c r="O17" s="362"/>
      <c r="P17" s="362"/>
      <c r="Q17" s="362"/>
    </row>
    <row r="18" ht="14.25" customHeight="1" spans="2:17">
      <c r="B18" s="312"/>
      <c r="C18" s="313"/>
      <c r="F18" s="23"/>
      <c r="G18" s="23"/>
      <c r="H18" s="23"/>
      <c r="I18" s="23"/>
      <c r="J18" s="23"/>
      <c r="L18" s="362" t="str">
        <f>"4、防内培养建议：血≥"&amp;F16&amp;"，攻≥"&amp;G16&amp;"，且血+攻="&amp;INT(F12*$E26+1)+INT(G12*$E26+1)+E26*15&amp;"。"</f>
        <v>4、防内培养建议：血≥769，攻≥759，且血+攻=2968。</v>
      </c>
      <c r="M18" s="362"/>
      <c r="N18" s="362"/>
      <c r="O18" s="362"/>
      <c r="P18" s="362"/>
      <c r="Q18" s="362"/>
    </row>
    <row r="19" ht="27" customHeight="1" spans="2:10">
      <c r="B19" s="312"/>
      <c r="C19" s="313"/>
      <c r="F19" s="23"/>
      <c r="G19" s="23"/>
      <c r="H19" s="23"/>
      <c r="I19" s="23"/>
      <c r="J19" s="23"/>
    </row>
    <row r="20" ht="14.25" customHeight="1" spans="2:10">
      <c r="B20" s="312"/>
      <c r="C20" s="313"/>
      <c r="D20" s="337" t="s">
        <v>365</v>
      </c>
      <c r="E20" s="338" t="s">
        <v>378</v>
      </c>
      <c r="F20" s="338" t="s">
        <v>12</v>
      </c>
      <c r="G20" s="338" t="s">
        <v>20</v>
      </c>
      <c r="H20" s="338" t="s">
        <v>30</v>
      </c>
      <c r="I20" s="338" t="s">
        <v>340</v>
      </c>
      <c r="J20" s="371" t="s">
        <v>366</v>
      </c>
    </row>
    <row r="21" ht="14.25" customHeight="1" spans="2:10">
      <c r="B21" s="312"/>
      <c r="C21" s="313"/>
      <c r="D21" s="337"/>
      <c r="E21" s="338"/>
      <c r="F21" s="338"/>
      <c r="G21" s="338"/>
      <c r="H21" s="338"/>
      <c r="I21" s="338"/>
      <c r="J21" s="371"/>
    </row>
    <row r="22" ht="14.25" customHeight="1" spans="2:10">
      <c r="B22" s="312"/>
      <c r="C22" s="313"/>
      <c r="D22" s="339">
        <v>160</v>
      </c>
      <c r="E22" s="340">
        <f>4000+D27</f>
        <v>4000</v>
      </c>
      <c r="F22" s="340">
        <f>SMALL(F28:F31,G31)</f>
        <v>45.4000000000001</v>
      </c>
      <c r="G22" s="340">
        <f>SMALL(F28:F31,H31)</f>
        <v>3423.6</v>
      </c>
      <c r="H22" s="340">
        <f>SMALL(F28:F31,I31)</f>
        <v>0</v>
      </c>
      <c r="I22" s="340">
        <f>SMALL(F28:F31,J31)</f>
        <v>1855</v>
      </c>
      <c r="J22" s="372">
        <f>SUM(F22:I23)</f>
        <v>5324</v>
      </c>
    </row>
    <row r="23" customHeight="1" spans="2:10">
      <c r="B23" s="312"/>
      <c r="C23" s="313"/>
      <c r="D23" s="341"/>
      <c r="E23" s="342"/>
      <c r="F23" s="342"/>
      <c r="G23" s="342"/>
      <c r="H23" s="342"/>
      <c r="I23" s="342"/>
      <c r="J23" s="373"/>
    </row>
    <row r="24" customHeight="1" spans="2:10">
      <c r="B24" s="312"/>
      <c r="C24" s="313"/>
      <c r="D24" s="343">
        <v>256</v>
      </c>
      <c r="E24" s="344">
        <f>E22+(D24-160)*15</f>
        <v>5440</v>
      </c>
      <c r="F24" s="344">
        <f>F12*(D24-160)+F22</f>
        <v>813.4</v>
      </c>
      <c r="G24" s="344">
        <f>G12*(D24-160)+G22</f>
        <v>4182</v>
      </c>
      <c r="H24" s="344">
        <f>H12*(D24-160)+H22</f>
        <v>297.6</v>
      </c>
      <c r="I24" s="344">
        <f>I12*(D24-160)+I22</f>
        <v>3007</v>
      </c>
      <c r="J24" s="374">
        <f>SUM(E24:I25)</f>
        <v>13740</v>
      </c>
    </row>
    <row r="25" ht="15" customHeight="1" spans="2:10">
      <c r="B25" s="345"/>
      <c r="C25" s="346"/>
      <c r="D25" s="347"/>
      <c r="E25" s="340"/>
      <c r="F25" s="340"/>
      <c r="G25" s="340"/>
      <c r="H25" s="340"/>
      <c r="I25" s="340"/>
      <c r="J25" s="372"/>
    </row>
    <row r="26" ht="28.5" hidden="1" customHeight="1" spans="4:10">
      <c r="D26" s="23">
        <f>E26*15+D27</f>
        <v>1440</v>
      </c>
      <c r="E26" s="23">
        <f>E8-160</f>
        <v>96</v>
      </c>
      <c r="F26" s="23">
        <f>F8-E26*F12</f>
        <v>1185</v>
      </c>
      <c r="G26" s="23">
        <f>G8-E26*G12</f>
        <v>3423.6</v>
      </c>
      <c r="H26" s="23">
        <f>H8-E26*H12</f>
        <v>300.4</v>
      </c>
      <c r="I26" s="23">
        <f>I8-E26*I12</f>
        <v>1855</v>
      </c>
      <c r="J26" s="23"/>
    </row>
    <row r="27" ht="22.5" hidden="1" customHeight="1" spans="4:10">
      <c r="D27" s="23">
        <f>SUMIF(F26:I26,"&lt;0")</f>
        <v>0</v>
      </c>
      <c r="E27" s="23"/>
      <c r="F27" s="23">
        <f t="shared" ref="F27:I27" si="1">IF(F26&lt;0,0,F26)</f>
        <v>1185</v>
      </c>
      <c r="G27" s="23">
        <f t="shared" si="1"/>
        <v>3423.6</v>
      </c>
      <c r="H27" s="23">
        <f t="shared" si="1"/>
        <v>300.4</v>
      </c>
      <c r="I27" s="23">
        <f t="shared" si="1"/>
        <v>1855</v>
      </c>
      <c r="J27" s="23"/>
    </row>
    <row r="28" ht="24" hidden="1" customHeight="1" spans="4:10">
      <c r="D28" s="23">
        <f>SMALL(F26:I26,1)</f>
        <v>300.4</v>
      </c>
      <c r="E28" s="23">
        <f>D28-D26</f>
        <v>-1139.6</v>
      </c>
      <c r="F28" s="23">
        <f t="shared" ref="F28:F31" si="2">IF(E28&lt;0,0,E28)</f>
        <v>0</v>
      </c>
      <c r="G28" s="23">
        <f t="shared" ref="G28:J28" si="3">RANK(F26,$F26:$I26,1)</f>
        <v>2</v>
      </c>
      <c r="H28" s="23">
        <f t="shared" si="3"/>
        <v>4</v>
      </c>
      <c r="I28" s="23">
        <f t="shared" si="3"/>
        <v>1</v>
      </c>
      <c r="J28" s="23">
        <f t="shared" si="3"/>
        <v>3</v>
      </c>
    </row>
    <row r="29" ht="19.5" hidden="1" customHeight="1" spans="4:10">
      <c r="D29" s="23">
        <f>SMALL(F26:I26,2)</f>
        <v>1185</v>
      </c>
      <c r="E29" s="23">
        <f t="shared" ref="E29:E31" si="4">IF(E28&lt;0,D29+E28,D29)</f>
        <v>45.4000000000001</v>
      </c>
      <c r="F29" s="23">
        <f t="shared" si="2"/>
        <v>45.4000000000001</v>
      </c>
      <c r="G29" s="23">
        <f t="shared" ref="G29:G31" si="5">G28</f>
        <v>2</v>
      </c>
      <c r="H29" s="23">
        <f>IF(G28=H28,H28+1,H28)</f>
        <v>4</v>
      </c>
      <c r="I29" s="23">
        <f>IF(I28=H28,I28+1,IF(I28=G28,I28+1,I28))</f>
        <v>1</v>
      </c>
      <c r="J29" s="23">
        <f t="shared" ref="J29:J31" si="6">IF(J28=G28,J28+1,IF(J28=H28,J28+1,IF(J28=I28,J28+1,J28)))</f>
        <v>3</v>
      </c>
    </row>
    <row r="30" ht="18" hidden="1" customHeight="1" spans="1:10">
      <c r="A30" s="5" t="str">
        <f>INDEX(弟子基础属性!C3:C67,$A$31)</f>
        <v>令狐冲</v>
      </c>
      <c r="D30" s="23">
        <f>SMALL(F26:I26,3)</f>
        <v>1855</v>
      </c>
      <c r="E30" s="23">
        <f t="shared" si="4"/>
        <v>1855</v>
      </c>
      <c r="F30" s="23">
        <f t="shared" si="2"/>
        <v>1855</v>
      </c>
      <c r="G30" s="23">
        <f t="shared" si="5"/>
        <v>2</v>
      </c>
      <c r="H30" s="23">
        <f>H29</f>
        <v>4</v>
      </c>
      <c r="I30" s="23">
        <f>IF(I29=H29,I29+1,IF(I29=G29,I29+1,I29))</f>
        <v>1</v>
      </c>
      <c r="J30" s="23">
        <f t="shared" si="6"/>
        <v>3</v>
      </c>
    </row>
    <row r="31" ht="17.25" hidden="1" customHeight="1" spans="1:10">
      <c r="A31" s="5">
        <v>18</v>
      </c>
      <c r="D31" s="23">
        <f>SMALL(F26:I26,4)</f>
        <v>3423.6</v>
      </c>
      <c r="E31" s="23">
        <f t="shared" si="4"/>
        <v>3423.6</v>
      </c>
      <c r="F31" s="23">
        <f t="shared" si="2"/>
        <v>3423.6</v>
      </c>
      <c r="G31" s="23">
        <f t="shared" si="5"/>
        <v>2</v>
      </c>
      <c r="H31" s="23">
        <f>H30</f>
        <v>4</v>
      </c>
      <c r="I31" s="23">
        <f>I30</f>
        <v>1</v>
      </c>
      <c r="J31" s="23">
        <f t="shared" si="6"/>
        <v>3</v>
      </c>
    </row>
    <row r="32" ht="22.5" customHeight="1"/>
    <row r="34" ht="17.1" customHeight="1"/>
    <row r="35" ht="17.1" customHeight="1"/>
    <row r="36" ht="17.1" customHeight="1"/>
    <row r="37" ht="17.1" customHeight="1"/>
    <row r="38" ht="17.1" customHeight="1"/>
    <row r="39" ht="17.1" customHeight="1" spans="4:4">
      <c r="D39" s="23"/>
    </row>
    <row r="40" ht="17.1" customHeight="1" spans="4:4">
      <c r="D40" s="23"/>
    </row>
  </sheetData>
  <sheetProtection algorithmName="SHA-512" hashValue="xIPxNp5AMD7W7RyOfUmRbcBNAAXwHQH1xp/7lozWtorGw4ZfVi06HLh7trqHyLOKiECxnm1pp/qEmKOk4ECbCQ==" saltValue="cdSdJUaCIJa1GArhJj9KJA==" spinCount="100000" sheet="1" selectLockedCells="1" objects="1" scenarios="1"/>
  <mergeCells count="76">
    <mergeCell ref="L5:Q5"/>
    <mergeCell ref="L6:Q6"/>
    <mergeCell ref="L7:Q7"/>
    <mergeCell ref="L8:Q8"/>
    <mergeCell ref="L9:Q9"/>
    <mergeCell ref="L10:Q10"/>
    <mergeCell ref="L11:Q11"/>
    <mergeCell ref="L13:R13"/>
    <mergeCell ref="L16:R16"/>
    <mergeCell ref="L17:Q17"/>
    <mergeCell ref="L18:Q18"/>
    <mergeCell ref="D6:D7"/>
    <mergeCell ref="D8:D9"/>
    <mergeCell ref="D10:D13"/>
    <mergeCell ref="D14:D15"/>
    <mergeCell ref="D20:D21"/>
    <mergeCell ref="D22:D23"/>
    <mergeCell ref="D24:D25"/>
    <mergeCell ref="D39:D40"/>
    <mergeCell ref="E6:E7"/>
    <mergeCell ref="E8:E9"/>
    <mergeCell ref="E10:E11"/>
    <mergeCell ref="E12:E13"/>
    <mergeCell ref="E14:E15"/>
    <mergeCell ref="E20:E21"/>
    <mergeCell ref="E22:E23"/>
    <mergeCell ref="E24:E25"/>
    <mergeCell ref="F6:F7"/>
    <mergeCell ref="F8:F9"/>
    <mergeCell ref="F10:F11"/>
    <mergeCell ref="F12:F13"/>
    <mergeCell ref="F14:F15"/>
    <mergeCell ref="F16:F17"/>
    <mergeCell ref="F20:F21"/>
    <mergeCell ref="F22:F23"/>
    <mergeCell ref="F24:F25"/>
    <mergeCell ref="G6:G7"/>
    <mergeCell ref="G8:G9"/>
    <mergeCell ref="G10:G11"/>
    <mergeCell ref="G12:G13"/>
    <mergeCell ref="G14:G15"/>
    <mergeCell ref="G16:G17"/>
    <mergeCell ref="G20:G21"/>
    <mergeCell ref="G22:G23"/>
    <mergeCell ref="G24:G25"/>
    <mergeCell ref="H6:H7"/>
    <mergeCell ref="H8:H9"/>
    <mergeCell ref="H10:H11"/>
    <mergeCell ref="H12:H13"/>
    <mergeCell ref="H14:H15"/>
    <mergeCell ref="H16:H17"/>
    <mergeCell ref="H20:H21"/>
    <mergeCell ref="H22:H23"/>
    <mergeCell ref="H24:H25"/>
    <mergeCell ref="I6:I7"/>
    <mergeCell ref="I8:I9"/>
    <mergeCell ref="I10:I11"/>
    <mergeCell ref="I12:I13"/>
    <mergeCell ref="I14:I15"/>
    <mergeCell ref="I16:I17"/>
    <mergeCell ref="I20:I21"/>
    <mergeCell ref="I22:I23"/>
    <mergeCell ref="I24:I25"/>
    <mergeCell ref="J6:J7"/>
    <mergeCell ref="J8:J9"/>
    <mergeCell ref="J10:J11"/>
    <mergeCell ref="J12:J13"/>
    <mergeCell ref="J14:J15"/>
    <mergeCell ref="J16:J17"/>
    <mergeCell ref="J20:J21"/>
    <mergeCell ref="J22:J23"/>
    <mergeCell ref="J24:J25"/>
    <mergeCell ref="B6:C7"/>
    <mergeCell ref="B8:C25"/>
    <mergeCell ref="D2:H4"/>
    <mergeCell ref="D16:E17"/>
  </mergeCells>
  <dataValidations count="1">
    <dataValidation type="list" allowBlank="1" showInputMessage="1" showErrorMessage="1" sqref="J5">
      <formula1>"是,否"</formula1>
    </dataValidation>
  </dataValidations>
  <pageMargins left="0.699305555555556" right="0.699305555555556" top="0.75" bottom="0.75" header="0.3" footer="0.3"/>
  <pageSetup paperSize="9" orientation="portrait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2795" name="List Box 2075" r:id="rId3">
              <controlPr locked="0" defaultSize="0">
                <anchor>
                  <from>
                    <xdr:col>1</xdr:col>
                    <xdr:colOff>9525</xdr:colOff>
                    <xdr:row>7</xdr:row>
                    <xdr:rowOff>9525</xdr:rowOff>
                  </from>
                  <to>
                    <xdr:col>2</xdr:col>
                    <xdr:colOff>685800</xdr:colOff>
                    <xdr:row>24</xdr:row>
                    <xdr:rowOff>180975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2:AA311"/>
  <sheetViews>
    <sheetView topLeftCell="A3" workbookViewId="0">
      <selection activeCell="I18" sqref="I18:I19"/>
    </sheetView>
  </sheetViews>
  <sheetFormatPr defaultColWidth="9" defaultRowHeight="13.5"/>
  <cols>
    <col min="1" max="2" width="9" style="7"/>
    <col min="3" max="3" width="7.75" style="7" customWidth="1"/>
    <col min="4" max="5" width="9" style="7"/>
    <col min="6" max="6" width="9.75" style="7" customWidth="1"/>
    <col min="7" max="7" width="9" style="7" customWidth="1"/>
    <col min="8" max="8" width="10" style="7" customWidth="1"/>
    <col min="9" max="10" width="9" style="7" customWidth="1"/>
    <col min="11" max="11" width="10" style="7" customWidth="1"/>
    <col min="12" max="12" width="0.25" style="7" customWidth="1"/>
    <col min="13" max="13" width="8.5" style="7" hidden="1" customWidth="1"/>
    <col min="14" max="14" width="8.25" style="23" hidden="1" customWidth="1"/>
    <col min="15" max="15" width="6" style="23" hidden="1" customWidth="1"/>
    <col min="16" max="16" width="9.375" style="23" hidden="1" customWidth="1"/>
    <col min="17" max="17" width="7.375" style="23" hidden="1" customWidth="1"/>
    <col min="18" max="18" width="8.125" style="7" hidden="1" customWidth="1"/>
    <col min="19" max="19" width="8.875" style="7" hidden="1" customWidth="1"/>
    <col min="20" max="20" width="8.375" style="7" hidden="1" customWidth="1"/>
    <col min="21" max="21" width="9.375" style="7" hidden="1" customWidth="1"/>
    <col min="22" max="24" width="9" style="7" hidden="1" customWidth="1"/>
    <col min="25" max="25" width="14.875" style="7" customWidth="1"/>
    <col min="26" max="26" width="14.25" style="7" customWidth="1"/>
    <col min="27" max="16384" width="9" style="7"/>
  </cols>
  <sheetData>
    <row r="2" customHeight="1" spans="14:17">
      <c r="N2" s="23" t="s">
        <v>379</v>
      </c>
      <c r="O2" s="41" t="s">
        <v>380</v>
      </c>
      <c r="P2" s="41" t="s">
        <v>381</v>
      </c>
      <c r="Q2" s="41" t="s">
        <v>382</v>
      </c>
    </row>
    <row r="3" customHeight="1" spans="14:17">
      <c r="N3" s="23">
        <v>1</v>
      </c>
      <c r="O3" s="23">
        <v>1</v>
      </c>
      <c r="P3" s="23">
        <f t="shared" ref="P3" si="0">$G$16*O3</f>
        <v>164</v>
      </c>
      <c r="Q3" s="23">
        <v>0</v>
      </c>
    </row>
    <row r="4" customHeight="1" spans="14:17">
      <c r="N4" s="23">
        <f t="shared" ref="N4" si="1">N3+1</f>
        <v>2</v>
      </c>
      <c r="O4" s="23">
        <v>1</v>
      </c>
      <c r="P4" s="23">
        <f t="shared" ref="P4:P35" si="2">$G$16*O4</f>
        <v>164</v>
      </c>
      <c r="Q4" s="23">
        <f t="shared" ref="Q4:Q7" si="3">P3+Q3</f>
        <v>164</v>
      </c>
    </row>
    <row r="5" customHeight="1" spans="14:17">
      <c r="N5" s="23">
        <f t="shared" ref="N5:N36" si="4">N4+1</f>
        <v>3</v>
      </c>
      <c r="O5" s="23">
        <v>1</v>
      </c>
      <c r="P5" s="23">
        <f t="shared" si="2"/>
        <v>164</v>
      </c>
      <c r="Q5" s="23">
        <f t="shared" si="3"/>
        <v>328</v>
      </c>
    </row>
    <row r="6" ht="14.25" customHeight="1" spans="14:17">
      <c r="N6" s="23">
        <f t="shared" si="4"/>
        <v>4</v>
      </c>
      <c r="O6" s="23">
        <v>1</v>
      </c>
      <c r="P6" s="23">
        <f t="shared" si="2"/>
        <v>164</v>
      </c>
      <c r="Q6" s="23">
        <f t="shared" si="3"/>
        <v>492</v>
      </c>
    </row>
    <row r="7" ht="14.25" customHeight="1" spans="6:17">
      <c r="F7" s="251" t="s">
        <v>383</v>
      </c>
      <c r="G7" s="251"/>
      <c r="H7" s="251"/>
      <c r="I7" s="251"/>
      <c r="N7" s="23">
        <f t="shared" si="4"/>
        <v>5</v>
      </c>
      <c r="O7" s="23">
        <v>1</v>
      </c>
      <c r="P7" s="23">
        <f t="shared" si="2"/>
        <v>164</v>
      </c>
      <c r="Q7" s="23">
        <f t="shared" si="3"/>
        <v>656</v>
      </c>
    </row>
    <row r="8" ht="14.25" customHeight="1" spans="6:26">
      <c r="F8" s="251"/>
      <c r="G8" s="251"/>
      <c r="H8" s="251"/>
      <c r="I8" s="251"/>
      <c r="L8" s="278"/>
      <c r="N8" s="23">
        <f t="shared" si="4"/>
        <v>6</v>
      </c>
      <c r="O8" s="23">
        <v>1</v>
      </c>
      <c r="P8" s="23">
        <f t="shared" si="2"/>
        <v>164</v>
      </c>
      <c r="Q8" s="23">
        <f t="shared" ref="Q8" si="5">P7+Q7</f>
        <v>820</v>
      </c>
      <c r="U8" s="219"/>
      <c r="V8" s="219"/>
      <c r="W8" s="219"/>
      <c r="X8" s="219"/>
      <c r="Y8" s="219"/>
      <c r="Z8" s="219"/>
    </row>
    <row r="9" ht="14.25" customHeight="1" spans="6:27">
      <c r="F9" s="251"/>
      <c r="G9" s="251"/>
      <c r="H9" s="251"/>
      <c r="I9" s="251"/>
      <c r="N9" s="23">
        <f t="shared" si="4"/>
        <v>7</v>
      </c>
      <c r="O9" s="23">
        <v>1.5</v>
      </c>
      <c r="P9" s="23">
        <f t="shared" si="2"/>
        <v>246</v>
      </c>
      <c r="Q9" s="23">
        <f t="shared" ref="Q9:Q40" si="6">P8+Q8</f>
        <v>984</v>
      </c>
      <c r="U9" s="219"/>
      <c r="V9" s="219"/>
      <c r="W9" s="219"/>
      <c r="X9" s="219"/>
      <c r="Y9" s="219"/>
      <c r="Z9" s="219"/>
      <c r="AA9" s="219"/>
    </row>
    <row r="10" ht="14.25" customHeight="1" spans="14:17">
      <c r="N10" s="23">
        <f t="shared" si="4"/>
        <v>8</v>
      </c>
      <c r="O10" s="23">
        <v>1.5</v>
      </c>
      <c r="P10" s="23">
        <f t="shared" si="2"/>
        <v>246</v>
      </c>
      <c r="Q10" s="23">
        <f t="shared" si="6"/>
        <v>1230</v>
      </c>
    </row>
    <row r="11" ht="14.25" customHeight="1" spans="14:17">
      <c r="N11" s="23">
        <f t="shared" si="4"/>
        <v>9</v>
      </c>
      <c r="O11" s="23">
        <v>1.5</v>
      </c>
      <c r="P11" s="23">
        <f t="shared" si="2"/>
        <v>246</v>
      </c>
      <c r="Q11" s="23">
        <f t="shared" si="6"/>
        <v>1476</v>
      </c>
    </row>
    <row r="12" ht="15.75" customHeight="1" spans="4:20">
      <c r="D12" s="252" t="s">
        <v>364</v>
      </c>
      <c r="E12" s="253"/>
      <c r="F12" s="254" t="str">
        <f>S12</f>
        <v>一灯</v>
      </c>
      <c r="G12" s="255" t="s">
        <v>384</v>
      </c>
      <c r="H12" s="255"/>
      <c r="I12" s="255"/>
      <c r="J12" s="255"/>
      <c r="K12" s="253"/>
      <c r="N12" s="23">
        <f t="shared" si="4"/>
        <v>10</v>
      </c>
      <c r="O12" s="23">
        <v>1.5</v>
      </c>
      <c r="P12" s="23">
        <f t="shared" si="2"/>
        <v>246</v>
      </c>
      <c r="Q12" s="23">
        <f t="shared" si="6"/>
        <v>1722</v>
      </c>
      <c r="S12" s="4" t="str">
        <f>INDEX(弟子基础属性!C3:C67,$S$13)</f>
        <v>一灯</v>
      </c>
      <c r="T12" s="4"/>
    </row>
    <row r="13" ht="15.75" customHeight="1" spans="4:20">
      <c r="D13" s="256"/>
      <c r="E13" s="257"/>
      <c r="F13" s="258"/>
      <c r="G13" s="259"/>
      <c r="H13" s="259"/>
      <c r="I13" s="259"/>
      <c r="J13" s="259"/>
      <c r="K13" s="257"/>
      <c r="N13" s="23">
        <f t="shared" si="4"/>
        <v>11</v>
      </c>
      <c r="O13" s="23">
        <v>1.5</v>
      </c>
      <c r="P13" s="23">
        <f t="shared" si="2"/>
        <v>246</v>
      </c>
      <c r="Q13" s="23">
        <f t="shared" si="6"/>
        <v>1968</v>
      </c>
      <c r="S13" s="4">
        <v>41</v>
      </c>
      <c r="T13" s="4"/>
    </row>
    <row r="14" ht="14.25" customHeight="1" spans="4:20">
      <c r="D14" s="260"/>
      <c r="E14" s="261"/>
      <c r="F14" s="262" t="s">
        <v>385</v>
      </c>
      <c r="G14" s="263" t="s">
        <v>386</v>
      </c>
      <c r="H14" s="264"/>
      <c r="I14" s="279">
        <v>171</v>
      </c>
      <c r="J14" s="280" t="s">
        <v>387</v>
      </c>
      <c r="K14" s="281">
        <f>VLOOKUP($I$14,$N$3:$P$311,3,0)</f>
        <v>2446388</v>
      </c>
      <c r="N14" s="23">
        <f t="shared" si="4"/>
        <v>12</v>
      </c>
      <c r="O14" s="23">
        <v>1.5</v>
      </c>
      <c r="P14" s="23">
        <f t="shared" si="2"/>
        <v>246</v>
      </c>
      <c r="Q14" s="23">
        <f t="shared" si="6"/>
        <v>2214</v>
      </c>
      <c r="S14" s="4">
        <f>VLOOKUP($G$18,$N$3:$Q$311,4,0)</f>
        <v>320616802</v>
      </c>
      <c r="T14" s="4"/>
    </row>
    <row r="15" customHeight="1" spans="4:21">
      <c r="D15" s="260"/>
      <c r="E15" s="261"/>
      <c r="F15" s="265"/>
      <c r="G15" s="266"/>
      <c r="H15" s="45"/>
      <c r="I15" s="282"/>
      <c r="J15" s="283"/>
      <c r="K15" s="284"/>
      <c r="N15" s="23">
        <f t="shared" si="4"/>
        <v>13</v>
      </c>
      <c r="O15" s="23">
        <v>1.5</v>
      </c>
      <c r="P15" s="23">
        <f t="shared" si="2"/>
        <v>246</v>
      </c>
      <c r="Q15" s="23">
        <f t="shared" si="6"/>
        <v>2460</v>
      </c>
      <c r="S15" s="4">
        <f>VLOOKUP($I$18,$N$3:$Q$311,4,0)</f>
        <v>360823944</v>
      </c>
      <c r="T15" s="4"/>
      <c r="U15" s="278" t="s">
        <v>361</v>
      </c>
    </row>
    <row r="16" customHeight="1" spans="4:17">
      <c r="D16" s="260"/>
      <c r="E16" s="261"/>
      <c r="F16" s="267" t="s">
        <v>388</v>
      </c>
      <c r="G16" s="268">
        <f>VLOOKUP($F$12,弟子基础属性!$C$1:$P$183,4,0)</f>
        <v>164</v>
      </c>
      <c r="H16" s="45"/>
      <c r="I16" s="221"/>
      <c r="J16" s="283" t="s">
        <v>388</v>
      </c>
      <c r="K16" s="284"/>
      <c r="L16" s="278"/>
      <c r="N16" s="23">
        <f t="shared" si="4"/>
        <v>14</v>
      </c>
      <c r="O16" s="23">
        <v>1.5</v>
      </c>
      <c r="P16" s="23">
        <f t="shared" si="2"/>
        <v>246</v>
      </c>
      <c r="Q16" s="23">
        <f t="shared" si="6"/>
        <v>2706</v>
      </c>
    </row>
    <row r="17" customHeight="1" spans="4:26">
      <c r="D17" s="260"/>
      <c r="E17" s="261"/>
      <c r="F17" s="269"/>
      <c r="G17" s="270"/>
      <c r="H17" s="271"/>
      <c r="I17" s="243"/>
      <c r="J17" s="285"/>
      <c r="K17" s="286"/>
      <c r="N17" s="23">
        <f t="shared" si="4"/>
        <v>15</v>
      </c>
      <c r="O17" s="23">
        <v>1.5</v>
      </c>
      <c r="P17" s="23">
        <f t="shared" si="2"/>
        <v>246</v>
      </c>
      <c r="Q17" s="23">
        <f t="shared" si="6"/>
        <v>2952</v>
      </c>
      <c r="U17" s="219" t="s">
        <v>389</v>
      </c>
      <c r="V17" s="219"/>
      <c r="W17" s="219"/>
      <c r="X17" s="219"/>
      <c r="Y17" s="219"/>
      <c r="Z17" s="219"/>
    </row>
    <row r="18" customHeight="1" spans="4:26">
      <c r="D18" s="260"/>
      <c r="E18" s="261"/>
      <c r="F18" s="262" t="s">
        <v>390</v>
      </c>
      <c r="G18" s="272">
        <v>240</v>
      </c>
      <c r="H18" s="264"/>
      <c r="I18" s="272">
        <v>250</v>
      </c>
      <c r="J18" s="287" t="s">
        <v>391</v>
      </c>
      <c r="K18" s="288">
        <f>S15-S14</f>
        <v>40207142</v>
      </c>
      <c r="L18" s="278"/>
      <c r="N18" s="23">
        <f t="shared" si="4"/>
        <v>16</v>
      </c>
      <c r="O18" s="23">
        <v>3.5</v>
      </c>
      <c r="P18" s="23">
        <f t="shared" si="2"/>
        <v>574</v>
      </c>
      <c r="Q18" s="23">
        <f t="shared" si="6"/>
        <v>3198</v>
      </c>
      <c r="U18" s="219"/>
      <c r="V18" s="219"/>
      <c r="W18" s="219"/>
      <c r="X18" s="219"/>
      <c r="Y18" s="219"/>
      <c r="Z18" s="219"/>
    </row>
    <row r="19" spans="4:27">
      <c r="D19" s="260"/>
      <c r="E19" s="261"/>
      <c r="F19" s="265"/>
      <c r="G19" s="273"/>
      <c r="H19" s="45"/>
      <c r="I19" s="273"/>
      <c r="J19" s="289"/>
      <c r="K19" s="290"/>
      <c r="N19" s="23">
        <f t="shared" si="4"/>
        <v>17</v>
      </c>
      <c r="O19" s="23">
        <v>3.5</v>
      </c>
      <c r="P19" s="23">
        <f t="shared" si="2"/>
        <v>574</v>
      </c>
      <c r="Q19" s="23">
        <f t="shared" si="6"/>
        <v>3772</v>
      </c>
      <c r="U19" s="219" t="s">
        <v>392</v>
      </c>
      <c r="V19" s="219"/>
      <c r="W19" s="219"/>
      <c r="X19" s="219"/>
      <c r="Y19" s="219"/>
      <c r="Z19" s="219"/>
      <c r="AA19" s="219"/>
    </row>
    <row r="20" customHeight="1" spans="4:17">
      <c r="D20" s="260"/>
      <c r="E20" s="261"/>
      <c r="F20" s="267" t="s">
        <v>388</v>
      </c>
      <c r="G20" s="274"/>
      <c r="H20" s="45"/>
      <c r="I20" s="274"/>
      <c r="J20" s="289" t="s">
        <v>388</v>
      </c>
      <c r="K20" s="290"/>
      <c r="N20" s="23">
        <f t="shared" si="4"/>
        <v>18</v>
      </c>
      <c r="O20" s="23">
        <v>3.5</v>
      </c>
      <c r="P20" s="23">
        <f t="shared" si="2"/>
        <v>574</v>
      </c>
      <c r="Q20" s="23">
        <f t="shared" si="6"/>
        <v>4346</v>
      </c>
    </row>
    <row r="21" customHeight="1" spans="4:17">
      <c r="D21" s="275"/>
      <c r="E21" s="276"/>
      <c r="F21" s="269"/>
      <c r="G21" s="277"/>
      <c r="H21" s="271"/>
      <c r="I21" s="277"/>
      <c r="J21" s="291"/>
      <c r="K21" s="292"/>
      <c r="N21" s="23">
        <f t="shared" si="4"/>
        <v>19</v>
      </c>
      <c r="O21" s="23">
        <v>3.5</v>
      </c>
      <c r="P21" s="23">
        <f t="shared" si="2"/>
        <v>574</v>
      </c>
      <c r="Q21" s="23">
        <f t="shared" si="6"/>
        <v>4920</v>
      </c>
    </row>
    <row r="22" ht="14.25" spans="14:17">
      <c r="N22" s="23">
        <f t="shared" si="4"/>
        <v>20</v>
      </c>
      <c r="O22" s="23">
        <v>3.5</v>
      </c>
      <c r="P22" s="23">
        <f t="shared" si="2"/>
        <v>574</v>
      </c>
      <c r="Q22" s="23">
        <f t="shared" si="6"/>
        <v>5494</v>
      </c>
    </row>
    <row r="23" spans="14:17">
      <c r="N23" s="23">
        <f t="shared" si="4"/>
        <v>21</v>
      </c>
      <c r="O23" s="23">
        <v>3.5</v>
      </c>
      <c r="P23" s="23">
        <f t="shared" si="2"/>
        <v>574</v>
      </c>
      <c r="Q23" s="23">
        <f t="shared" si="6"/>
        <v>6068</v>
      </c>
    </row>
    <row r="24" spans="14:17">
      <c r="N24" s="23">
        <f t="shared" si="4"/>
        <v>22</v>
      </c>
      <c r="O24" s="23">
        <v>6</v>
      </c>
      <c r="P24" s="23">
        <f t="shared" si="2"/>
        <v>984</v>
      </c>
      <c r="Q24" s="23">
        <f t="shared" si="6"/>
        <v>6642</v>
      </c>
    </row>
    <row r="25" spans="14:17">
      <c r="N25" s="23">
        <f t="shared" si="4"/>
        <v>23</v>
      </c>
      <c r="O25" s="23">
        <v>6</v>
      </c>
      <c r="P25" s="23">
        <f t="shared" si="2"/>
        <v>984</v>
      </c>
      <c r="Q25" s="23">
        <f t="shared" si="6"/>
        <v>7626</v>
      </c>
    </row>
    <row r="26" spans="14:17">
      <c r="N26" s="23">
        <f t="shared" si="4"/>
        <v>24</v>
      </c>
      <c r="O26" s="23">
        <v>6</v>
      </c>
      <c r="P26" s="23">
        <f t="shared" si="2"/>
        <v>984</v>
      </c>
      <c r="Q26" s="23">
        <f t="shared" si="6"/>
        <v>8610</v>
      </c>
    </row>
    <row r="27" spans="14:17">
      <c r="N27" s="23">
        <f t="shared" si="4"/>
        <v>25</v>
      </c>
      <c r="O27" s="23">
        <v>9</v>
      </c>
      <c r="P27" s="23">
        <f t="shared" si="2"/>
        <v>1476</v>
      </c>
      <c r="Q27" s="23">
        <f t="shared" si="6"/>
        <v>9594</v>
      </c>
    </row>
    <row r="28" spans="14:17">
      <c r="N28" s="23">
        <f t="shared" si="4"/>
        <v>26</v>
      </c>
      <c r="O28" s="23">
        <v>9</v>
      </c>
      <c r="P28" s="23">
        <f t="shared" si="2"/>
        <v>1476</v>
      </c>
      <c r="Q28" s="23">
        <f t="shared" si="6"/>
        <v>11070</v>
      </c>
    </row>
    <row r="29" spans="14:17">
      <c r="N29" s="23">
        <f t="shared" si="4"/>
        <v>27</v>
      </c>
      <c r="O29" s="23">
        <v>9</v>
      </c>
      <c r="P29" s="23">
        <f t="shared" si="2"/>
        <v>1476</v>
      </c>
      <c r="Q29" s="23">
        <f t="shared" si="6"/>
        <v>12546</v>
      </c>
    </row>
    <row r="30" spans="14:17">
      <c r="N30" s="23">
        <f t="shared" si="4"/>
        <v>28</v>
      </c>
      <c r="O30" s="23">
        <v>10</v>
      </c>
      <c r="P30" s="23">
        <f t="shared" si="2"/>
        <v>1640</v>
      </c>
      <c r="Q30" s="23">
        <f t="shared" si="6"/>
        <v>14022</v>
      </c>
    </row>
    <row r="31" spans="14:17">
      <c r="N31" s="23">
        <f t="shared" si="4"/>
        <v>29</v>
      </c>
      <c r="O31" s="23">
        <v>10</v>
      </c>
      <c r="P31" s="23">
        <f t="shared" si="2"/>
        <v>1640</v>
      </c>
      <c r="Q31" s="23">
        <f t="shared" si="6"/>
        <v>15662</v>
      </c>
    </row>
    <row r="32" spans="14:17">
      <c r="N32" s="23">
        <f t="shared" si="4"/>
        <v>30</v>
      </c>
      <c r="O32" s="23">
        <v>10</v>
      </c>
      <c r="P32" s="23">
        <f t="shared" si="2"/>
        <v>1640</v>
      </c>
      <c r="Q32" s="23">
        <f t="shared" si="6"/>
        <v>17302</v>
      </c>
    </row>
    <row r="33" spans="14:17">
      <c r="N33" s="23">
        <f t="shared" si="4"/>
        <v>31</v>
      </c>
      <c r="O33" s="23">
        <v>14</v>
      </c>
      <c r="P33" s="23">
        <f t="shared" si="2"/>
        <v>2296</v>
      </c>
      <c r="Q33" s="23">
        <f t="shared" si="6"/>
        <v>18942</v>
      </c>
    </row>
    <row r="34" spans="14:17">
      <c r="N34" s="23">
        <f t="shared" si="4"/>
        <v>32</v>
      </c>
      <c r="O34" s="23">
        <v>14</v>
      </c>
      <c r="P34" s="23">
        <f t="shared" si="2"/>
        <v>2296</v>
      </c>
      <c r="Q34" s="23">
        <f t="shared" si="6"/>
        <v>21238</v>
      </c>
    </row>
    <row r="35" spans="14:17">
      <c r="N35" s="23">
        <f t="shared" si="4"/>
        <v>33</v>
      </c>
      <c r="O35" s="23">
        <v>14</v>
      </c>
      <c r="P35" s="23">
        <f t="shared" si="2"/>
        <v>2296</v>
      </c>
      <c r="Q35" s="23">
        <f t="shared" si="6"/>
        <v>23534</v>
      </c>
    </row>
    <row r="36" spans="14:17">
      <c r="N36" s="23">
        <f t="shared" si="4"/>
        <v>34</v>
      </c>
      <c r="O36" s="23">
        <v>15.5</v>
      </c>
      <c r="P36" s="23">
        <f t="shared" ref="P36:P66" si="7">$G$16*O36</f>
        <v>2542</v>
      </c>
      <c r="Q36" s="23">
        <f t="shared" si="6"/>
        <v>25830</v>
      </c>
    </row>
    <row r="37" spans="14:17">
      <c r="N37" s="23">
        <f t="shared" ref="N37:N67" si="8">N36+1</f>
        <v>35</v>
      </c>
      <c r="O37" s="23">
        <v>15.5</v>
      </c>
      <c r="P37" s="23">
        <f t="shared" si="7"/>
        <v>2542</v>
      </c>
      <c r="Q37" s="23">
        <f t="shared" si="6"/>
        <v>28372</v>
      </c>
    </row>
    <row r="38" spans="14:17">
      <c r="N38" s="23">
        <f t="shared" si="8"/>
        <v>36</v>
      </c>
      <c r="O38" s="23">
        <v>15.5</v>
      </c>
      <c r="P38" s="23">
        <f t="shared" si="7"/>
        <v>2542</v>
      </c>
      <c r="Q38" s="23">
        <f t="shared" si="6"/>
        <v>30914</v>
      </c>
    </row>
    <row r="39" spans="14:17">
      <c r="N39" s="23">
        <f t="shared" si="8"/>
        <v>37</v>
      </c>
      <c r="O39" s="23">
        <v>20.5</v>
      </c>
      <c r="P39" s="23">
        <f t="shared" si="7"/>
        <v>3362</v>
      </c>
      <c r="Q39" s="23">
        <f t="shared" si="6"/>
        <v>33456</v>
      </c>
    </row>
    <row r="40" spans="14:17">
      <c r="N40" s="23">
        <f t="shared" si="8"/>
        <v>38</v>
      </c>
      <c r="O40" s="23">
        <v>20.5</v>
      </c>
      <c r="P40" s="23">
        <f t="shared" si="7"/>
        <v>3362</v>
      </c>
      <c r="Q40" s="23">
        <f t="shared" si="6"/>
        <v>36818</v>
      </c>
    </row>
    <row r="41" spans="14:17">
      <c r="N41" s="23">
        <f t="shared" si="8"/>
        <v>39</v>
      </c>
      <c r="O41" s="23">
        <v>20.5</v>
      </c>
      <c r="P41" s="23">
        <f t="shared" si="7"/>
        <v>3362</v>
      </c>
      <c r="Q41" s="23">
        <f t="shared" ref="Q41:Q71" si="9">P40+Q40</f>
        <v>40180</v>
      </c>
    </row>
    <row r="42" spans="14:17">
      <c r="N42" s="23">
        <f t="shared" si="8"/>
        <v>40</v>
      </c>
      <c r="O42" s="23">
        <v>23</v>
      </c>
      <c r="P42" s="23">
        <f t="shared" si="7"/>
        <v>3772</v>
      </c>
      <c r="Q42" s="23">
        <f t="shared" si="9"/>
        <v>43542</v>
      </c>
    </row>
    <row r="43" spans="14:17">
      <c r="N43" s="23">
        <f t="shared" si="8"/>
        <v>41</v>
      </c>
      <c r="O43" s="23">
        <v>23</v>
      </c>
      <c r="P43" s="23">
        <f t="shared" si="7"/>
        <v>3772</v>
      </c>
      <c r="Q43" s="23">
        <f t="shared" si="9"/>
        <v>47314</v>
      </c>
    </row>
    <row r="44" spans="14:17">
      <c r="N44" s="23">
        <f t="shared" si="8"/>
        <v>42</v>
      </c>
      <c r="O44" s="23">
        <v>23</v>
      </c>
      <c r="P44" s="23">
        <f t="shared" si="7"/>
        <v>3772</v>
      </c>
      <c r="Q44" s="23">
        <f t="shared" si="9"/>
        <v>51086</v>
      </c>
    </row>
    <row r="45" spans="14:17">
      <c r="N45" s="23">
        <f t="shared" si="8"/>
        <v>43</v>
      </c>
      <c r="O45" s="23">
        <v>30</v>
      </c>
      <c r="P45" s="23">
        <f t="shared" si="7"/>
        <v>4920</v>
      </c>
      <c r="Q45" s="23">
        <f t="shared" si="9"/>
        <v>54858</v>
      </c>
    </row>
    <row r="46" spans="14:17">
      <c r="N46" s="23">
        <f t="shared" si="8"/>
        <v>44</v>
      </c>
      <c r="O46" s="23">
        <v>30</v>
      </c>
      <c r="P46" s="23">
        <f t="shared" si="7"/>
        <v>4920</v>
      </c>
      <c r="Q46" s="23">
        <f t="shared" si="9"/>
        <v>59778</v>
      </c>
    </row>
    <row r="47" spans="14:17">
      <c r="N47" s="23">
        <f t="shared" si="8"/>
        <v>45</v>
      </c>
      <c r="O47" s="23">
        <v>30</v>
      </c>
      <c r="P47" s="23">
        <f t="shared" si="7"/>
        <v>4920</v>
      </c>
      <c r="Q47" s="23">
        <f t="shared" si="9"/>
        <v>64698</v>
      </c>
    </row>
    <row r="48" spans="14:17">
      <c r="N48" s="23">
        <f t="shared" si="8"/>
        <v>46</v>
      </c>
      <c r="O48" s="23">
        <v>33.5</v>
      </c>
      <c r="P48" s="23">
        <f t="shared" si="7"/>
        <v>5494</v>
      </c>
      <c r="Q48" s="23">
        <f t="shared" si="9"/>
        <v>69618</v>
      </c>
    </row>
    <row r="49" spans="14:17">
      <c r="N49" s="23">
        <f t="shared" si="8"/>
        <v>47</v>
      </c>
      <c r="O49" s="23">
        <v>33.5</v>
      </c>
      <c r="P49" s="23">
        <f t="shared" si="7"/>
        <v>5494</v>
      </c>
      <c r="Q49" s="23">
        <f t="shared" si="9"/>
        <v>75112</v>
      </c>
    </row>
    <row r="50" spans="14:17">
      <c r="N50" s="23">
        <f t="shared" si="8"/>
        <v>48</v>
      </c>
      <c r="O50" s="23">
        <v>33.5</v>
      </c>
      <c r="P50" s="23">
        <f t="shared" si="7"/>
        <v>5494</v>
      </c>
      <c r="Q50" s="23">
        <f t="shared" si="9"/>
        <v>80606</v>
      </c>
    </row>
    <row r="51" spans="14:17">
      <c r="N51" s="23">
        <f t="shared" si="8"/>
        <v>49</v>
      </c>
      <c r="O51" s="23">
        <v>42</v>
      </c>
      <c r="P51" s="23">
        <f t="shared" si="7"/>
        <v>6888</v>
      </c>
      <c r="Q51" s="23">
        <f t="shared" si="9"/>
        <v>86100</v>
      </c>
    </row>
    <row r="52" spans="14:17">
      <c r="N52" s="23">
        <f t="shared" si="8"/>
        <v>50</v>
      </c>
      <c r="O52" s="23">
        <v>42</v>
      </c>
      <c r="P52" s="23">
        <f t="shared" si="7"/>
        <v>6888</v>
      </c>
      <c r="Q52" s="23">
        <f t="shared" si="9"/>
        <v>92988</v>
      </c>
    </row>
    <row r="53" spans="14:17">
      <c r="N53" s="23">
        <f t="shared" si="8"/>
        <v>51</v>
      </c>
      <c r="O53" s="23">
        <v>42</v>
      </c>
      <c r="P53" s="23">
        <f t="shared" si="7"/>
        <v>6888</v>
      </c>
      <c r="Q53" s="23">
        <f t="shared" si="9"/>
        <v>99876</v>
      </c>
    </row>
    <row r="54" spans="14:17">
      <c r="N54" s="23">
        <f t="shared" si="8"/>
        <v>52</v>
      </c>
      <c r="O54" s="23">
        <v>47</v>
      </c>
      <c r="P54" s="23">
        <f t="shared" si="7"/>
        <v>7708</v>
      </c>
      <c r="Q54" s="23">
        <f t="shared" si="9"/>
        <v>106764</v>
      </c>
    </row>
    <row r="55" spans="14:17">
      <c r="N55" s="23">
        <f t="shared" si="8"/>
        <v>53</v>
      </c>
      <c r="O55" s="23">
        <v>47</v>
      </c>
      <c r="P55" s="23">
        <f t="shared" si="7"/>
        <v>7708</v>
      </c>
      <c r="Q55" s="23">
        <f t="shared" si="9"/>
        <v>114472</v>
      </c>
    </row>
    <row r="56" spans="14:17">
      <c r="N56" s="23">
        <f t="shared" si="8"/>
        <v>54</v>
      </c>
      <c r="O56" s="23">
        <v>47</v>
      </c>
      <c r="P56" s="23">
        <f t="shared" si="7"/>
        <v>7708</v>
      </c>
      <c r="Q56" s="23">
        <f t="shared" si="9"/>
        <v>122180</v>
      </c>
    </row>
    <row r="57" spans="14:17">
      <c r="N57" s="23">
        <f t="shared" si="8"/>
        <v>55</v>
      </c>
      <c r="O57" s="23">
        <v>58</v>
      </c>
      <c r="P57" s="23">
        <f t="shared" si="7"/>
        <v>9512</v>
      </c>
      <c r="Q57" s="23">
        <f t="shared" si="9"/>
        <v>129888</v>
      </c>
    </row>
    <row r="58" spans="14:17">
      <c r="N58" s="23">
        <f t="shared" si="8"/>
        <v>56</v>
      </c>
      <c r="O58" s="23">
        <v>58</v>
      </c>
      <c r="P58" s="23">
        <f t="shared" si="7"/>
        <v>9512</v>
      </c>
      <c r="Q58" s="23">
        <f t="shared" si="9"/>
        <v>139400</v>
      </c>
    </row>
    <row r="59" spans="14:17">
      <c r="N59" s="23">
        <f t="shared" si="8"/>
        <v>57</v>
      </c>
      <c r="O59" s="23">
        <v>58</v>
      </c>
      <c r="P59" s="23">
        <f t="shared" si="7"/>
        <v>9512</v>
      </c>
      <c r="Q59" s="23">
        <f t="shared" si="9"/>
        <v>148912</v>
      </c>
    </row>
    <row r="60" spans="14:17">
      <c r="N60" s="23">
        <f t="shared" si="8"/>
        <v>58</v>
      </c>
      <c r="O60" s="23">
        <v>64</v>
      </c>
      <c r="P60" s="23">
        <f t="shared" si="7"/>
        <v>10496</v>
      </c>
      <c r="Q60" s="23">
        <f t="shared" si="9"/>
        <v>158424</v>
      </c>
    </row>
    <row r="61" spans="14:17">
      <c r="N61" s="23">
        <f t="shared" si="8"/>
        <v>59</v>
      </c>
      <c r="O61" s="23">
        <v>64</v>
      </c>
      <c r="P61" s="23">
        <f t="shared" si="7"/>
        <v>10496</v>
      </c>
      <c r="Q61" s="23">
        <f t="shared" si="9"/>
        <v>168920</v>
      </c>
    </row>
    <row r="62" spans="14:17">
      <c r="N62" s="23">
        <f t="shared" si="8"/>
        <v>60</v>
      </c>
      <c r="O62" s="23">
        <v>64</v>
      </c>
      <c r="P62" s="23">
        <f t="shared" si="7"/>
        <v>10496</v>
      </c>
      <c r="Q62" s="23">
        <f t="shared" si="9"/>
        <v>179416</v>
      </c>
    </row>
    <row r="63" spans="14:17">
      <c r="N63" s="23">
        <f t="shared" si="8"/>
        <v>61</v>
      </c>
      <c r="O63" s="23">
        <v>78.5</v>
      </c>
      <c r="P63" s="23">
        <f t="shared" si="7"/>
        <v>12874</v>
      </c>
      <c r="Q63" s="23">
        <f t="shared" si="9"/>
        <v>189912</v>
      </c>
    </row>
    <row r="64" spans="14:17">
      <c r="N64" s="23">
        <f t="shared" si="8"/>
        <v>62</v>
      </c>
      <c r="O64" s="23">
        <v>78.5</v>
      </c>
      <c r="P64" s="23">
        <f t="shared" si="7"/>
        <v>12874</v>
      </c>
      <c r="Q64" s="23">
        <f t="shared" si="9"/>
        <v>202786</v>
      </c>
    </row>
    <row r="65" spans="14:17">
      <c r="N65" s="23">
        <f t="shared" si="8"/>
        <v>63</v>
      </c>
      <c r="O65" s="23">
        <v>78.5</v>
      </c>
      <c r="P65" s="23">
        <f t="shared" si="7"/>
        <v>12874</v>
      </c>
      <c r="Q65" s="23">
        <f t="shared" si="9"/>
        <v>215660</v>
      </c>
    </row>
    <row r="66" spans="14:17">
      <c r="N66" s="23">
        <f t="shared" si="8"/>
        <v>64</v>
      </c>
      <c r="O66" s="23">
        <v>104</v>
      </c>
      <c r="P66" s="23">
        <f t="shared" si="7"/>
        <v>17056</v>
      </c>
      <c r="Q66" s="23">
        <f t="shared" si="9"/>
        <v>228534</v>
      </c>
    </row>
    <row r="67" spans="14:17">
      <c r="N67" s="23">
        <f t="shared" si="8"/>
        <v>65</v>
      </c>
      <c r="O67" s="23">
        <v>104</v>
      </c>
      <c r="P67" s="23">
        <f t="shared" ref="P67" si="10">$G$16*O67</f>
        <v>17056</v>
      </c>
      <c r="Q67" s="23">
        <f t="shared" si="9"/>
        <v>245590</v>
      </c>
    </row>
    <row r="68" spans="14:17">
      <c r="N68" s="23">
        <f t="shared" ref="N68" si="11">N67+1</f>
        <v>66</v>
      </c>
      <c r="O68" s="23">
        <v>104</v>
      </c>
      <c r="P68" s="23">
        <f t="shared" ref="P68:P99" si="12">$G$16*O68</f>
        <v>17056</v>
      </c>
      <c r="Q68" s="23">
        <f t="shared" si="9"/>
        <v>262646</v>
      </c>
    </row>
    <row r="69" spans="14:17">
      <c r="N69" s="23">
        <f t="shared" ref="N69:N100" si="13">N68+1</f>
        <v>67</v>
      </c>
      <c r="O69" s="23">
        <v>134.5</v>
      </c>
      <c r="P69" s="23">
        <f t="shared" si="12"/>
        <v>22058</v>
      </c>
      <c r="Q69" s="23">
        <f t="shared" si="9"/>
        <v>279702</v>
      </c>
    </row>
    <row r="70" spans="14:17">
      <c r="N70" s="23">
        <f t="shared" si="13"/>
        <v>68</v>
      </c>
      <c r="O70" s="23">
        <v>134.5</v>
      </c>
      <c r="P70" s="23">
        <f t="shared" si="12"/>
        <v>22058</v>
      </c>
      <c r="Q70" s="23">
        <f t="shared" si="9"/>
        <v>301760</v>
      </c>
    </row>
    <row r="71" spans="14:17">
      <c r="N71" s="23">
        <f t="shared" si="13"/>
        <v>69</v>
      </c>
      <c r="O71" s="23">
        <v>134.5</v>
      </c>
      <c r="P71" s="23">
        <f t="shared" si="12"/>
        <v>22058</v>
      </c>
      <c r="Q71" s="23">
        <f t="shared" si="9"/>
        <v>323818</v>
      </c>
    </row>
    <row r="72" spans="14:17">
      <c r="N72" s="23">
        <f t="shared" si="13"/>
        <v>70</v>
      </c>
      <c r="O72" s="23">
        <f>29832/176</f>
        <v>169.5</v>
      </c>
      <c r="P72" s="23">
        <f t="shared" si="12"/>
        <v>27798</v>
      </c>
      <c r="Q72" s="23">
        <f t="shared" ref="Q72" si="14">P71+Q71</f>
        <v>345876</v>
      </c>
    </row>
    <row r="73" spans="14:17">
      <c r="N73" s="23">
        <f t="shared" si="13"/>
        <v>71</v>
      </c>
      <c r="O73" s="23">
        <v>169.5</v>
      </c>
      <c r="P73" s="23">
        <f t="shared" si="12"/>
        <v>27798</v>
      </c>
      <c r="Q73" s="23">
        <f t="shared" ref="Q73:Q104" si="15">P72+Q72</f>
        <v>373674</v>
      </c>
    </row>
    <row r="74" spans="14:17">
      <c r="N74" s="23">
        <f t="shared" si="13"/>
        <v>72</v>
      </c>
      <c r="O74" s="23">
        <f>26442/156</f>
        <v>169.5</v>
      </c>
      <c r="P74" s="23">
        <f t="shared" si="12"/>
        <v>27798</v>
      </c>
      <c r="Q74" s="23">
        <f t="shared" si="15"/>
        <v>401472</v>
      </c>
    </row>
    <row r="75" spans="14:17">
      <c r="N75" s="23">
        <f t="shared" si="13"/>
        <v>73</v>
      </c>
      <c r="O75" s="23">
        <f>36960/176</f>
        <v>210</v>
      </c>
      <c r="P75" s="23">
        <f t="shared" si="12"/>
        <v>34440</v>
      </c>
      <c r="Q75" s="23">
        <f t="shared" si="15"/>
        <v>429270</v>
      </c>
    </row>
    <row r="76" spans="14:17">
      <c r="N76" s="23">
        <f t="shared" si="13"/>
        <v>74</v>
      </c>
      <c r="O76" s="23">
        <v>210</v>
      </c>
      <c r="P76" s="23">
        <f t="shared" si="12"/>
        <v>34440</v>
      </c>
      <c r="Q76" s="23">
        <f t="shared" si="15"/>
        <v>463710</v>
      </c>
    </row>
    <row r="77" spans="14:17">
      <c r="N77" s="23">
        <f t="shared" si="13"/>
        <v>75</v>
      </c>
      <c r="O77" s="23">
        <f>31920/152</f>
        <v>210</v>
      </c>
      <c r="P77" s="23">
        <f t="shared" si="12"/>
        <v>34440</v>
      </c>
      <c r="Q77" s="23">
        <f t="shared" si="15"/>
        <v>498150</v>
      </c>
    </row>
    <row r="78" spans="14:17">
      <c r="N78" s="23">
        <f t="shared" si="13"/>
        <v>76</v>
      </c>
      <c r="O78" s="23">
        <v>257</v>
      </c>
      <c r="P78" s="23">
        <f t="shared" si="12"/>
        <v>42148</v>
      </c>
      <c r="Q78" s="23">
        <f t="shared" si="15"/>
        <v>532590</v>
      </c>
    </row>
    <row r="79" spans="14:17">
      <c r="N79" s="23">
        <f t="shared" si="13"/>
        <v>77</v>
      </c>
      <c r="O79" s="23">
        <v>257</v>
      </c>
      <c r="P79" s="23">
        <f t="shared" si="12"/>
        <v>42148</v>
      </c>
      <c r="Q79" s="23">
        <f t="shared" si="15"/>
        <v>574738</v>
      </c>
    </row>
    <row r="80" spans="14:17">
      <c r="N80" s="23">
        <f t="shared" si="13"/>
        <v>78</v>
      </c>
      <c r="O80" s="23">
        <v>257</v>
      </c>
      <c r="P80" s="23">
        <f t="shared" si="12"/>
        <v>42148</v>
      </c>
      <c r="Q80" s="23">
        <f t="shared" si="15"/>
        <v>616886</v>
      </c>
    </row>
    <row r="81" spans="14:17">
      <c r="N81" s="23">
        <f t="shared" si="13"/>
        <v>79</v>
      </c>
      <c r="O81" s="23">
        <v>425</v>
      </c>
      <c r="P81" s="23">
        <f t="shared" si="12"/>
        <v>69700</v>
      </c>
      <c r="Q81" s="23">
        <f t="shared" si="15"/>
        <v>659034</v>
      </c>
    </row>
    <row r="82" spans="14:17">
      <c r="N82" s="23">
        <f t="shared" si="13"/>
        <v>80</v>
      </c>
      <c r="O82" s="23">
        <f>83300/196</f>
        <v>425</v>
      </c>
      <c r="P82" s="23">
        <f t="shared" si="12"/>
        <v>69700</v>
      </c>
      <c r="Q82" s="23">
        <f t="shared" si="15"/>
        <v>728734</v>
      </c>
    </row>
    <row r="83" spans="14:17">
      <c r="N83" s="23">
        <f t="shared" si="13"/>
        <v>81</v>
      </c>
      <c r="O83" s="23">
        <f>88400/208</f>
        <v>425</v>
      </c>
      <c r="P83" s="23">
        <f t="shared" si="12"/>
        <v>69700</v>
      </c>
      <c r="Q83" s="23">
        <f t="shared" si="15"/>
        <v>798434</v>
      </c>
    </row>
    <row r="84" spans="14:17">
      <c r="N84" s="23">
        <f t="shared" si="13"/>
        <v>82</v>
      </c>
      <c r="O84" s="23">
        <f>84150/180</f>
        <v>467.5</v>
      </c>
      <c r="P84" s="23">
        <f t="shared" si="12"/>
        <v>76670</v>
      </c>
      <c r="Q84" s="23">
        <f t="shared" si="15"/>
        <v>868134</v>
      </c>
    </row>
    <row r="85" spans="14:17">
      <c r="N85" s="23">
        <f t="shared" si="13"/>
        <v>83</v>
      </c>
      <c r="O85" s="23">
        <f>76670/164</f>
        <v>467.5</v>
      </c>
      <c r="P85" s="23">
        <f t="shared" si="12"/>
        <v>76670</v>
      </c>
      <c r="Q85" s="23">
        <f t="shared" si="15"/>
        <v>944804</v>
      </c>
    </row>
    <row r="86" spans="14:17">
      <c r="N86" s="23">
        <f t="shared" si="13"/>
        <v>84</v>
      </c>
      <c r="O86" s="23">
        <f>71060/152</f>
        <v>467.5</v>
      </c>
      <c r="P86" s="23">
        <f t="shared" si="12"/>
        <v>76670</v>
      </c>
      <c r="Q86" s="23">
        <f t="shared" si="15"/>
        <v>1021474</v>
      </c>
    </row>
    <row r="87" spans="14:17">
      <c r="N87" s="23">
        <f t="shared" si="13"/>
        <v>85</v>
      </c>
      <c r="O87" s="23">
        <f>104424/152</f>
        <v>687</v>
      </c>
      <c r="P87" s="23">
        <f t="shared" si="12"/>
        <v>112668</v>
      </c>
      <c r="Q87" s="23">
        <f t="shared" si="15"/>
        <v>1098144</v>
      </c>
    </row>
    <row r="88" spans="14:17">
      <c r="N88" s="23">
        <f t="shared" si="13"/>
        <v>86</v>
      </c>
      <c r="O88" s="23">
        <f>134652/196</f>
        <v>687</v>
      </c>
      <c r="P88" s="23">
        <f t="shared" si="12"/>
        <v>112668</v>
      </c>
      <c r="Q88" s="23">
        <f t="shared" si="15"/>
        <v>1210812</v>
      </c>
    </row>
    <row r="89" spans="14:17">
      <c r="N89" s="23">
        <f t="shared" si="13"/>
        <v>87</v>
      </c>
      <c r="O89" s="23">
        <v>687</v>
      </c>
      <c r="P89" s="23">
        <f t="shared" si="12"/>
        <v>112668</v>
      </c>
      <c r="Q89" s="23">
        <f t="shared" si="15"/>
        <v>1323480</v>
      </c>
    </row>
    <row r="90" spans="14:17">
      <c r="N90" s="23">
        <f t="shared" si="13"/>
        <v>88</v>
      </c>
      <c r="O90" s="23">
        <f t="shared" ref="O90:O92" si="16">115064/152</f>
        <v>757</v>
      </c>
      <c r="P90" s="23">
        <f t="shared" si="12"/>
        <v>124148</v>
      </c>
      <c r="Q90" s="23">
        <f t="shared" si="15"/>
        <v>1436148</v>
      </c>
    </row>
    <row r="91" spans="14:17">
      <c r="N91" s="23">
        <f t="shared" si="13"/>
        <v>89</v>
      </c>
      <c r="O91" s="23">
        <f t="shared" si="16"/>
        <v>757</v>
      </c>
      <c r="P91" s="23">
        <f t="shared" si="12"/>
        <v>124148</v>
      </c>
      <c r="Q91" s="23">
        <f t="shared" si="15"/>
        <v>1560296</v>
      </c>
    </row>
    <row r="92" spans="14:17">
      <c r="N92" s="23">
        <f t="shared" si="13"/>
        <v>90</v>
      </c>
      <c r="O92" s="23">
        <f t="shared" si="16"/>
        <v>757</v>
      </c>
      <c r="P92" s="23">
        <f t="shared" si="12"/>
        <v>124148</v>
      </c>
      <c r="Q92" s="23">
        <f t="shared" si="15"/>
        <v>1684444</v>
      </c>
    </row>
    <row r="93" spans="14:17">
      <c r="N93" s="23">
        <f t="shared" si="13"/>
        <v>91</v>
      </c>
      <c r="O93" s="23">
        <v>1042</v>
      </c>
      <c r="P93" s="23">
        <f t="shared" si="12"/>
        <v>170888</v>
      </c>
      <c r="Q93" s="23">
        <f t="shared" si="15"/>
        <v>1808592</v>
      </c>
    </row>
    <row r="94" spans="14:17">
      <c r="N94" s="23">
        <f t="shared" si="13"/>
        <v>92</v>
      </c>
      <c r="O94" s="23">
        <v>1042</v>
      </c>
      <c r="P94" s="23">
        <f t="shared" si="12"/>
        <v>170888</v>
      </c>
      <c r="Q94" s="23">
        <f t="shared" si="15"/>
        <v>1979480</v>
      </c>
    </row>
    <row r="95" spans="14:17">
      <c r="N95" s="23">
        <f t="shared" si="13"/>
        <v>93</v>
      </c>
      <c r="O95" s="23">
        <v>1042</v>
      </c>
      <c r="P95" s="23">
        <f t="shared" si="12"/>
        <v>170888</v>
      </c>
      <c r="Q95" s="23">
        <f t="shared" si="15"/>
        <v>2150368</v>
      </c>
    </row>
    <row r="96" spans="14:17">
      <c r="N96" s="23">
        <f t="shared" si="13"/>
        <v>94</v>
      </c>
      <c r="O96" s="23">
        <v>1375</v>
      </c>
      <c r="P96" s="23">
        <f t="shared" si="12"/>
        <v>225500</v>
      </c>
      <c r="Q96" s="23">
        <f t="shared" si="15"/>
        <v>2321256</v>
      </c>
    </row>
    <row r="97" spans="14:17">
      <c r="N97" s="23">
        <f t="shared" si="13"/>
        <v>95</v>
      </c>
      <c r="O97" s="23">
        <v>1375</v>
      </c>
      <c r="P97" s="23">
        <f t="shared" si="12"/>
        <v>225500</v>
      </c>
      <c r="Q97" s="23">
        <f t="shared" si="15"/>
        <v>2546756</v>
      </c>
    </row>
    <row r="98" spans="14:17">
      <c r="N98" s="23">
        <f t="shared" si="13"/>
        <v>96</v>
      </c>
      <c r="O98" s="23">
        <v>1375</v>
      </c>
      <c r="P98" s="23">
        <f t="shared" si="12"/>
        <v>225500</v>
      </c>
      <c r="Q98" s="23">
        <f t="shared" si="15"/>
        <v>2772256</v>
      </c>
    </row>
    <row r="99" spans="14:17">
      <c r="N99" s="23">
        <f t="shared" si="13"/>
        <v>97</v>
      </c>
      <c r="O99" s="23">
        <v>1767.5</v>
      </c>
      <c r="P99" s="23">
        <f t="shared" si="12"/>
        <v>289870</v>
      </c>
      <c r="Q99" s="23">
        <f t="shared" si="15"/>
        <v>2997756</v>
      </c>
    </row>
    <row r="100" spans="14:17">
      <c r="N100" s="23">
        <f t="shared" si="13"/>
        <v>98</v>
      </c>
      <c r="O100" s="23">
        <v>1767.5</v>
      </c>
      <c r="P100" s="23">
        <f t="shared" ref="P100:P130" si="17">$G$16*O100</f>
        <v>289870</v>
      </c>
      <c r="Q100" s="23">
        <f t="shared" si="15"/>
        <v>3287626</v>
      </c>
    </row>
    <row r="101" spans="14:17">
      <c r="N101" s="23">
        <f t="shared" ref="N101:N131" si="18">N100+1</f>
        <v>99</v>
      </c>
      <c r="O101" s="23">
        <v>1767.5</v>
      </c>
      <c r="P101" s="23">
        <f t="shared" si="17"/>
        <v>289870</v>
      </c>
      <c r="Q101" s="23">
        <f t="shared" si="15"/>
        <v>3577496</v>
      </c>
    </row>
    <row r="102" spans="14:17">
      <c r="N102" s="23">
        <f t="shared" si="18"/>
        <v>100</v>
      </c>
      <c r="O102" s="23">
        <v>2227</v>
      </c>
      <c r="P102" s="23">
        <f t="shared" si="17"/>
        <v>365228</v>
      </c>
      <c r="Q102" s="23">
        <f t="shared" si="15"/>
        <v>3867366</v>
      </c>
    </row>
    <row r="103" spans="14:17">
      <c r="N103" s="23">
        <f t="shared" si="18"/>
        <v>101</v>
      </c>
      <c r="O103" s="23">
        <v>2227</v>
      </c>
      <c r="P103" s="23">
        <f t="shared" si="17"/>
        <v>365228</v>
      </c>
      <c r="Q103" s="23">
        <f t="shared" si="15"/>
        <v>4232594</v>
      </c>
    </row>
    <row r="104" spans="14:17">
      <c r="N104" s="23">
        <f t="shared" si="18"/>
        <v>102</v>
      </c>
      <c r="O104" s="23">
        <v>2227</v>
      </c>
      <c r="P104" s="23">
        <f t="shared" si="17"/>
        <v>365228</v>
      </c>
      <c r="Q104" s="23">
        <f t="shared" si="15"/>
        <v>4597822</v>
      </c>
    </row>
    <row r="105" spans="14:17">
      <c r="N105" s="23">
        <f t="shared" si="18"/>
        <v>103</v>
      </c>
      <c r="O105" s="23">
        <v>2760</v>
      </c>
      <c r="P105" s="23">
        <f t="shared" si="17"/>
        <v>452640</v>
      </c>
      <c r="Q105" s="23">
        <f t="shared" ref="Q105:Q135" si="19">P104+Q104</f>
        <v>4963050</v>
      </c>
    </row>
    <row r="106" spans="14:17">
      <c r="N106" s="23">
        <f t="shared" si="18"/>
        <v>104</v>
      </c>
      <c r="O106" s="23">
        <v>2760</v>
      </c>
      <c r="P106" s="23">
        <f t="shared" si="17"/>
        <v>452640</v>
      </c>
      <c r="Q106" s="23">
        <f t="shared" si="19"/>
        <v>5415690</v>
      </c>
    </row>
    <row r="107" spans="14:17">
      <c r="N107" s="23">
        <f t="shared" si="18"/>
        <v>105</v>
      </c>
      <c r="O107" s="23">
        <v>2760</v>
      </c>
      <c r="P107" s="23">
        <f t="shared" si="17"/>
        <v>452640</v>
      </c>
      <c r="Q107" s="23">
        <f t="shared" si="19"/>
        <v>5868330</v>
      </c>
    </row>
    <row r="108" spans="14:17">
      <c r="N108" s="23">
        <f t="shared" si="18"/>
        <v>106</v>
      </c>
      <c r="O108" s="23">
        <v>3375</v>
      </c>
      <c r="P108" s="23">
        <f t="shared" si="17"/>
        <v>553500</v>
      </c>
      <c r="Q108" s="23">
        <f t="shared" si="19"/>
        <v>6320970</v>
      </c>
    </row>
    <row r="109" spans="14:17">
      <c r="N109" s="23">
        <f t="shared" si="18"/>
        <v>107</v>
      </c>
      <c r="O109" s="23">
        <v>3375</v>
      </c>
      <c r="P109" s="23">
        <f t="shared" si="17"/>
        <v>553500</v>
      </c>
      <c r="Q109" s="23">
        <f t="shared" si="19"/>
        <v>6874470</v>
      </c>
    </row>
    <row r="110" spans="14:17">
      <c r="N110" s="23">
        <f t="shared" si="18"/>
        <v>108</v>
      </c>
      <c r="O110" s="23">
        <v>3375</v>
      </c>
      <c r="P110" s="23">
        <f t="shared" si="17"/>
        <v>553500</v>
      </c>
      <c r="Q110" s="23">
        <f t="shared" si="19"/>
        <v>7427970</v>
      </c>
    </row>
    <row r="111" spans="14:17">
      <c r="N111" s="23">
        <f t="shared" si="18"/>
        <v>109</v>
      </c>
      <c r="O111" s="23">
        <v>3717</v>
      </c>
      <c r="P111" s="23">
        <f t="shared" si="17"/>
        <v>609588</v>
      </c>
      <c r="Q111" s="23">
        <f t="shared" si="19"/>
        <v>7981470</v>
      </c>
    </row>
    <row r="112" spans="14:17">
      <c r="N112" s="23">
        <f t="shared" si="18"/>
        <v>110</v>
      </c>
      <c r="O112" s="23">
        <v>3717</v>
      </c>
      <c r="P112" s="23">
        <f t="shared" si="17"/>
        <v>609588</v>
      </c>
      <c r="Q112" s="23">
        <f t="shared" si="19"/>
        <v>8591058</v>
      </c>
    </row>
    <row r="113" spans="14:17">
      <c r="N113" s="23">
        <f t="shared" si="18"/>
        <v>111</v>
      </c>
      <c r="O113" s="23">
        <v>3717</v>
      </c>
      <c r="P113" s="23">
        <f t="shared" si="17"/>
        <v>609588</v>
      </c>
      <c r="Q113" s="23">
        <f t="shared" si="19"/>
        <v>9200646</v>
      </c>
    </row>
    <row r="114" spans="14:17">
      <c r="N114" s="23">
        <f t="shared" si="18"/>
        <v>112</v>
      </c>
      <c r="O114" s="23">
        <v>4092</v>
      </c>
      <c r="P114" s="23">
        <f t="shared" si="17"/>
        <v>671088</v>
      </c>
      <c r="Q114" s="23">
        <f t="shared" si="19"/>
        <v>9810234</v>
      </c>
    </row>
    <row r="115" spans="14:17">
      <c r="N115" s="23">
        <f t="shared" si="18"/>
        <v>113</v>
      </c>
      <c r="O115" s="23">
        <v>4092</v>
      </c>
      <c r="P115" s="23">
        <f t="shared" si="17"/>
        <v>671088</v>
      </c>
      <c r="Q115" s="23">
        <f t="shared" si="19"/>
        <v>10481322</v>
      </c>
    </row>
    <row r="116" spans="14:17">
      <c r="N116" s="23">
        <f t="shared" si="18"/>
        <v>114</v>
      </c>
      <c r="O116" s="23">
        <v>4092</v>
      </c>
      <c r="P116" s="23">
        <f t="shared" si="17"/>
        <v>671088</v>
      </c>
      <c r="Q116" s="23">
        <f t="shared" si="19"/>
        <v>11152410</v>
      </c>
    </row>
    <row r="117" spans="14:17">
      <c r="N117" s="23">
        <f t="shared" si="18"/>
        <v>115</v>
      </c>
      <c r="O117" s="23">
        <v>4508.5</v>
      </c>
      <c r="P117" s="23">
        <f t="shared" si="17"/>
        <v>739394</v>
      </c>
      <c r="Q117" s="23">
        <f t="shared" si="19"/>
        <v>11823498</v>
      </c>
    </row>
    <row r="118" spans="14:17">
      <c r="N118" s="23">
        <f t="shared" si="18"/>
        <v>116</v>
      </c>
      <c r="O118" s="23">
        <v>4508.5</v>
      </c>
      <c r="P118" s="23">
        <f t="shared" si="17"/>
        <v>739394</v>
      </c>
      <c r="Q118" s="23">
        <f t="shared" si="19"/>
        <v>12562892</v>
      </c>
    </row>
    <row r="119" spans="14:17">
      <c r="N119" s="23">
        <f t="shared" si="18"/>
        <v>117</v>
      </c>
      <c r="O119" s="23">
        <v>4508.5</v>
      </c>
      <c r="P119" s="23">
        <f t="shared" si="17"/>
        <v>739394</v>
      </c>
      <c r="Q119" s="23">
        <f t="shared" si="19"/>
        <v>13302286</v>
      </c>
    </row>
    <row r="120" spans="14:17">
      <c r="N120" s="23">
        <f t="shared" si="18"/>
        <v>118</v>
      </c>
      <c r="O120" s="23">
        <v>4967</v>
      </c>
      <c r="P120" s="23">
        <f t="shared" si="17"/>
        <v>814588</v>
      </c>
      <c r="Q120" s="23">
        <f t="shared" si="19"/>
        <v>14041680</v>
      </c>
    </row>
    <row r="121" spans="14:17">
      <c r="N121" s="23">
        <f t="shared" si="18"/>
        <v>119</v>
      </c>
      <c r="O121" s="23">
        <v>4967</v>
      </c>
      <c r="P121" s="23">
        <f t="shared" si="17"/>
        <v>814588</v>
      </c>
      <c r="Q121" s="23">
        <f t="shared" si="19"/>
        <v>14856268</v>
      </c>
    </row>
    <row r="122" spans="14:17">
      <c r="N122" s="23">
        <f t="shared" si="18"/>
        <v>120</v>
      </c>
      <c r="O122" s="23">
        <v>4967</v>
      </c>
      <c r="P122" s="23">
        <f t="shared" si="17"/>
        <v>814588</v>
      </c>
      <c r="Q122" s="23">
        <f t="shared" si="19"/>
        <v>15670856</v>
      </c>
    </row>
    <row r="123" spans="14:17">
      <c r="N123" s="23">
        <f t="shared" si="18"/>
        <v>121</v>
      </c>
      <c r="O123" s="23">
        <v>5467</v>
      </c>
      <c r="P123" s="23">
        <f t="shared" si="17"/>
        <v>896588</v>
      </c>
      <c r="Q123" s="23">
        <f t="shared" si="19"/>
        <v>16485444</v>
      </c>
    </row>
    <row r="124" spans="14:17">
      <c r="N124" s="23">
        <f t="shared" si="18"/>
        <v>122</v>
      </c>
      <c r="O124" s="23">
        <v>5467</v>
      </c>
      <c r="P124" s="23">
        <f t="shared" si="17"/>
        <v>896588</v>
      </c>
      <c r="Q124" s="23">
        <f t="shared" si="19"/>
        <v>17382032</v>
      </c>
    </row>
    <row r="125" spans="14:17">
      <c r="N125" s="23">
        <f t="shared" si="18"/>
        <v>123</v>
      </c>
      <c r="O125" s="23">
        <v>5467</v>
      </c>
      <c r="P125" s="23">
        <f t="shared" si="17"/>
        <v>896588</v>
      </c>
      <c r="Q125" s="23">
        <f t="shared" si="19"/>
        <v>18278620</v>
      </c>
    </row>
    <row r="126" spans="14:17">
      <c r="N126" s="23">
        <f t="shared" si="18"/>
        <v>124</v>
      </c>
      <c r="O126" s="23">
        <v>6017</v>
      </c>
      <c r="P126" s="23">
        <f t="shared" si="17"/>
        <v>986788</v>
      </c>
      <c r="Q126" s="23">
        <f t="shared" si="19"/>
        <v>19175208</v>
      </c>
    </row>
    <row r="127" spans="14:17">
      <c r="N127" s="23">
        <f t="shared" si="18"/>
        <v>125</v>
      </c>
      <c r="O127" s="23">
        <v>6017</v>
      </c>
      <c r="P127" s="23">
        <f t="shared" si="17"/>
        <v>986788</v>
      </c>
      <c r="Q127" s="23">
        <f t="shared" si="19"/>
        <v>20161996</v>
      </c>
    </row>
    <row r="128" spans="14:17">
      <c r="N128" s="23">
        <f t="shared" si="18"/>
        <v>126</v>
      </c>
      <c r="O128" s="23">
        <v>6017</v>
      </c>
      <c r="P128" s="23">
        <f t="shared" si="17"/>
        <v>986788</v>
      </c>
      <c r="Q128" s="23">
        <f t="shared" si="19"/>
        <v>21148784</v>
      </c>
    </row>
    <row r="129" spans="14:17">
      <c r="N129" s="23">
        <f t="shared" si="18"/>
        <v>127</v>
      </c>
      <c r="O129" s="23">
        <v>6625</v>
      </c>
      <c r="P129" s="23">
        <f t="shared" si="17"/>
        <v>1086500</v>
      </c>
      <c r="Q129" s="23">
        <f t="shared" si="19"/>
        <v>22135572</v>
      </c>
    </row>
    <row r="130" spans="14:17">
      <c r="N130" s="23">
        <f t="shared" si="18"/>
        <v>128</v>
      </c>
      <c r="O130" s="23">
        <v>6625</v>
      </c>
      <c r="P130" s="23">
        <f t="shared" si="17"/>
        <v>1086500</v>
      </c>
      <c r="Q130" s="23">
        <f t="shared" si="19"/>
        <v>23222072</v>
      </c>
    </row>
    <row r="131" spans="14:17">
      <c r="N131" s="23">
        <f t="shared" si="18"/>
        <v>129</v>
      </c>
      <c r="O131" s="23">
        <v>6625</v>
      </c>
      <c r="P131" s="23">
        <f t="shared" ref="P131" si="20">$G$16*O131</f>
        <v>1086500</v>
      </c>
      <c r="Q131" s="23">
        <f t="shared" si="19"/>
        <v>24308572</v>
      </c>
    </row>
    <row r="132" spans="14:17">
      <c r="N132" s="23">
        <f t="shared" ref="N132" si="21">N131+1</f>
        <v>130</v>
      </c>
      <c r="O132" s="23">
        <v>7292</v>
      </c>
      <c r="P132" s="23">
        <f t="shared" ref="P132:P163" si="22">$G$16*O132</f>
        <v>1195888</v>
      </c>
      <c r="Q132" s="23">
        <f t="shared" si="19"/>
        <v>25395072</v>
      </c>
    </row>
    <row r="133" spans="14:17">
      <c r="N133" s="23">
        <f t="shared" ref="N133:N164" si="23">N132+1</f>
        <v>131</v>
      </c>
      <c r="O133" s="23">
        <v>7292</v>
      </c>
      <c r="P133" s="23">
        <f t="shared" si="22"/>
        <v>1195888</v>
      </c>
      <c r="Q133" s="23">
        <f t="shared" si="19"/>
        <v>26590960</v>
      </c>
    </row>
    <row r="134" spans="14:17">
      <c r="N134" s="23">
        <f t="shared" si="23"/>
        <v>132</v>
      </c>
      <c r="O134" s="23">
        <v>7292</v>
      </c>
      <c r="P134" s="23">
        <f t="shared" si="22"/>
        <v>1195888</v>
      </c>
      <c r="Q134" s="23">
        <f t="shared" si="19"/>
        <v>27786848</v>
      </c>
    </row>
    <row r="135" spans="14:17">
      <c r="N135" s="23">
        <f t="shared" si="23"/>
        <v>133</v>
      </c>
      <c r="O135" s="23">
        <v>8025</v>
      </c>
      <c r="P135" s="23">
        <f t="shared" si="22"/>
        <v>1316100</v>
      </c>
      <c r="Q135" s="23">
        <f t="shared" si="19"/>
        <v>28982736</v>
      </c>
    </row>
    <row r="136" spans="14:17">
      <c r="N136" s="23">
        <f t="shared" si="23"/>
        <v>134</v>
      </c>
      <c r="O136" s="23">
        <v>8025</v>
      </c>
      <c r="P136" s="23">
        <f t="shared" si="22"/>
        <v>1316100</v>
      </c>
      <c r="Q136" s="23">
        <f t="shared" ref="Q136" si="24">P135+Q135</f>
        <v>30298836</v>
      </c>
    </row>
    <row r="137" spans="14:17">
      <c r="N137" s="23">
        <f t="shared" si="23"/>
        <v>135</v>
      </c>
      <c r="O137" s="23">
        <v>8025</v>
      </c>
      <c r="P137" s="23">
        <f t="shared" si="22"/>
        <v>1316100</v>
      </c>
      <c r="Q137" s="23">
        <f t="shared" ref="Q137:Q168" si="25">P136+Q136</f>
        <v>31614936</v>
      </c>
    </row>
    <row r="138" spans="14:17">
      <c r="N138" s="23">
        <f t="shared" si="23"/>
        <v>136</v>
      </c>
      <c r="O138" s="23">
        <v>8833.5</v>
      </c>
      <c r="P138" s="23">
        <f t="shared" si="22"/>
        <v>1448694</v>
      </c>
      <c r="Q138" s="23">
        <f t="shared" si="25"/>
        <v>32931036</v>
      </c>
    </row>
    <row r="139" spans="14:17">
      <c r="N139" s="23">
        <f t="shared" si="23"/>
        <v>137</v>
      </c>
      <c r="O139" s="23">
        <v>8833.5</v>
      </c>
      <c r="P139" s="23">
        <f t="shared" si="22"/>
        <v>1448694</v>
      </c>
      <c r="Q139" s="23">
        <f t="shared" si="25"/>
        <v>34379730</v>
      </c>
    </row>
    <row r="140" spans="14:17">
      <c r="N140" s="23">
        <f t="shared" si="23"/>
        <v>138</v>
      </c>
      <c r="O140" s="23">
        <v>8833.5</v>
      </c>
      <c r="P140" s="23">
        <f t="shared" si="22"/>
        <v>1448694</v>
      </c>
      <c r="Q140" s="23">
        <f t="shared" si="25"/>
        <v>35828424</v>
      </c>
    </row>
    <row r="141" spans="14:17">
      <c r="N141" s="23">
        <f t="shared" si="23"/>
        <v>139</v>
      </c>
      <c r="O141" s="23">
        <v>9717</v>
      </c>
      <c r="P141" s="23">
        <f t="shared" si="22"/>
        <v>1593588</v>
      </c>
      <c r="Q141" s="23">
        <f t="shared" si="25"/>
        <v>37277118</v>
      </c>
    </row>
    <row r="142" spans="14:17">
      <c r="N142" s="23">
        <f t="shared" si="23"/>
        <v>140</v>
      </c>
      <c r="O142" s="23">
        <v>9717</v>
      </c>
      <c r="P142" s="23">
        <f t="shared" si="22"/>
        <v>1593588</v>
      </c>
      <c r="Q142" s="23">
        <f t="shared" si="25"/>
        <v>38870706</v>
      </c>
    </row>
    <row r="143" spans="14:17">
      <c r="N143" s="23">
        <f t="shared" si="23"/>
        <v>141</v>
      </c>
      <c r="O143" s="23">
        <v>9717</v>
      </c>
      <c r="P143" s="23">
        <f t="shared" si="22"/>
        <v>1593588</v>
      </c>
      <c r="Q143" s="23">
        <f t="shared" si="25"/>
        <v>40464294</v>
      </c>
    </row>
    <row r="144" spans="14:17">
      <c r="N144" s="23">
        <f t="shared" si="23"/>
        <v>142</v>
      </c>
      <c r="O144" s="23">
        <v>10692</v>
      </c>
      <c r="P144" s="23">
        <f t="shared" si="22"/>
        <v>1753488</v>
      </c>
      <c r="Q144" s="23">
        <f t="shared" si="25"/>
        <v>42057882</v>
      </c>
    </row>
    <row r="145" spans="14:17">
      <c r="N145" s="23">
        <f t="shared" si="23"/>
        <v>143</v>
      </c>
      <c r="O145" s="23">
        <v>10692</v>
      </c>
      <c r="P145" s="23">
        <f t="shared" si="22"/>
        <v>1753488</v>
      </c>
      <c r="Q145" s="23">
        <f t="shared" si="25"/>
        <v>43811370</v>
      </c>
    </row>
    <row r="146" spans="14:17">
      <c r="N146" s="23">
        <f t="shared" si="23"/>
        <v>144</v>
      </c>
      <c r="O146" s="23">
        <v>10692</v>
      </c>
      <c r="P146" s="23">
        <f t="shared" si="22"/>
        <v>1753488</v>
      </c>
      <c r="Q146" s="23">
        <f t="shared" si="25"/>
        <v>45564858</v>
      </c>
    </row>
    <row r="147" spans="14:17">
      <c r="N147" s="23">
        <f t="shared" si="23"/>
        <v>145</v>
      </c>
      <c r="O147" s="23">
        <v>11767</v>
      </c>
      <c r="P147" s="23">
        <f t="shared" si="22"/>
        <v>1929788</v>
      </c>
      <c r="Q147" s="23">
        <f t="shared" si="25"/>
        <v>47318346</v>
      </c>
    </row>
    <row r="148" spans="14:17">
      <c r="N148" s="23">
        <f t="shared" si="23"/>
        <v>146</v>
      </c>
      <c r="O148" s="23">
        <v>11767</v>
      </c>
      <c r="P148" s="23">
        <f t="shared" si="22"/>
        <v>1929788</v>
      </c>
      <c r="Q148" s="23">
        <f t="shared" si="25"/>
        <v>49248134</v>
      </c>
    </row>
    <row r="149" spans="14:17">
      <c r="N149" s="23">
        <f t="shared" si="23"/>
        <v>147</v>
      </c>
      <c r="O149" s="23">
        <v>11767</v>
      </c>
      <c r="P149" s="23">
        <f t="shared" si="22"/>
        <v>1929788</v>
      </c>
      <c r="Q149" s="23">
        <f t="shared" si="25"/>
        <v>51177922</v>
      </c>
    </row>
    <row r="150" spans="14:17">
      <c r="N150" s="23">
        <f t="shared" si="23"/>
        <v>148</v>
      </c>
      <c r="O150" s="23">
        <v>12950</v>
      </c>
      <c r="P150" s="23">
        <f t="shared" si="22"/>
        <v>2123800</v>
      </c>
      <c r="Q150" s="23">
        <f t="shared" si="25"/>
        <v>53107710</v>
      </c>
    </row>
    <row r="151" spans="14:17">
      <c r="N151" s="23">
        <f t="shared" si="23"/>
        <v>149</v>
      </c>
      <c r="O151" s="23">
        <v>12950</v>
      </c>
      <c r="P151" s="23">
        <f t="shared" si="22"/>
        <v>2123800</v>
      </c>
      <c r="Q151" s="23">
        <f t="shared" si="25"/>
        <v>55231510</v>
      </c>
    </row>
    <row r="152" spans="14:17">
      <c r="N152" s="23">
        <f t="shared" si="23"/>
        <v>150</v>
      </c>
      <c r="O152" s="23">
        <v>12950</v>
      </c>
      <c r="P152" s="23">
        <f t="shared" si="22"/>
        <v>2123800</v>
      </c>
      <c r="Q152" s="23">
        <f t="shared" si="25"/>
        <v>57355310</v>
      </c>
    </row>
    <row r="153" spans="14:17">
      <c r="N153" s="23">
        <f t="shared" si="23"/>
        <v>151</v>
      </c>
      <c r="O153" s="23">
        <v>13217</v>
      </c>
      <c r="P153" s="23">
        <f t="shared" si="22"/>
        <v>2167588</v>
      </c>
      <c r="Q153" s="23">
        <f t="shared" si="25"/>
        <v>59479110</v>
      </c>
    </row>
    <row r="154" spans="14:17">
      <c r="N154" s="23">
        <f t="shared" si="23"/>
        <v>152</v>
      </c>
      <c r="O154" s="23">
        <v>13217</v>
      </c>
      <c r="P154" s="23">
        <f t="shared" si="22"/>
        <v>2167588</v>
      </c>
      <c r="Q154" s="23">
        <f t="shared" si="25"/>
        <v>61646698</v>
      </c>
    </row>
    <row r="155" spans="14:17">
      <c r="N155" s="23">
        <f t="shared" si="23"/>
        <v>153</v>
      </c>
      <c r="O155" s="23">
        <v>13217</v>
      </c>
      <c r="P155" s="23">
        <f t="shared" si="22"/>
        <v>2167588</v>
      </c>
      <c r="Q155" s="23">
        <f t="shared" si="25"/>
        <v>63814286</v>
      </c>
    </row>
    <row r="156" spans="14:17">
      <c r="N156" s="23">
        <f t="shared" si="23"/>
        <v>154</v>
      </c>
      <c r="O156" s="23">
        <v>13483.5</v>
      </c>
      <c r="P156" s="23">
        <f t="shared" si="22"/>
        <v>2211294</v>
      </c>
      <c r="Q156" s="23">
        <f t="shared" si="25"/>
        <v>65981874</v>
      </c>
    </row>
    <row r="157" spans="14:17">
      <c r="N157" s="23">
        <f t="shared" si="23"/>
        <v>155</v>
      </c>
      <c r="O157" s="23">
        <v>13483.5</v>
      </c>
      <c r="P157" s="23">
        <f t="shared" si="22"/>
        <v>2211294</v>
      </c>
      <c r="Q157" s="23">
        <f t="shared" si="25"/>
        <v>68193168</v>
      </c>
    </row>
    <row r="158" spans="14:17">
      <c r="N158" s="23">
        <f t="shared" si="23"/>
        <v>156</v>
      </c>
      <c r="O158" s="23">
        <v>13483.5</v>
      </c>
      <c r="P158" s="23">
        <f t="shared" si="22"/>
        <v>2211294</v>
      </c>
      <c r="Q158" s="23">
        <f t="shared" si="25"/>
        <v>70404462</v>
      </c>
    </row>
    <row r="159" spans="14:17">
      <c r="N159" s="23">
        <f t="shared" si="23"/>
        <v>157</v>
      </c>
      <c r="O159" s="23">
        <v>13758.5</v>
      </c>
      <c r="P159" s="23">
        <f t="shared" si="22"/>
        <v>2256394</v>
      </c>
      <c r="Q159" s="23">
        <f t="shared" si="25"/>
        <v>72615756</v>
      </c>
    </row>
    <row r="160" spans="14:17">
      <c r="N160" s="23">
        <f t="shared" si="23"/>
        <v>158</v>
      </c>
      <c r="O160" s="23">
        <v>13758.5</v>
      </c>
      <c r="P160" s="23">
        <f t="shared" si="22"/>
        <v>2256394</v>
      </c>
      <c r="Q160" s="23">
        <f t="shared" si="25"/>
        <v>74872150</v>
      </c>
    </row>
    <row r="161" spans="14:17">
      <c r="N161" s="23">
        <f t="shared" si="23"/>
        <v>159</v>
      </c>
      <c r="O161" s="23">
        <v>13758.5</v>
      </c>
      <c r="P161" s="23">
        <f t="shared" si="22"/>
        <v>2256394</v>
      </c>
      <c r="Q161" s="23">
        <f t="shared" si="25"/>
        <v>77128544</v>
      </c>
    </row>
    <row r="162" spans="14:17">
      <c r="N162" s="23">
        <f t="shared" si="23"/>
        <v>160</v>
      </c>
      <c r="O162" s="23">
        <v>14042</v>
      </c>
      <c r="P162" s="23">
        <f t="shared" si="22"/>
        <v>2302888</v>
      </c>
      <c r="Q162" s="23">
        <f t="shared" si="25"/>
        <v>79384938</v>
      </c>
    </row>
    <row r="163" spans="14:17">
      <c r="N163" s="23">
        <f t="shared" si="23"/>
        <v>161</v>
      </c>
      <c r="O163" s="23">
        <v>14042</v>
      </c>
      <c r="P163" s="23">
        <f t="shared" si="22"/>
        <v>2302888</v>
      </c>
      <c r="Q163" s="23">
        <f t="shared" si="25"/>
        <v>81687826</v>
      </c>
    </row>
    <row r="164" spans="14:17">
      <c r="N164" s="23">
        <f t="shared" si="23"/>
        <v>162</v>
      </c>
      <c r="O164" s="23">
        <v>14042</v>
      </c>
      <c r="P164" s="23">
        <f t="shared" ref="P164:P194" si="26">$G$16*O164</f>
        <v>2302888</v>
      </c>
      <c r="Q164" s="23">
        <f t="shared" si="25"/>
        <v>83990714</v>
      </c>
    </row>
    <row r="165" spans="14:17">
      <c r="N165" s="23">
        <f t="shared" ref="N165:N193" si="27">N164+1</f>
        <v>163</v>
      </c>
      <c r="O165" s="23">
        <v>14325</v>
      </c>
      <c r="P165" s="23">
        <f t="shared" si="26"/>
        <v>2349300</v>
      </c>
      <c r="Q165" s="23">
        <f t="shared" si="25"/>
        <v>86293602</v>
      </c>
    </row>
    <row r="166" spans="14:17">
      <c r="N166" s="23">
        <f t="shared" si="27"/>
        <v>164</v>
      </c>
      <c r="O166" s="23">
        <v>14325</v>
      </c>
      <c r="P166" s="23">
        <f t="shared" si="26"/>
        <v>2349300</v>
      </c>
      <c r="Q166" s="23">
        <f t="shared" si="25"/>
        <v>88642902</v>
      </c>
    </row>
    <row r="167" spans="14:17">
      <c r="N167" s="23">
        <f t="shared" si="27"/>
        <v>165</v>
      </c>
      <c r="O167" s="23">
        <v>14325</v>
      </c>
      <c r="P167" s="23">
        <f t="shared" si="26"/>
        <v>2349300</v>
      </c>
      <c r="Q167" s="23">
        <f t="shared" si="25"/>
        <v>90992202</v>
      </c>
    </row>
    <row r="168" spans="14:17">
      <c r="N168" s="23">
        <f t="shared" si="27"/>
        <v>166</v>
      </c>
      <c r="O168" s="23">
        <v>14617</v>
      </c>
      <c r="P168" s="23">
        <f t="shared" si="26"/>
        <v>2397188</v>
      </c>
      <c r="Q168" s="23">
        <f t="shared" si="25"/>
        <v>93341502</v>
      </c>
    </row>
    <row r="169" spans="14:17">
      <c r="N169" s="23">
        <f t="shared" si="27"/>
        <v>167</v>
      </c>
      <c r="O169" s="23">
        <v>14617</v>
      </c>
      <c r="P169" s="23">
        <f t="shared" si="26"/>
        <v>2397188</v>
      </c>
      <c r="Q169" s="23">
        <f t="shared" ref="Q169:Q199" si="28">P168+Q168</f>
        <v>95738690</v>
      </c>
    </row>
    <row r="170" spans="14:17">
      <c r="N170" s="23">
        <f t="shared" si="27"/>
        <v>168</v>
      </c>
      <c r="O170" s="23">
        <v>14617</v>
      </c>
      <c r="P170" s="23">
        <f t="shared" si="26"/>
        <v>2397188</v>
      </c>
      <c r="Q170" s="23">
        <f t="shared" si="28"/>
        <v>98135878</v>
      </c>
    </row>
    <row r="171" spans="14:17">
      <c r="N171" s="23">
        <f t="shared" si="27"/>
        <v>169</v>
      </c>
      <c r="O171" s="23">
        <v>14917</v>
      </c>
      <c r="P171" s="23">
        <f t="shared" si="26"/>
        <v>2446388</v>
      </c>
      <c r="Q171" s="23">
        <f t="shared" si="28"/>
        <v>100533066</v>
      </c>
    </row>
    <row r="172" spans="14:17">
      <c r="N172" s="23">
        <f t="shared" si="27"/>
        <v>170</v>
      </c>
      <c r="O172" s="23">
        <v>14917</v>
      </c>
      <c r="P172" s="23">
        <f t="shared" si="26"/>
        <v>2446388</v>
      </c>
      <c r="Q172" s="23">
        <f t="shared" si="28"/>
        <v>102979454</v>
      </c>
    </row>
    <row r="173" spans="14:17">
      <c r="N173" s="23">
        <f t="shared" si="27"/>
        <v>171</v>
      </c>
      <c r="O173" s="23">
        <v>14917</v>
      </c>
      <c r="P173" s="23">
        <f t="shared" si="26"/>
        <v>2446388</v>
      </c>
      <c r="Q173" s="23">
        <f t="shared" si="28"/>
        <v>105425842</v>
      </c>
    </row>
    <row r="174" spans="14:17">
      <c r="N174" s="23">
        <f t="shared" si="27"/>
        <v>172</v>
      </c>
      <c r="O174" s="23">
        <v>15217</v>
      </c>
      <c r="P174" s="23">
        <f t="shared" si="26"/>
        <v>2495588</v>
      </c>
      <c r="Q174" s="23">
        <f t="shared" si="28"/>
        <v>107872230</v>
      </c>
    </row>
    <row r="175" spans="14:17">
      <c r="N175" s="23">
        <f t="shared" si="27"/>
        <v>173</v>
      </c>
      <c r="O175" s="23">
        <v>15217</v>
      </c>
      <c r="P175" s="23">
        <f t="shared" si="26"/>
        <v>2495588</v>
      </c>
      <c r="Q175" s="23">
        <f t="shared" si="28"/>
        <v>110367818</v>
      </c>
    </row>
    <row r="176" spans="14:17">
      <c r="N176" s="23">
        <f t="shared" si="27"/>
        <v>174</v>
      </c>
      <c r="O176" s="23">
        <v>15217</v>
      </c>
      <c r="P176" s="23">
        <f t="shared" si="26"/>
        <v>2495588</v>
      </c>
      <c r="Q176" s="23">
        <f t="shared" si="28"/>
        <v>112863406</v>
      </c>
    </row>
    <row r="177" spans="14:17">
      <c r="N177" s="23">
        <f t="shared" si="27"/>
        <v>175</v>
      </c>
      <c r="O177" s="23">
        <v>15525</v>
      </c>
      <c r="P177" s="23">
        <f t="shared" si="26"/>
        <v>2546100</v>
      </c>
      <c r="Q177" s="23">
        <f t="shared" si="28"/>
        <v>115358994</v>
      </c>
    </row>
    <row r="178" spans="14:17">
      <c r="N178" s="23">
        <f t="shared" si="27"/>
        <v>176</v>
      </c>
      <c r="O178" s="23">
        <v>15525</v>
      </c>
      <c r="P178" s="23">
        <f t="shared" si="26"/>
        <v>2546100</v>
      </c>
      <c r="Q178" s="23">
        <f t="shared" si="28"/>
        <v>117905094</v>
      </c>
    </row>
    <row r="179" spans="14:17">
      <c r="N179" s="23">
        <f t="shared" si="27"/>
        <v>177</v>
      </c>
      <c r="O179" s="23">
        <v>15525</v>
      </c>
      <c r="P179" s="23">
        <f t="shared" si="26"/>
        <v>2546100</v>
      </c>
      <c r="Q179" s="23">
        <f t="shared" si="28"/>
        <v>120451194</v>
      </c>
    </row>
    <row r="180" spans="14:17">
      <c r="N180" s="23">
        <f t="shared" si="27"/>
        <v>178</v>
      </c>
      <c r="O180" s="23">
        <v>15842</v>
      </c>
      <c r="P180" s="23">
        <f t="shared" si="26"/>
        <v>2598088</v>
      </c>
      <c r="Q180" s="23">
        <f t="shared" si="28"/>
        <v>122997294</v>
      </c>
    </row>
    <row r="181" spans="14:17">
      <c r="N181" s="23">
        <f t="shared" si="27"/>
        <v>179</v>
      </c>
      <c r="O181" s="23">
        <v>15842</v>
      </c>
      <c r="P181" s="23">
        <f t="shared" si="26"/>
        <v>2598088</v>
      </c>
      <c r="Q181" s="23">
        <f t="shared" si="28"/>
        <v>125595382</v>
      </c>
    </row>
    <row r="182" spans="14:17">
      <c r="N182" s="23">
        <f t="shared" si="27"/>
        <v>180</v>
      </c>
      <c r="O182" s="23">
        <v>15842</v>
      </c>
      <c r="P182" s="23">
        <f t="shared" si="26"/>
        <v>2598088</v>
      </c>
      <c r="Q182" s="23">
        <f t="shared" si="28"/>
        <v>128193470</v>
      </c>
    </row>
    <row r="183" spans="14:17">
      <c r="N183" s="23">
        <f t="shared" si="27"/>
        <v>181</v>
      </c>
      <c r="O183" s="23">
        <v>16167</v>
      </c>
      <c r="P183" s="23">
        <f t="shared" si="26"/>
        <v>2651388</v>
      </c>
      <c r="Q183" s="23">
        <f t="shared" si="28"/>
        <v>130791558</v>
      </c>
    </row>
    <row r="184" spans="14:17">
      <c r="N184" s="23">
        <f t="shared" si="27"/>
        <v>182</v>
      </c>
      <c r="O184" s="23">
        <v>16167</v>
      </c>
      <c r="P184" s="23">
        <f t="shared" si="26"/>
        <v>2651388</v>
      </c>
      <c r="Q184" s="23">
        <f t="shared" si="28"/>
        <v>133442946</v>
      </c>
    </row>
    <row r="185" spans="14:17">
      <c r="N185" s="23">
        <f t="shared" si="27"/>
        <v>183</v>
      </c>
      <c r="O185" s="23">
        <v>16167</v>
      </c>
      <c r="P185" s="23">
        <f t="shared" si="26"/>
        <v>2651388</v>
      </c>
      <c r="Q185" s="23">
        <f t="shared" si="28"/>
        <v>136094334</v>
      </c>
    </row>
    <row r="186" spans="14:17">
      <c r="N186" s="23">
        <f t="shared" si="27"/>
        <v>184</v>
      </c>
      <c r="O186" s="23">
        <v>16492</v>
      </c>
      <c r="P186" s="23">
        <f t="shared" si="26"/>
        <v>2704688</v>
      </c>
      <c r="Q186" s="23">
        <f t="shared" si="28"/>
        <v>138745722</v>
      </c>
    </row>
    <row r="187" spans="14:17">
      <c r="N187" s="23">
        <f t="shared" si="27"/>
        <v>185</v>
      </c>
      <c r="O187" s="23">
        <v>16492</v>
      </c>
      <c r="P187" s="23">
        <f t="shared" si="26"/>
        <v>2704688</v>
      </c>
      <c r="Q187" s="23">
        <f t="shared" si="28"/>
        <v>141450410</v>
      </c>
    </row>
    <row r="188" spans="14:17">
      <c r="N188" s="23">
        <f t="shared" si="27"/>
        <v>186</v>
      </c>
      <c r="O188" s="23">
        <v>16492</v>
      </c>
      <c r="P188" s="23">
        <f t="shared" si="26"/>
        <v>2704688</v>
      </c>
      <c r="Q188" s="23">
        <f t="shared" si="28"/>
        <v>144155098</v>
      </c>
    </row>
    <row r="189" spans="14:17">
      <c r="N189" s="23">
        <f t="shared" si="27"/>
        <v>187</v>
      </c>
      <c r="O189" s="23">
        <v>16825</v>
      </c>
      <c r="P189" s="23">
        <f t="shared" si="26"/>
        <v>2759300</v>
      </c>
      <c r="Q189" s="23">
        <f t="shared" si="28"/>
        <v>146859786</v>
      </c>
    </row>
    <row r="190" spans="14:17">
      <c r="N190" s="23">
        <f t="shared" si="27"/>
        <v>188</v>
      </c>
      <c r="O190" s="23">
        <v>16825</v>
      </c>
      <c r="P190" s="23">
        <f t="shared" si="26"/>
        <v>2759300</v>
      </c>
      <c r="Q190" s="23">
        <f t="shared" si="28"/>
        <v>149619086</v>
      </c>
    </row>
    <row r="191" spans="14:17">
      <c r="N191" s="23">
        <f t="shared" si="27"/>
        <v>189</v>
      </c>
      <c r="O191" s="23">
        <v>16825</v>
      </c>
      <c r="P191" s="23">
        <f t="shared" si="26"/>
        <v>2759300</v>
      </c>
      <c r="Q191" s="23">
        <f t="shared" si="28"/>
        <v>152378386</v>
      </c>
    </row>
    <row r="192" spans="14:17">
      <c r="N192" s="23">
        <f t="shared" si="27"/>
        <v>190</v>
      </c>
      <c r="O192" s="23">
        <v>17167</v>
      </c>
      <c r="P192" s="23">
        <f t="shared" si="26"/>
        <v>2815388</v>
      </c>
      <c r="Q192" s="23">
        <f t="shared" si="28"/>
        <v>155137686</v>
      </c>
    </row>
    <row r="193" spans="14:17">
      <c r="N193" s="23">
        <f t="shared" si="27"/>
        <v>191</v>
      </c>
      <c r="O193" s="23">
        <v>17167</v>
      </c>
      <c r="P193" s="23">
        <f t="shared" si="26"/>
        <v>2815388</v>
      </c>
      <c r="Q193" s="23">
        <f t="shared" si="28"/>
        <v>157953074</v>
      </c>
    </row>
    <row r="194" spans="14:17">
      <c r="N194" s="23">
        <v>192</v>
      </c>
      <c r="O194" s="23">
        <v>17167</v>
      </c>
      <c r="P194" s="23">
        <f t="shared" si="26"/>
        <v>2815388</v>
      </c>
      <c r="Q194" s="23">
        <f t="shared" si="28"/>
        <v>160768462</v>
      </c>
    </row>
    <row r="195" spans="14:17">
      <c r="N195" s="23">
        <v>193</v>
      </c>
      <c r="O195" s="23">
        <v>17517</v>
      </c>
      <c r="P195" s="23">
        <f t="shared" ref="P195" si="29">$G$16*O195</f>
        <v>2872788</v>
      </c>
      <c r="Q195" s="23">
        <f t="shared" si="28"/>
        <v>163583850</v>
      </c>
    </row>
    <row r="196" spans="14:17">
      <c r="N196" s="23">
        <v>194</v>
      </c>
      <c r="O196" s="23">
        <v>17517</v>
      </c>
      <c r="P196" s="23">
        <f t="shared" ref="P196:P227" si="30">$G$16*O196</f>
        <v>2872788</v>
      </c>
      <c r="Q196" s="23">
        <f t="shared" si="28"/>
        <v>166456638</v>
      </c>
    </row>
    <row r="197" spans="14:17">
      <c r="N197" s="23">
        <v>195</v>
      </c>
      <c r="O197" s="23">
        <v>17517</v>
      </c>
      <c r="P197" s="23">
        <f t="shared" si="30"/>
        <v>2872788</v>
      </c>
      <c r="Q197" s="23">
        <f t="shared" si="28"/>
        <v>169329426</v>
      </c>
    </row>
    <row r="198" spans="14:17">
      <c r="N198" s="23">
        <v>196</v>
      </c>
      <c r="O198" s="23">
        <v>17875</v>
      </c>
      <c r="P198" s="23">
        <f t="shared" si="30"/>
        <v>2931500</v>
      </c>
      <c r="Q198" s="23">
        <f t="shared" si="28"/>
        <v>172202214</v>
      </c>
    </row>
    <row r="199" spans="14:17">
      <c r="N199" s="23">
        <v>197</v>
      </c>
      <c r="O199" s="23">
        <v>17875</v>
      </c>
      <c r="P199" s="23">
        <f t="shared" si="30"/>
        <v>2931500</v>
      </c>
      <c r="Q199" s="23">
        <f t="shared" si="28"/>
        <v>175133714</v>
      </c>
    </row>
    <row r="200" spans="14:17">
      <c r="N200" s="23">
        <v>198</v>
      </c>
      <c r="O200" s="23">
        <v>17875</v>
      </c>
      <c r="P200" s="23">
        <f t="shared" si="30"/>
        <v>2931500</v>
      </c>
      <c r="Q200" s="23">
        <f t="shared" ref="Q200" si="31">P199+Q199</f>
        <v>178065214</v>
      </c>
    </row>
    <row r="201" spans="14:17">
      <c r="N201" s="23">
        <v>199</v>
      </c>
      <c r="O201" s="23">
        <v>18233.5</v>
      </c>
      <c r="P201" s="23">
        <f t="shared" si="30"/>
        <v>2990294</v>
      </c>
      <c r="Q201" s="23">
        <f t="shared" ref="Q201:Q232" si="32">P200+Q200</f>
        <v>180996714</v>
      </c>
    </row>
    <row r="202" spans="14:17">
      <c r="N202" s="23">
        <v>200</v>
      </c>
      <c r="O202" s="23">
        <v>18233.5</v>
      </c>
      <c r="P202" s="23">
        <f t="shared" si="30"/>
        <v>2990294</v>
      </c>
      <c r="Q202" s="23">
        <f t="shared" si="32"/>
        <v>183987008</v>
      </c>
    </row>
    <row r="203" spans="14:17">
      <c r="N203" s="23">
        <v>201</v>
      </c>
      <c r="O203" s="23">
        <v>18233.5</v>
      </c>
      <c r="P203" s="23">
        <f t="shared" si="30"/>
        <v>2990294</v>
      </c>
      <c r="Q203" s="23">
        <f t="shared" si="32"/>
        <v>186977302</v>
      </c>
    </row>
    <row r="204" spans="14:17">
      <c r="N204" s="23">
        <v>202</v>
      </c>
      <c r="O204" s="23">
        <v>18600</v>
      </c>
      <c r="P204" s="23">
        <f t="shared" si="30"/>
        <v>3050400</v>
      </c>
      <c r="Q204" s="23">
        <f t="shared" si="32"/>
        <v>189967596</v>
      </c>
    </row>
    <row r="205" spans="14:17">
      <c r="N205" s="23">
        <v>203</v>
      </c>
      <c r="O205" s="23">
        <v>18600</v>
      </c>
      <c r="P205" s="23">
        <f t="shared" si="30"/>
        <v>3050400</v>
      </c>
      <c r="Q205" s="23">
        <f t="shared" si="32"/>
        <v>193017996</v>
      </c>
    </row>
    <row r="206" spans="14:17">
      <c r="N206" s="23">
        <v>204</v>
      </c>
      <c r="O206" s="23">
        <v>18600</v>
      </c>
      <c r="P206" s="23">
        <f t="shared" si="30"/>
        <v>3050400</v>
      </c>
      <c r="Q206" s="23">
        <f t="shared" si="32"/>
        <v>196068396</v>
      </c>
    </row>
    <row r="207" spans="14:17">
      <c r="N207" s="23">
        <v>205</v>
      </c>
      <c r="O207" s="23">
        <v>18975</v>
      </c>
      <c r="P207" s="23">
        <f t="shared" si="30"/>
        <v>3111900</v>
      </c>
      <c r="Q207" s="23">
        <f t="shared" si="32"/>
        <v>199118796</v>
      </c>
    </row>
    <row r="208" spans="14:17">
      <c r="N208" s="23">
        <v>206</v>
      </c>
      <c r="O208" s="23">
        <v>18975</v>
      </c>
      <c r="P208" s="23">
        <f t="shared" si="30"/>
        <v>3111900</v>
      </c>
      <c r="Q208" s="23">
        <f t="shared" si="32"/>
        <v>202230696</v>
      </c>
    </row>
    <row r="209" spans="14:17">
      <c r="N209" s="23">
        <v>207</v>
      </c>
      <c r="O209" s="23">
        <v>18975</v>
      </c>
      <c r="P209" s="23">
        <f t="shared" si="30"/>
        <v>3111900</v>
      </c>
      <c r="Q209" s="23">
        <f t="shared" si="32"/>
        <v>205342596</v>
      </c>
    </row>
    <row r="210" spans="14:17">
      <c r="N210" s="23">
        <v>208</v>
      </c>
      <c r="O210" s="23">
        <v>19358.5</v>
      </c>
      <c r="P210" s="23">
        <f t="shared" si="30"/>
        <v>3174794</v>
      </c>
      <c r="Q210" s="23">
        <f t="shared" si="32"/>
        <v>208454496</v>
      </c>
    </row>
    <row r="211" spans="14:17">
      <c r="N211" s="23">
        <v>209</v>
      </c>
      <c r="O211" s="23">
        <v>19358.5</v>
      </c>
      <c r="P211" s="23">
        <f t="shared" si="30"/>
        <v>3174794</v>
      </c>
      <c r="Q211" s="23">
        <f t="shared" si="32"/>
        <v>211629290</v>
      </c>
    </row>
    <row r="212" spans="14:17">
      <c r="N212" s="23">
        <v>210</v>
      </c>
      <c r="O212" s="23">
        <v>19358.5</v>
      </c>
      <c r="P212" s="23">
        <f t="shared" si="30"/>
        <v>3174794</v>
      </c>
      <c r="Q212" s="23">
        <f t="shared" si="32"/>
        <v>214804084</v>
      </c>
    </row>
    <row r="213" spans="14:17">
      <c r="N213" s="23">
        <v>211</v>
      </c>
      <c r="O213" s="23">
        <v>19750</v>
      </c>
      <c r="P213" s="23">
        <f t="shared" si="30"/>
        <v>3239000</v>
      </c>
      <c r="Q213" s="23">
        <f t="shared" si="32"/>
        <v>217978878</v>
      </c>
    </row>
    <row r="214" spans="14:17">
      <c r="N214" s="23">
        <v>212</v>
      </c>
      <c r="O214" s="23">
        <v>19750</v>
      </c>
      <c r="P214" s="23">
        <f t="shared" si="30"/>
        <v>3239000</v>
      </c>
      <c r="Q214" s="23">
        <f t="shared" si="32"/>
        <v>221217878</v>
      </c>
    </row>
    <row r="215" spans="14:17">
      <c r="N215" s="23">
        <v>213</v>
      </c>
      <c r="O215" s="23">
        <v>19750</v>
      </c>
      <c r="P215" s="23">
        <f t="shared" si="30"/>
        <v>3239000</v>
      </c>
      <c r="Q215" s="23">
        <f t="shared" si="32"/>
        <v>224456878</v>
      </c>
    </row>
    <row r="216" spans="14:17">
      <c r="N216" s="23">
        <v>214</v>
      </c>
      <c r="O216" s="23">
        <v>20150</v>
      </c>
      <c r="P216" s="23">
        <f t="shared" si="30"/>
        <v>3304600</v>
      </c>
      <c r="Q216" s="23">
        <f t="shared" si="32"/>
        <v>227695878</v>
      </c>
    </row>
    <row r="217" spans="14:17">
      <c r="N217" s="23">
        <v>215</v>
      </c>
      <c r="O217" s="23">
        <v>20150</v>
      </c>
      <c r="P217" s="23">
        <f t="shared" si="30"/>
        <v>3304600</v>
      </c>
      <c r="Q217" s="23">
        <f t="shared" si="32"/>
        <v>231000478</v>
      </c>
    </row>
    <row r="218" spans="14:17">
      <c r="N218" s="23">
        <v>216</v>
      </c>
      <c r="O218" s="23">
        <v>20150</v>
      </c>
      <c r="P218" s="23">
        <f t="shared" si="30"/>
        <v>3304600</v>
      </c>
      <c r="Q218" s="23">
        <f t="shared" si="32"/>
        <v>234305078</v>
      </c>
    </row>
    <row r="219" spans="14:17">
      <c r="N219" s="23">
        <v>217</v>
      </c>
      <c r="O219" s="23">
        <v>20558.5</v>
      </c>
      <c r="P219" s="23">
        <f t="shared" si="30"/>
        <v>3371594</v>
      </c>
      <c r="Q219" s="23">
        <f t="shared" si="32"/>
        <v>237609678</v>
      </c>
    </row>
    <row r="220" spans="14:17">
      <c r="N220" s="23">
        <v>218</v>
      </c>
      <c r="O220" s="23">
        <v>20558.5</v>
      </c>
      <c r="P220" s="23">
        <f t="shared" si="30"/>
        <v>3371594</v>
      </c>
      <c r="Q220" s="23">
        <f t="shared" si="32"/>
        <v>240981272</v>
      </c>
    </row>
    <row r="221" spans="14:17">
      <c r="N221" s="23">
        <v>219</v>
      </c>
      <c r="O221" s="23">
        <v>20558.5</v>
      </c>
      <c r="P221" s="23">
        <f t="shared" si="30"/>
        <v>3371594</v>
      </c>
      <c r="Q221" s="23">
        <f t="shared" si="32"/>
        <v>244352866</v>
      </c>
    </row>
    <row r="222" spans="14:17">
      <c r="N222" s="23">
        <v>220</v>
      </c>
      <c r="O222" s="23">
        <v>20975</v>
      </c>
      <c r="P222" s="23">
        <f t="shared" si="30"/>
        <v>3439900</v>
      </c>
      <c r="Q222" s="23">
        <f t="shared" si="32"/>
        <v>247724460</v>
      </c>
    </row>
    <row r="223" spans="14:17">
      <c r="N223" s="23">
        <v>221</v>
      </c>
      <c r="O223" s="23">
        <v>20975</v>
      </c>
      <c r="P223" s="23">
        <f t="shared" si="30"/>
        <v>3439900</v>
      </c>
      <c r="Q223" s="23">
        <f t="shared" si="32"/>
        <v>251164360</v>
      </c>
    </row>
    <row r="224" spans="14:17">
      <c r="N224" s="23">
        <v>222</v>
      </c>
      <c r="O224" s="23">
        <v>20975</v>
      </c>
      <c r="P224" s="23">
        <f t="shared" si="30"/>
        <v>3439900</v>
      </c>
      <c r="Q224" s="23">
        <f t="shared" si="32"/>
        <v>254604260</v>
      </c>
    </row>
    <row r="225" spans="14:17">
      <c r="N225" s="23">
        <v>223</v>
      </c>
      <c r="O225" s="23">
        <v>21400</v>
      </c>
      <c r="P225" s="23">
        <f t="shared" si="30"/>
        <v>3509600</v>
      </c>
      <c r="Q225" s="23">
        <f t="shared" si="32"/>
        <v>258044160</v>
      </c>
    </row>
    <row r="226" spans="14:17">
      <c r="N226" s="23">
        <v>224</v>
      </c>
      <c r="O226" s="23">
        <v>21400</v>
      </c>
      <c r="P226" s="23">
        <f t="shared" si="30"/>
        <v>3509600</v>
      </c>
      <c r="Q226" s="23">
        <f t="shared" si="32"/>
        <v>261553760</v>
      </c>
    </row>
    <row r="227" spans="14:17">
      <c r="N227" s="23">
        <v>225</v>
      </c>
      <c r="O227" s="23">
        <v>21400</v>
      </c>
      <c r="P227" s="23">
        <f t="shared" si="30"/>
        <v>3509600</v>
      </c>
      <c r="Q227" s="23">
        <f t="shared" si="32"/>
        <v>265063360</v>
      </c>
    </row>
    <row r="228" spans="14:17">
      <c r="N228" s="23">
        <v>226</v>
      </c>
      <c r="O228" s="23">
        <v>21833.5</v>
      </c>
      <c r="P228" s="23">
        <f t="shared" ref="P228:P258" si="33">$G$16*O228</f>
        <v>3580694</v>
      </c>
      <c r="Q228" s="23">
        <f t="shared" si="32"/>
        <v>268572960</v>
      </c>
    </row>
    <row r="229" spans="14:17">
      <c r="N229" s="23">
        <v>227</v>
      </c>
      <c r="O229" s="23">
        <v>21833.5</v>
      </c>
      <c r="P229" s="23">
        <f t="shared" si="33"/>
        <v>3580694</v>
      </c>
      <c r="Q229" s="23">
        <f t="shared" si="32"/>
        <v>272153654</v>
      </c>
    </row>
    <row r="230" spans="14:17">
      <c r="N230" s="23">
        <v>228</v>
      </c>
      <c r="O230" s="23">
        <v>21833.5</v>
      </c>
      <c r="P230" s="23">
        <f t="shared" si="33"/>
        <v>3580694</v>
      </c>
      <c r="Q230" s="23">
        <f t="shared" si="32"/>
        <v>275734348</v>
      </c>
    </row>
    <row r="231" spans="14:17">
      <c r="N231" s="23">
        <v>229</v>
      </c>
      <c r="O231" s="23">
        <v>22275</v>
      </c>
      <c r="P231" s="23">
        <f t="shared" si="33"/>
        <v>3653100</v>
      </c>
      <c r="Q231" s="23">
        <f t="shared" si="32"/>
        <v>279315042</v>
      </c>
    </row>
    <row r="232" spans="14:17">
      <c r="N232" s="23">
        <v>230</v>
      </c>
      <c r="O232" s="23">
        <v>22275</v>
      </c>
      <c r="P232" s="23">
        <f t="shared" si="33"/>
        <v>3653100</v>
      </c>
      <c r="Q232" s="23">
        <f t="shared" si="32"/>
        <v>282968142</v>
      </c>
    </row>
    <row r="233" spans="14:17">
      <c r="N233" s="23">
        <v>231</v>
      </c>
      <c r="O233" s="23">
        <v>22275</v>
      </c>
      <c r="P233" s="23">
        <f t="shared" si="33"/>
        <v>3653100</v>
      </c>
      <c r="Q233" s="23">
        <f t="shared" ref="Q233:Q263" si="34">P232+Q232</f>
        <v>286621242</v>
      </c>
    </row>
    <row r="234" spans="14:17">
      <c r="N234" s="23">
        <v>232</v>
      </c>
      <c r="O234" s="23">
        <v>22725</v>
      </c>
      <c r="P234" s="23">
        <f t="shared" si="33"/>
        <v>3726900</v>
      </c>
      <c r="Q234" s="23">
        <f t="shared" si="34"/>
        <v>290274342</v>
      </c>
    </row>
    <row r="235" spans="14:17">
      <c r="N235" s="23">
        <v>233</v>
      </c>
      <c r="O235" s="23">
        <v>22725</v>
      </c>
      <c r="P235" s="23">
        <f t="shared" si="33"/>
        <v>3726900</v>
      </c>
      <c r="Q235" s="23">
        <f t="shared" si="34"/>
        <v>294001242</v>
      </c>
    </row>
    <row r="236" spans="14:17">
      <c r="N236" s="23">
        <v>234</v>
      </c>
      <c r="O236" s="23">
        <v>22725</v>
      </c>
      <c r="P236" s="23">
        <f t="shared" si="33"/>
        <v>3726900</v>
      </c>
      <c r="Q236" s="23">
        <f t="shared" si="34"/>
        <v>297728142</v>
      </c>
    </row>
    <row r="237" spans="14:17">
      <c r="N237" s="23">
        <v>235</v>
      </c>
      <c r="O237" s="23">
        <v>23180</v>
      </c>
      <c r="P237" s="23">
        <f t="shared" si="33"/>
        <v>3801520</v>
      </c>
      <c r="Q237" s="23">
        <f t="shared" si="34"/>
        <v>301455042</v>
      </c>
    </row>
    <row r="238" spans="14:17">
      <c r="N238" s="23">
        <v>236</v>
      </c>
      <c r="O238" s="23">
        <v>23180</v>
      </c>
      <c r="P238" s="23">
        <f t="shared" si="33"/>
        <v>3801520</v>
      </c>
      <c r="Q238" s="23">
        <f t="shared" si="34"/>
        <v>305256562</v>
      </c>
    </row>
    <row r="239" spans="14:17">
      <c r="N239" s="23">
        <v>237</v>
      </c>
      <c r="O239" s="23">
        <v>23180</v>
      </c>
      <c r="P239" s="23">
        <f t="shared" si="33"/>
        <v>3801520</v>
      </c>
      <c r="Q239" s="23">
        <f t="shared" si="34"/>
        <v>309058082</v>
      </c>
    </row>
    <row r="240" spans="14:17">
      <c r="N240" s="23">
        <v>238</v>
      </c>
      <c r="O240" s="23">
        <v>23650</v>
      </c>
      <c r="P240" s="23">
        <f t="shared" si="33"/>
        <v>3878600</v>
      </c>
      <c r="Q240" s="23">
        <f t="shared" si="34"/>
        <v>312859602</v>
      </c>
    </row>
    <row r="241" spans="14:17">
      <c r="N241" s="23">
        <v>239</v>
      </c>
      <c r="O241" s="23">
        <v>23650</v>
      </c>
      <c r="P241" s="23">
        <f t="shared" si="33"/>
        <v>3878600</v>
      </c>
      <c r="Q241" s="23">
        <f t="shared" si="34"/>
        <v>316738202</v>
      </c>
    </row>
    <row r="242" spans="14:17">
      <c r="N242" s="23">
        <v>240</v>
      </c>
      <c r="O242" s="23">
        <v>23650</v>
      </c>
      <c r="P242" s="23">
        <f t="shared" si="33"/>
        <v>3878600</v>
      </c>
      <c r="Q242" s="23">
        <f t="shared" si="34"/>
        <v>320616802</v>
      </c>
    </row>
    <row r="243" spans="14:17">
      <c r="N243" s="23">
        <v>241</v>
      </c>
      <c r="O243" s="23">
        <v>24125</v>
      </c>
      <c r="P243" s="23">
        <f t="shared" si="33"/>
        <v>3956500</v>
      </c>
      <c r="Q243" s="23">
        <f t="shared" si="34"/>
        <v>324495402</v>
      </c>
    </row>
    <row r="244" spans="14:17">
      <c r="N244" s="23">
        <v>242</v>
      </c>
      <c r="O244" s="23">
        <v>24125</v>
      </c>
      <c r="P244" s="23">
        <f t="shared" si="33"/>
        <v>3956500</v>
      </c>
      <c r="Q244" s="23">
        <f t="shared" si="34"/>
        <v>328451902</v>
      </c>
    </row>
    <row r="245" spans="14:17">
      <c r="N245" s="23">
        <v>243</v>
      </c>
      <c r="O245" s="23">
        <v>24125</v>
      </c>
      <c r="P245" s="23">
        <f t="shared" si="33"/>
        <v>3956500</v>
      </c>
      <c r="Q245" s="23">
        <f t="shared" si="34"/>
        <v>332408402</v>
      </c>
    </row>
    <row r="246" spans="14:17">
      <c r="N246" s="23">
        <v>244</v>
      </c>
      <c r="O246" s="23">
        <v>24608.5</v>
      </c>
      <c r="P246" s="23">
        <f t="shared" si="33"/>
        <v>4035794</v>
      </c>
      <c r="Q246" s="23">
        <f t="shared" si="34"/>
        <v>336364902</v>
      </c>
    </row>
    <row r="247" spans="14:17">
      <c r="N247" s="23">
        <v>245</v>
      </c>
      <c r="O247" s="23">
        <v>24608.5</v>
      </c>
      <c r="P247" s="23">
        <f t="shared" si="33"/>
        <v>4035794</v>
      </c>
      <c r="Q247" s="23">
        <f t="shared" si="34"/>
        <v>340400696</v>
      </c>
    </row>
    <row r="248" spans="14:17">
      <c r="N248" s="23">
        <v>246</v>
      </c>
      <c r="O248" s="23">
        <v>24608.5</v>
      </c>
      <c r="P248" s="23">
        <f t="shared" si="33"/>
        <v>4035794</v>
      </c>
      <c r="Q248" s="23">
        <f t="shared" si="34"/>
        <v>344436490</v>
      </c>
    </row>
    <row r="249" spans="14:17">
      <c r="N249" s="23">
        <v>247</v>
      </c>
      <c r="O249" s="23">
        <v>25105</v>
      </c>
      <c r="P249" s="23">
        <f t="shared" si="33"/>
        <v>4117220</v>
      </c>
      <c r="Q249" s="23">
        <f t="shared" si="34"/>
        <v>348472284</v>
      </c>
    </row>
    <row r="250" spans="14:17">
      <c r="N250" s="23">
        <v>248</v>
      </c>
      <c r="O250" s="23">
        <v>25105</v>
      </c>
      <c r="P250" s="23">
        <f t="shared" si="33"/>
        <v>4117220</v>
      </c>
      <c r="Q250" s="23">
        <f t="shared" si="34"/>
        <v>352589504</v>
      </c>
    </row>
    <row r="251" spans="14:17">
      <c r="N251" s="23">
        <v>249</v>
      </c>
      <c r="O251" s="23">
        <v>25105</v>
      </c>
      <c r="P251" s="23">
        <f t="shared" si="33"/>
        <v>4117220</v>
      </c>
      <c r="Q251" s="23">
        <f t="shared" si="34"/>
        <v>356706724</v>
      </c>
    </row>
    <row r="252" spans="14:17">
      <c r="N252" s="23">
        <v>250</v>
      </c>
      <c r="O252" s="23">
        <v>25617</v>
      </c>
      <c r="P252" s="23">
        <f t="shared" si="33"/>
        <v>4201188</v>
      </c>
      <c r="Q252" s="23">
        <f t="shared" si="34"/>
        <v>360823944</v>
      </c>
    </row>
    <row r="253" spans="14:17">
      <c r="N253" s="23">
        <v>251</v>
      </c>
      <c r="O253" s="23">
        <v>25617</v>
      </c>
      <c r="P253" s="23">
        <f t="shared" si="33"/>
        <v>4201188</v>
      </c>
      <c r="Q253" s="23">
        <f t="shared" si="34"/>
        <v>365025132</v>
      </c>
    </row>
    <row r="254" spans="14:17">
      <c r="N254" s="23">
        <v>252</v>
      </c>
      <c r="O254" s="23">
        <v>25617</v>
      </c>
      <c r="P254" s="23">
        <f t="shared" si="33"/>
        <v>4201188</v>
      </c>
      <c r="Q254" s="23">
        <f t="shared" si="34"/>
        <v>369226320</v>
      </c>
    </row>
    <row r="255" spans="14:17">
      <c r="N255" s="23">
        <v>253</v>
      </c>
      <c r="O255" s="23">
        <v>26142</v>
      </c>
      <c r="P255" s="23">
        <f t="shared" si="33"/>
        <v>4287288</v>
      </c>
      <c r="Q255" s="23">
        <f t="shared" si="34"/>
        <v>373427508</v>
      </c>
    </row>
    <row r="256" spans="14:17">
      <c r="N256" s="23">
        <v>254</v>
      </c>
      <c r="O256" s="23">
        <v>26142</v>
      </c>
      <c r="P256" s="23">
        <f t="shared" si="33"/>
        <v>4287288</v>
      </c>
      <c r="Q256" s="23">
        <f t="shared" si="34"/>
        <v>377714796</v>
      </c>
    </row>
    <row r="257" spans="14:17">
      <c r="N257" s="23">
        <v>255</v>
      </c>
      <c r="O257" s="23">
        <v>26142</v>
      </c>
      <c r="P257" s="23">
        <f t="shared" si="33"/>
        <v>4287288</v>
      </c>
      <c r="Q257" s="23">
        <f t="shared" si="34"/>
        <v>382002084</v>
      </c>
    </row>
    <row r="258" spans="14:17">
      <c r="N258" s="23">
        <v>256</v>
      </c>
      <c r="O258" s="23">
        <v>26667</v>
      </c>
      <c r="P258" s="23">
        <f t="shared" si="33"/>
        <v>4373388</v>
      </c>
      <c r="Q258" s="23">
        <f t="shared" si="34"/>
        <v>386289372</v>
      </c>
    </row>
    <row r="259" spans="14:17">
      <c r="N259" s="23">
        <v>257</v>
      </c>
      <c r="O259" s="23">
        <v>26667</v>
      </c>
      <c r="P259" s="23">
        <f t="shared" ref="P259" si="35">$G$16*O259</f>
        <v>4373388</v>
      </c>
      <c r="Q259" s="23">
        <f t="shared" si="34"/>
        <v>390662760</v>
      </c>
    </row>
    <row r="260" spans="14:17">
      <c r="N260" s="23">
        <v>258</v>
      </c>
      <c r="O260" s="23">
        <v>26667</v>
      </c>
      <c r="P260" s="23">
        <f t="shared" ref="P260:P291" si="36">$G$16*O260</f>
        <v>4373388</v>
      </c>
      <c r="Q260" s="23">
        <f t="shared" si="34"/>
        <v>395036148</v>
      </c>
    </row>
    <row r="261" spans="14:17">
      <c r="N261" s="23">
        <v>259</v>
      </c>
      <c r="O261" s="23">
        <v>27192</v>
      </c>
      <c r="P261" s="23">
        <f t="shared" si="36"/>
        <v>4459488</v>
      </c>
      <c r="Q261" s="23">
        <f t="shared" si="34"/>
        <v>399409536</v>
      </c>
    </row>
    <row r="262" spans="14:17">
      <c r="N262" s="23">
        <v>260</v>
      </c>
      <c r="O262" s="23">
        <v>27192</v>
      </c>
      <c r="P262" s="23">
        <f t="shared" si="36"/>
        <v>4459488</v>
      </c>
      <c r="Q262" s="23">
        <f t="shared" si="34"/>
        <v>403869024</v>
      </c>
    </row>
    <row r="263" spans="14:17">
      <c r="N263" s="23">
        <v>261</v>
      </c>
      <c r="O263" s="23">
        <v>27192</v>
      </c>
      <c r="P263" s="23">
        <f t="shared" si="36"/>
        <v>4459488</v>
      </c>
      <c r="Q263" s="23">
        <f t="shared" si="34"/>
        <v>408328512</v>
      </c>
    </row>
    <row r="264" spans="14:17">
      <c r="N264" s="23">
        <v>262</v>
      </c>
      <c r="O264" s="23">
        <v>27742</v>
      </c>
      <c r="P264" s="23">
        <f t="shared" si="36"/>
        <v>4549688</v>
      </c>
      <c r="Q264" s="23">
        <f t="shared" ref="Q264" si="37">P263+Q263</f>
        <v>412788000</v>
      </c>
    </row>
    <row r="265" spans="14:17">
      <c r="N265" s="23">
        <v>263</v>
      </c>
      <c r="O265" s="23">
        <v>27742</v>
      </c>
      <c r="P265" s="23">
        <f t="shared" si="36"/>
        <v>4549688</v>
      </c>
      <c r="Q265" s="23">
        <f t="shared" ref="Q265:Q311" si="38">P264+Q264</f>
        <v>417337688</v>
      </c>
    </row>
    <row r="266" spans="14:17">
      <c r="N266" s="23">
        <v>264</v>
      </c>
      <c r="O266" s="23">
        <v>27742</v>
      </c>
      <c r="P266" s="23">
        <f t="shared" si="36"/>
        <v>4549688</v>
      </c>
      <c r="Q266" s="23">
        <f t="shared" si="38"/>
        <v>421887376</v>
      </c>
    </row>
    <row r="267" spans="14:17">
      <c r="N267" s="23">
        <v>265</v>
      </c>
      <c r="O267" s="23">
        <v>28300</v>
      </c>
      <c r="P267" s="23">
        <f t="shared" si="36"/>
        <v>4641200</v>
      </c>
      <c r="Q267" s="23">
        <f t="shared" si="38"/>
        <v>426437064</v>
      </c>
    </row>
    <row r="268" spans="14:17">
      <c r="N268" s="23">
        <v>266</v>
      </c>
      <c r="O268" s="23">
        <v>28300</v>
      </c>
      <c r="P268" s="23">
        <f t="shared" si="36"/>
        <v>4641200</v>
      </c>
      <c r="Q268" s="23">
        <f t="shared" si="38"/>
        <v>431078264</v>
      </c>
    </row>
    <row r="269" spans="14:17">
      <c r="N269" s="23">
        <v>267</v>
      </c>
      <c r="O269" s="23">
        <v>28300</v>
      </c>
      <c r="P269" s="23">
        <f t="shared" si="36"/>
        <v>4641200</v>
      </c>
      <c r="Q269" s="23">
        <f t="shared" si="38"/>
        <v>435719464</v>
      </c>
    </row>
    <row r="270" spans="14:17">
      <c r="N270" s="23">
        <v>268</v>
      </c>
      <c r="O270" s="23">
        <v>28867</v>
      </c>
      <c r="P270" s="23">
        <f t="shared" si="36"/>
        <v>4734188</v>
      </c>
      <c r="Q270" s="23">
        <f t="shared" si="38"/>
        <v>440360664</v>
      </c>
    </row>
    <row r="271" spans="14:17">
      <c r="N271" s="23">
        <v>269</v>
      </c>
      <c r="O271" s="23">
        <v>28867</v>
      </c>
      <c r="P271" s="23">
        <f t="shared" si="36"/>
        <v>4734188</v>
      </c>
      <c r="Q271" s="23">
        <f t="shared" si="38"/>
        <v>445094852</v>
      </c>
    </row>
    <row r="272" spans="14:17">
      <c r="N272" s="23">
        <v>270</v>
      </c>
      <c r="O272" s="23">
        <v>28867</v>
      </c>
      <c r="P272" s="23">
        <f t="shared" si="36"/>
        <v>4734188</v>
      </c>
      <c r="Q272" s="23">
        <f t="shared" si="38"/>
        <v>449829040</v>
      </c>
    </row>
    <row r="273" spans="14:17">
      <c r="N273" s="23">
        <v>271</v>
      </c>
      <c r="O273" s="23">
        <v>29450</v>
      </c>
      <c r="P273" s="23">
        <f t="shared" si="36"/>
        <v>4829800</v>
      </c>
      <c r="Q273" s="23">
        <f t="shared" si="38"/>
        <v>454563228</v>
      </c>
    </row>
    <row r="274" spans="14:17">
      <c r="N274" s="23">
        <v>272</v>
      </c>
      <c r="O274" s="23">
        <v>29450</v>
      </c>
      <c r="P274" s="23">
        <f t="shared" si="36"/>
        <v>4829800</v>
      </c>
      <c r="Q274" s="23">
        <f t="shared" si="38"/>
        <v>459393028</v>
      </c>
    </row>
    <row r="275" spans="14:17">
      <c r="N275" s="23">
        <v>273</v>
      </c>
      <c r="O275" s="23">
        <v>29450</v>
      </c>
      <c r="P275" s="23">
        <f t="shared" si="36"/>
        <v>4829800</v>
      </c>
      <c r="Q275" s="23">
        <f t="shared" si="38"/>
        <v>464222828</v>
      </c>
    </row>
    <row r="276" spans="14:17">
      <c r="N276" s="23">
        <v>274</v>
      </c>
      <c r="O276" s="23">
        <v>30042</v>
      </c>
      <c r="P276" s="23">
        <f t="shared" si="36"/>
        <v>4926888</v>
      </c>
      <c r="Q276" s="23">
        <f t="shared" si="38"/>
        <v>469052628</v>
      </c>
    </row>
    <row r="277" spans="14:17">
      <c r="N277" s="23">
        <v>275</v>
      </c>
      <c r="O277" s="23">
        <v>30042</v>
      </c>
      <c r="P277" s="23">
        <f t="shared" si="36"/>
        <v>4926888</v>
      </c>
      <c r="Q277" s="23">
        <f t="shared" si="38"/>
        <v>473979516</v>
      </c>
    </row>
    <row r="278" spans="14:17">
      <c r="N278" s="23">
        <v>276</v>
      </c>
      <c r="O278" s="23">
        <v>30042</v>
      </c>
      <c r="P278" s="23">
        <f t="shared" si="36"/>
        <v>4926888</v>
      </c>
      <c r="Q278" s="23">
        <f t="shared" si="38"/>
        <v>478906404</v>
      </c>
    </row>
    <row r="279" spans="14:17">
      <c r="N279" s="23">
        <v>277</v>
      </c>
      <c r="O279" s="23">
        <v>30650</v>
      </c>
      <c r="P279" s="23">
        <f t="shared" si="36"/>
        <v>5026600</v>
      </c>
      <c r="Q279" s="23">
        <f t="shared" si="38"/>
        <v>483833292</v>
      </c>
    </row>
    <row r="280" spans="14:17">
      <c r="N280" s="23">
        <v>278</v>
      </c>
      <c r="O280" s="23">
        <v>30650</v>
      </c>
      <c r="P280" s="23">
        <f t="shared" si="36"/>
        <v>5026600</v>
      </c>
      <c r="Q280" s="23">
        <f t="shared" si="38"/>
        <v>488859892</v>
      </c>
    </row>
    <row r="281" spans="14:17">
      <c r="N281" s="23">
        <v>279</v>
      </c>
      <c r="O281" s="23">
        <v>30650</v>
      </c>
      <c r="P281" s="23">
        <f t="shared" si="36"/>
        <v>5026600</v>
      </c>
      <c r="Q281" s="23">
        <f t="shared" si="38"/>
        <v>493886492</v>
      </c>
    </row>
    <row r="282" spans="14:17">
      <c r="N282" s="23">
        <v>280</v>
      </c>
      <c r="O282" s="23">
        <v>31267</v>
      </c>
      <c r="P282" s="23">
        <f t="shared" si="36"/>
        <v>5127788</v>
      </c>
      <c r="Q282" s="23">
        <f t="shared" si="38"/>
        <v>498913092</v>
      </c>
    </row>
    <row r="283" spans="14:17">
      <c r="N283" s="23">
        <v>281</v>
      </c>
      <c r="O283" s="23">
        <v>31267</v>
      </c>
      <c r="P283" s="23">
        <f t="shared" si="36"/>
        <v>5127788</v>
      </c>
      <c r="Q283" s="23">
        <f t="shared" si="38"/>
        <v>504040880</v>
      </c>
    </row>
    <row r="284" spans="14:17">
      <c r="N284" s="23">
        <v>282</v>
      </c>
      <c r="O284" s="23">
        <v>31267</v>
      </c>
      <c r="P284" s="23">
        <f t="shared" si="36"/>
        <v>5127788</v>
      </c>
      <c r="Q284" s="23">
        <f t="shared" si="38"/>
        <v>509168668</v>
      </c>
    </row>
    <row r="285" spans="14:17">
      <c r="N285" s="23">
        <v>283</v>
      </c>
      <c r="O285" s="23">
        <v>31900</v>
      </c>
      <c r="P285" s="23">
        <f t="shared" si="36"/>
        <v>5231600</v>
      </c>
      <c r="Q285" s="23">
        <f t="shared" si="38"/>
        <v>514296456</v>
      </c>
    </row>
    <row r="286" spans="14:17">
      <c r="N286" s="23">
        <v>284</v>
      </c>
      <c r="O286" s="23">
        <v>31900</v>
      </c>
      <c r="P286" s="23">
        <f t="shared" si="36"/>
        <v>5231600</v>
      </c>
      <c r="Q286" s="23">
        <f t="shared" si="38"/>
        <v>519528056</v>
      </c>
    </row>
    <row r="287" spans="14:17">
      <c r="N287" s="23">
        <v>285</v>
      </c>
      <c r="O287" s="23">
        <v>31900</v>
      </c>
      <c r="P287" s="23">
        <f t="shared" si="36"/>
        <v>5231600</v>
      </c>
      <c r="Q287" s="23">
        <f t="shared" si="38"/>
        <v>524759656</v>
      </c>
    </row>
    <row r="288" spans="14:17">
      <c r="N288" s="23">
        <v>286</v>
      </c>
      <c r="O288" s="23">
        <v>32550</v>
      </c>
      <c r="P288" s="23">
        <f t="shared" si="36"/>
        <v>5338200</v>
      </c>
      <c r="Q288" s="23">
        <f t="shared" si="38"/>
        <v>529991256</v>
      </c>
    </row>
    <row r="289" spans="14:17">
      <c r="N289" s="23">
        <v>287</v>
      </c>
      <c r="O289" s="23">
        <v>32550</v>
      </c>
      <c r="P289" s="23">
        <f t="shared" si="36"/>
        <v>5338200</v>
      </c>
      <c r="Q289" s="23">
        <f t="shared" si="38"/>
        <v>535329456</v>
      </c>
    </row>
    <row r="290" spans="14:17">
      <c r="N290" s="23">
        <v>288</v>
      </c>
      <c r="O290" s="23">
        <v>32542</v>
      </c>
      <c r="P290" s="23">
        <f t="shared" si="36"/>
        <v>5336888</v>
      </c>
      <c r="Q290" s="23">
        <f t="shared" si="38"/>
        <v>540667656</v>
      </c>
    </row>
    <row r="291" spans="14:17">
      <c r="N291" s="23">
        <v>289</v>
      </c>
      <c r="O291" s="23">
        <v>33200</v>
      </c>
      <c r="P291" s="23">
        <f t="shared" si="36"/>
        <v>5444800</v>
      </c>
      <c r="Q291" s="23">
        <f t="shared" si="38"/>
        <v>546004544</v>
      </c>
    </row>
    <row r="292" spans="14:17">
      <c r="N292" s="23">
        <v>290</v>
      </c>
      <c r="O292" s="23">
        <v>33200</v>
      </c>
      <c r="P292" s="23">
        <f t="shared" ref="P292:P311" si="39">$G$16*O292</f>
        <v>5444800</v>
      </c>
      <c r="Q292" s="23">
        <f t="shared" si="38"/>
        <v>551449344</v>
      </c>
    </row>
    <row r="293" spans="14:17">
      <c r="N293" s="23">
        <v>291</v>
      </c>
      <c r="O293" s="23">
        <v>33200</v>
      </c>
      <c r="P293" s="23">
        <f t="shared" si="39"/>
        <v>5444800</v>
      </c>
      <c r="Q293" s="23">
        <f t="shared" si="38"/>
        <v>556894144</v>
      </c>
    </row>
    <row r="294" spans="14:17">
      <c r="N294" s="23">
        <v>292</v>
      </c>
      <c r="P294" s="23">
        <f t="shared" si="39"/>
        <v>0</v>
      </c>
      <c r="Q294" s="23">
        <f t="shared" si="38"/>
        <v>562338944</v>
      </c>
    </row>
    <row r="295" spans="14:17">
      <c r="N295" s="23">
        <v>293</v>
      </c>
      <c r="P295" s="23">
        <f t="shared" si="39"/>
        <v>0</v>
      </c>
      <c r="Q295" s="23">
        <f t="shared" si="38"/>
        <v>562338944</v>
      </c>
    </row>
    <row r="296" spans="14:17">
      <c r="N296" s="23">
        <v>294</v>
      </c>
      <c r="P296" s="23">
        <f t="shared" si="39"/>
        <v>0</v>
      </c>
      <c r="Q296" s="23">
        <f t="shared" si="38"/>
        <v>562338944</v>
      </c>
    </row>
    <row r="297" spans="14:17">
      <c r="N297" s="23">
        <v>295</v>
      </c>
      <c r="P297" s="23">
        <f t="shared" si="39"/>
        <v>0</v>
      </c>
      <c r="Q297" s="23">
        <f t="shared" si="38"/>
        <v>562338944</v>
      </c>
    </row>
    <row r="298" spans="14:17">
      <c r="N298" s="23">
        <v>296</v>
      </c>
      <c r="O298" s="23">
        <v>34550</v>
      </c>
      <c r="P298" s="23">
        <f t="shared" si="39"/>
        <v>5666200</v>
      </c>
      <c r="Q298" s="23">
        <f t="shared" si="38"/>
        <v>562338944</v>
      </c>
    </row>
    <row r="299" spans="14:17">
      <c r="N299" s="23">
        <v>297</v>
      </c>
      <c r="P299" s="23">
        <f t="shared" si="39"/>
        <v>0</v>
      </c>
      <c r="Q299" s="23">
        <f t="shared" si="38"/>
        <v>568005144</v>
      </c>
    </row>
    <row r="300" spans="14:17">
      <c r="N300" s="23">
        <v>298</v>
      </c>
      <c r="P300" s="23">
        <f t="shared" si="39"/>
        <v>0</v>
      </c>
      <c r="Q300" s="23">
        <f t="shared" si="38"/>
        <v>568005144</v>
      </c>
    </row>
    <row r="301" spans="14:17">
      <c r="N301" s="23">
        <v>299</v>
      </c>
      <c r="P301" s="23">
        <f t="shared" si="39"/>
        <v>0</v>
      </c>
      <c r="Q301" s="23">
        <f t="shared" si="38"/>
        <v>568005144</v>
      </c>
    </row>
    <row r="302" spans="14:17">
      <c r="N302" s="23">
        <v>300</v>
      </c>
      <c r="P302" s="23">
        <f t="shared" si="39"/>
        <v>0</v>
      </c>
      <c r="Q302" s="23">
        <f t="shared" si="38"/>
        <v>568005144</v>
      </c>
    </row>
    <row r="303" spans="14:17">
      <c r="N303" s="23">
        <v>301</v>
      </c>
      <c r="P303" s="23">
        <f t="shared" si="39"/>
        <v>0</v>
      </c>
      <c r="Q303" s="23">
        <f t="shared" si="38"/>
        <v>568005144</v>
      </c>
    </row>
    <row r="304" spans="14:17">
      <c r="N304" s="23">
        <v>302</v>
      </c>
      <c r="P304" s="23">
        <f t="shared" si="39"/>
        <v>0</v>
      </c>
      <c r="Q304" s="23">
        <f t="shared" si="38"/>
        <v>568005144</v>
      </c>
    </row>
    <row r="305" spans="14:17">
      <c r="N305" s="23">
        <v>303</v>
      </c>
      <c r="O305" s="23">
        <v>35964.25</v>
      </c>
      <c r="P305" s="23">
        <f t="shared" si="39"/>
        <v>5898137</v>
      </c>
      <c r="Q305" s="23">
        <f t="shared" si="38"/>
        <v>568005144</v>
      </c>
    </row>
    <row r="306" spans="14:17">
      <c r="N306" s="23">
        <v>304</v>
      </c>
      <c r="O306" s="23">
        <v>36706.75</v>
      </c>
      <c r="P306" s="23">
        <f t="shared" si="39"/>
        <v>6019907</v>
      </c>
      <c r="Q306" s="23">
        <f t="shared" si="38"/>
        <v>573903281</v>
      </c>
    </row>
    <row r="307" spans="14:17">
      <c r="N307" s="23">
        <v>305</v>
      </c>
      <c r="P307" s="23">
        <f t="shared" si="39"/>
        <v>0</v>
      </c>
      <c r="Q307" s="23">
        <f t="shared" si="38"/>
        <v>579923188</v>
      </c>
    </row>
    <row r="308" spans="14:17">
      <c r="N308" s="23">
        <v>306</v>
      </c>
      <c r="P308" s="23">
        <f t="shared" si="39"/>
        <v>0</v>
      </c>
      <c r="Q308" s="23">
        <f t="shared" si="38"/>
        <v>579923188</v>
      </c>
    </row>
    <row r="309" spans="14:17">
      <c r="N309" s="23">
        <v>307</v>
      </c>
      <c r="P309" s="23">
        <f t="shared" si="39"/>
        <v>0</v>
      </c>
      <c r="Q309" s="23">
        <f t="shared" si="38"/>
        <v>579923188</v>
      </c>
    </row>
    <row r="310" spans="14:17">
      <c r="N310" s="23">
        <v>308</v>
      </c>
      <c r="P310" s="23">
        <f t="shared" si="39"/>
        <v>0</v>
      </c>
      <c r="Q310" s="23">
        <f t="shared" si="38"/>
        <v>579923188</v>
      </c>
    </row>
    <row r="311" spans="14:17">
      <c r="N311" s="23">
        <v>309</v>
      </c>
      <c r="P311" s="23">
        <f t="shared" si="39"/>
        <v>0</v>
      </c>
      <c r="Q311" s="23">
        <f t="shared" si="38"/>
        <v>579923188</v>
      </c>
    </row>
  </sheetData>
  <sheetProtection algorithmName="SHA-512" hashValue="5Kybax5O0bEAU6QAfMzrJB7nAUeCbsO5f+tlbe+nuCX73iuZKc3veJvNkttNz1RKVc9pf+qKjyLB2zGohHcAHQ==" saltValue="jYjRjvwWsx/T20X9CfXkcQ==" spinCount="100000" sheet="1" selectLockedCells="1" objects="1" scenarios="1"/>
  <mergeCells count="29">
    <mergeCell ref="U8:Z8"/>
    <mergeCell ref="U9:AA9"/>
    <mergeCell ref="U17:Z17"/>
    <mergeCell ref="U18:Z18"/>
    <mergeCell ref="U19:AA19"/>
    <mergeCell ref="F12:F13"/>
    <mergeCell ref="F14:F15"/>
    <mergeCell ref="F16:F17"/>
    <mergeCell ref="F18:F19"/>
    <mergeCell ref="F20:F21"/>
    <mergeCell ref="G14:G15"/>
    <mergeCell ref="G16:G17"/>
    <mergeCell ref="G18:G19"/>
    <mergeCell ref="G20:G21"/>
    <mergeCell ref="H14:H17"/>
    <mergeCell ref="H18:H21"/>
    <mergeCell ref="I14:I15"/>
    <mergeCell ref="I16:I17"/>
    <mergeCell ref="I18:I19"/>
    <mergeCell ref="I20:I21"/>
    <mergeCell ref="J14:J15"/>
    <mergeCell ref="J16:J17"/>
    <mergeCell ref="J18:J19"/>
    <mergeCell ref="J20:J21"/>
    <mergeCell ref="K14:K17"/>
    <mergeCell ref="K18:K21"/>
    <mergeCell ref="D12:E13"/>
    <mergeCell ref="F7:I9"/>
    <mergeCell ref="G12:K13"/>
  </mergeCells>
  <pageMargins left="0.699305555555556" right="0.699305555555556" top="0.75" bottom="0.75" header="0.3" footer="0.3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4820" name="Spinner 2052" r:id="rId3">
              <controlPr print="0" defaultSize="0">
                <anchor moveWithCells="1" sizeWithCells="1">
                  <from>
                    <xdr:col>8</xdr:col>
                    <xdr:colOff>19050</xdr:colOff>
                    <xdr:row>15</xdr:row>
                    <xdr:rowOff>9525</xdr:rowOff>
                  </from>
                  <to>
                    <xdr:col>8</xdr:col>
                    <xdr:colOff>666750</xdr:colOff>
                    <xdr:row>16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21" name="Spinner 2053" r:id="rId4">
              <controlPr print="0" defaultSize="0">
                <anchor moveWithCells="1" sizeWithCells="1">
                  <from>
                    <xdr:col>6</xdr:col>
                    <xdr:colOff>19050</xdr:colOff>
                    <xdr:row>19</xdr:row>
                    <xdr:rowOff>9525</xdr:rowOff>
                  </from>
                  <to>
                    <xdr:col>6</xdr:col>
                    <xdr:colOff>666750</xdr:colOff>
                    <xdr:row>20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22" name="Spinner 2054" r:id="rId5">
              <controlPr print="0" defaultSize="0">
                <anchor moveWithCells="1" sizeWithCells="1">
                  <from>
                    <xdr:col>8</xdr:col>
                    <xdr:colOff>19050</xdr:colOff>
                    <xdr:row>19</xdr:row>
                    <xdr:rowOff>9525</xdr:rowOff>
                  </from>
                  <to>
                    <xdr:col>8</xdr:col>
                    <xdr:colOff>666750</xdr:colOff>
                    <xdr:row>20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27" name="List Box 2059" r:id="rId6">
              <controlPr locked="0" defaultSize="0">
                <anchor moveWithCells="1">
                  <from>
                    <xdr:col>3</xdr:col>
                    <xdr:colOff>19050</xdr:colOff>
                    <xdr:row>13</xdr:row>
                    <xdr:rowOff>19050</xdr:rowOff>
                  </from>
                  <to>
                    <xdr:col>4</xdr:col>
                    <xdr:colOff>676275</xdr:colOff>
                    <xdr:row>20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5"/>
  <sheetViews>
    <sheetView topLeftCell="A9" workbookViewId="0">
      <selection activeCell="I24" sqref="I24"/>
    </sheetView>
  </sheetViews>
  <sheetFormatPr defaultColWidth="9" defaultRowHeight="13.5"/>
  <cols>
    <col min="1" max="7" width="9" style="7"/>
    <col min="8" max="8" width="9.125" style="7" customWidth="1"/>
    <col min="9" max="10" width="9.5" style="7" customWidth="1"/>
    <col min="11" max="11" width="9.125" style="7" customWidth="1"/>
    <col min="12" max="16384" width="9" style="7"/>
  </cols>
  <sheetData>
    <row r="1" ht="4.5" customHeight="1"/>
    <row r="2" ht="18.75" customHeight="1" spans="6:14">
      <c r="F2" s="192" t="s">
        <v>393</v>
      </c>
      <c r="G2" s="193"/>
      <c r="H2" s="194" t="s">
        <v>12</v>
      </c>
      <c r="I2" s="194" t="s">
        <v>20</v>
      </c>
      <c r="J2" s="194" t="s">
        <v>30</v>
      </c>
      <c r="K2" s="238" t="s">
        <v>340</v>
      </c>
      <c r="M2" s="192" t="s">
        <v>394</v>
      </c>
      <c r="N2" s="238" t="s">
        <v>12</v>
      </c>
    </row>
    <row r="3" ht="17.25" customHeight="1" spans="1:14">
      <c r="A3" s="195" t="s">
        <v>395</v>
      </c>
      <c r="B3" s="195"/>
      <c r="C3" s="195"/>
      <c r="D3" s="195"/>
      <c r="E3" s="195"/>
      <c r="F3" s="196" t="s">
        <v>396</v>
      </c>
      <c r="G3" s="197"/>
      <c r="H3" s="198"/>
      <c r="I3" s="198">
        <v>7117</v>
      </c>
      <c r="J3" s="239">
        <v>6705</v>
      </c>
      <c r="K3" s="240"/>
      <c r="M3" s="196" t="s">
        <v>397</v>
      </c>
      <c r="N3" s="241">
        <v>100</v>
      </c>
    </row>
    <row r="4" ht="17.25" customHeight="1" spans="1:14">
      <c r="A4" s="195"/>
      <c r="B4" s="195"/>
      <c r="C4" s="195"/>
      <c r="D4" s="195"/>
      <c r="E4" s="195"/>
      <c r="F4" s="199" t="s">
        <v>398</v>
      </c>
      <c r="G4" s="200"/>
      <c r="H4" s="201"/>
      <c r="I4" s="201">
        <v>621</v>
      </c>
      <c r="J4" s="212">
        <v>273</v>
      </c>
      <c r="K4" s="242"/>
      <c r="M4" s="243" t="s">
        <v>399</v>
      </c>
      <c r="N4" s="244">
        <v>100</v>
      </c>
    </row>
    <row r="5" ht="16.5" customHeight="1" spans="6:11">
      <c r="F5" s="202" t="s">
        <v>400</v>
      </c>
      <c r="G5" s="203"/>
      <c r="H5" s="204"/>
      <c r="I5" s="204">
        <v>800</v>
      </c>
      <c r="J5" s="245">
        <v>720</v>
      </c>
      <c r="K5" s="246"/>
    </row>
    <row r="6" ht="18.75" hidden="1" customHeight="1" spans="5:11">
      <c r="E6" s="205"/>
      <c r="F6" s="206">
        <f>CHOOSE(F10,0.3,0.55,0.75,0.9,1)</f>
        <v>1</v>
      </c>
      <c r="G6" s="207"/>
      <c r="H6" s="208">
        <f>H3+H4+H5+N3</f>
        <v>100</v>
      </c>
      <c r="I6" s="208">
        <f t="shared" ref="I6:K6" si="0">I3+I4+I5</f>
        <v>8538</v>
      </c>
      <c r="J6" s="208">
        <f t="shared" si="0"/>
        <v>7698</v>
      </c>
      <c r="K6" s="208">
        <f t="shared" si="0"/>
        <v>0</v>
      </c>
    </row>
    <row r="7" ht="15" customHeight="1" spans="1:11">
      <c r="A7" s="209" t="s">
        <v>401</v>
      </c>
      <c r="E7" s="205"/>
      <c r="F7" s="210" t="s">
        <v>402</v>
      </c>
      <c r="G7" s="211"/>
      <c r="H7" s="212"/>
      <c r="I7" s="201">
        <v>72</v>
      </c>
      <c r="J7" s="212">
        <v>75</v>
      </c>
      <c r="K7" s="242"/>
    </row>
    <row r="8" ht="15" customHeight="1" spans="1:11">
      <c r="A8" s="213"/>
      <c r="E8" s="214"/>
      <c r="F8" s="215" t="s">
        <v>403</v>
      </c>
      <c r="G8" s="216" t="s">
        <v>404</v>
      </c>
      <c r="H8" s="201"/>
      <c r="I8" s="201">
        <v>46.02</v>
      </c>
      <c r="J8" s="212"/>
      <c r="K8" s="242"/>
    </row>
    <row r="9" ht="15" customHeight="1" spans="2:11">
      <c r="B9" s="13" t="s">
        <v>405</v>
      </c>
      <c r="C9" s="13"/>
      <c r="D9" s="13"/>
      <c r="E9" s="214"/>
      <c r="F9" s="217"/>
      <c r="G9" s="216" t="s">
        <v>406</v>
      </c>
      <c r="H9" s="201"/>
      <c r="I9" s="201">
        <v>49.6</v>
      </c>
      <c r="J9" s="212">
        <v>68.056</v>
      </c>
      <c r="K9" s="242"/>
    </row>
    <row r="10" ht="15" customHeight="1" spans="2:11">
      <c r="B10" s="13" t="s">
        <v>407</v>
      </c>
      <c r="C10" s="13"/>
      <c r="D10" s="13"/>
      <c r="E10" s="214"/>
      <c r="F10" s="218">
        <v>5</v>
      </c>
      <c r="G10" s="216" t="s">
        <v>408</v>
      </c>
      <c r="H10" s="201"/>
      <c r="I10" s="201">
        <v>39</v>
      </c>
      <c r="J10" s="212">
        <v>51</v>
      </c>
      <c r="K10" s="242"/>
    </row>
    <row r="11" ht="15" customHeight="1" spans="1:11">
      <c r="A11" s="205"/>
      <c r="B11" s="219" t="s">
        <v>409</v>
      </c>
      <c r="C11" s="13"/>
      <c r="D11" s="13"/>
      <c r="E11" s="214"/>
      <c r="F11" s="220"/>
      <c r="G11" s="216" t="s">
        <v>410</v>
      </c>
      <c r="H11" s="201"/>
      <c r="I11" s="201"/>
      <c r="J11" s="212">
        <v>54.5</v>
      </c>
      <c r="K11" s="242"/>
    </row>
    <row r="12" ht="14.25" customHeight="1" spans="2:11">
      <c r="B12" s="13" t="s">
        <v>411</v>
      </c>
      <c r="C12" s="13"/>
      <c r="D12" s="13"/>
      <c r="E12" s="214"/>
      <c r="F12" s="221" t="s">
        <v>412</v>
      </c>
      <c r="G12" s="216" t="s">
        <v>413</v>
      </c>
      <c r="H12" s="201"/>
      <c r="I12" s="201"/>
      <c r="J12" s="212"/>
      <c r="K12" s="242"/>
    </row>
    <row r="13" ht="15" customHeight="1" spans="2:11">
      <c r="B13" s="13" t="s">
        <v>414</v>
      </c>
      <c r="C13" s="13"/>
      <c r="D13" s="13"/>
      <c r="F13" s="215"/>
      <c r="G13" s="222" t="s">
        <v>415</v>
      </c>
      <c r="H13" s="201"/>
      <c r="I13" s="201">
        <v>260</v>
      </c>
      <c r="J13" s="212">
        <v>220</v>
      </c>
      <c r="K13" s="242"/>
    </row>
    <row r="14" ht="15" customHeight="1" spans="2:11">
      <c r="B14" s="13" t="s">
        <v>416</v>
      </c>
      <c r="C14" s="13"/>
      <c r="D14" s="13"/>
      <c r="F14" s="215" t="s">
        <v>417</v>
      </c>
      <c r="G14" s="216" t="s">
        <v>413</v>
      </c>
      <c r="H14" s="223"/>
      <c r="I14" s="223">
        <v>2</v>
      </c>
      <c r="J14" s="223">
        <v>2</v>
      </c>
      <c r="K14" s="247"/>
    </row>
    <row r="15" ht="15" customHeight="1" spans="2:11">
      <c r="B15" s="13" t="s">
        <v>418</v>
      </c>
      <c r="C15" s="13"/>
      <c r="D15" s="13"/>
      <c r="F15" s="224"/>
      <c r="G15" s="225" t="s">
        <v>415</v>
      </c>
      <c r="H15" s="204"/>
      <c r="I15" s="204">
        <v>200</v>
      </c>
      <c r="J15" s="204">
        <v>200</v>
      </c>
      <c r="K15" s="244"/>
    </row>
    <row r="16" ht="15" customHeight="1" spans="2:11">
      <c r="B16" s="219" t="s">
        <v>419</v>
      </c>
      <c r="C16" s="13"/>
      <c r="D16" s="13"/>
      <c r="F16" s="226" t="s">
        <v>420</v>
      </c>
      <c r="G16" s="227"/>
      <c r="H16" s="198"/>
      <c r="I16" s="198">
        <v>2358</v>
      </c>
      <c r="J16" s="239">
        <v>1457</v>
      </c>
      <c r="K16" s="240"/>
    </row>
    <row r="17" ht="15" customHeight="1" spans="2:11">
      <c r="B17" s="219" t="s">
        <v>421</v>
      </c>
      <c r="C17" s="13"/>
      <c r="D17" s="13"/>
      <c r="F17" s="221" t="s">
        <v>422</v>
      </c>
      <c r="G17" s="26"/>
      <c r="H17" s="201"/>
      <c r="I17" s="201">
        <v>3280</v>
      </c>
      <c r="J17" s="212">
        <v>4490</v>
      </c>
      <c r="K17" s="242"/>
    </row>
    <row r="18" ht="15" customHeight="1" spans="2:11">
      <c r="B18" s="219" t="s">
        <v>423</v>
      </c>
      <c r="C18" s="13"/>
      <c r="D18" s="13"/>
      <c r="F18" s="221" t="s">
        <v>424</v>
      </c>
      <c r="G18" s="26"/>
      <c r="H18" s="201"/>
      <c r="I18" s="201">
        <v>3975</v>
      </c>
      <c r="J18" s="212">
        <v>3262</v>
      </c>
      <c r="K18" s="242"/>
    </row>
    <row r="19" ht="15" customHeight="1" spans="2:11">
      <c r="B19" s="13" t="s">
        <v>425</v>
      </c>
      <c r="C19" s="13"/>
      <c r="D19" s="13"/>
      <c r="F19" s="215" t="s">
        <v>426</v>
      </c>
      <c r="G19" s="222"/>
      <c r="H19" s="201"/>
      <c r="I19" s="201">
        <v>3436</v>
      </c>
      <c r="J19" s="212">
        <v>1110</v>
      </c>
      <c r="K19" s="242"/>
    </row>
    <row r="20" ht="15" customHeight="1" spans="2:11">
      <c r="B20" s="13" t="s">
        <v>427</v>
      </c>
      <c r="C20" s="13"/>
      <c r="D20" s="13"/>
      <c r="F20" s="228" t="s">
        <v>428</v>
      </c>
      <c r="G20" s="28"/>
      <c r="H20" s="201"/>
      <c r="I20" s="201">
        <v>680</v>
      </c>
      <c r="J20" s="212">
        <v>345</v>
      </c>
      <c r="K20" s="242"/>
    </row>
    <row r="21" ht="15" customHeight="1" spans="2:11">
      <c r="B21" s="13" t="s">
        <v>429</v>
      </c>
      <c r="C21" s="13"/>
      <c r="D21" s="13"/>
      <c r="F21" s="228" t="s">
        <v>430</v>
      </c>
      <c r="G21" s="28"/>
      <c r="H21" s="201"/>
      <c r="I21" s="201">
        <v>280</v>
      </c>
      <c r="J21" s="212">
        <v>180</v>
      </c>
      <c r="K21" s="242"/>
    </row>
    <row r="22" ht="15" customHeight="1" spans="2:11">
      <c r="B22" s="13" t="s">
        <v>431</v>
      </c>
      <c r="C22" s="13"/>
      <c r="D22" s="13"/>
      <c r="F22" s="215" t="s">
        <v>432</v>
      </c>
      <c r="G22" s="222"/>
      <c r="H22" s="223"/>
      <c r="I22" s="223">
        <v>78</v>
      </c>
      <c r="J22" s="248">
        <v>52</v>
      </c>
      <c r="K22" s="249"/>
    </row>
    <row r="23" ht="16.5" customHeight="1" spans="2:11">
      <c r="B23" s="219" t="s">
        <v>433</v>
      </c>
      <c r="C23" s="13"/>
      <c r="D23" s="13"/>
      <c r="F23" s="228" t="s">
        <v>434</v>
      </c>
      <c r="G23" s="28"/>
      <c r="H23" s="223"/>
      <c r="I23" s="223">
        <v>2079</v>
      </c>
      <c r="J23" s="223">
        <v>236</v>
      </c>
      <c r="K23" s="247"/>
    </row>
    <row r="24" ht="16.5" customHeight="1" spans="2:11">
      <c r="B24" s="219" t="s">
        <v>435</v>
      </c>
      <c r="C24" s="13"/>
      <c r="D24" s="13"/>
      <c r="F24" s="215" t="s">
        <v>436</v>
      </c>
      <c r="G24" s="26" t="s">
        <v>437</v>
      </c>
      <c r="H24" s="223"/>
      <c r="I24" s="223"/>
      <c r="J24" s="223">
        <v>1613</v>
      </c>
      <c r="K24" s="247"/>
    </row>
    <row r="25" ht="15" customHeight="1" spans="2:11">
      <c r="B25" s="13" t="s">
        <v>438</v>
      </c>
      <c r="C25" s="13"/>
      <c r="D25" s="13"/>
      <c r="F25" s="229"/>
      <c r="G25" s="26" t="s">
        <v>439</v>
      </c>
      <c r="H25" s="201"/>
      <c r="I25" s="201">
        <v>2794</v>
      </c>
      <c r="J25" s="212"/>
      <c r="K25" s="247"/>
    </row>
    <row r="26" ht="15" customHeight="1" spans="2:11">
      <c r="B26" s="13" t="s">
        <v>440</v>
      </c>
      <c r="C26" s="13"/>
      <c r="D26" s="13"/>
      <c r="F26" s="215" t="s">
        <v>441</v>
      </c>
      <c r="G26" s="230" t="s">
        <v>413</v>
      </c>
      <c r="H26" s="201"/>
      <c r="I26" s="201">
        <v>2</v>
      </c>
      <c r="J26" s="212"/>
      <c r="K26" s="242"/>
    </row>
    <row r="27" ht="15" customHeight="1" spans="2:11">
      <c r="B27" s="13" t="s">
        <v>442</v>
      </c>
      <c r="C27" s="13"/>
      <c r="D27" s="13"/>
      <c r="F27" s="217"/>
      <c r="G27" s="222" t="s">
        <v>415</v>
      </c>
      <c r="H27" s="204"/>
      <c r="I27" s="204"/>
      <c r="J27" s="245"/>
      <c r="K27" s="246"/>
    </row>
    <row r="28" ht="14.25" hidden="1" customHeight="1" spans="6:11">
      <c r="F28" s="231"/>
      <c r="G28" s="232"/>
      <c r="H28" s="208">
        <f>H6*0.01*(H7+H8+H9+H10+H11*F6+H12+H14+H26)+H6+SUM(H16:H25)+H13+H15+H27+N4</f>
        <v>200</v>
      </c>
      <c r="I28" s="208">
        <f>I6*0.01*(I7+I8+I9+I10+I11*F6+I12+I14+I26)+I6+SUM(I16:I25)+I13+I15+I27</f>
        <v>45940.7356</v>
      </c>
      <c r="J28" s="208">
        <f>J6*0.01*(J7+J8+J9+J10+J11*F6+J12+J14+J26)+J6+SUM(J16:J25)+J13+J15+J27</f>
        <v>40150.80088</v>
      </c>
      <c r="K28" s="208">
        <f>K6*0.01*(K7+K8+K9+K10+K11*F6+K12+K14+K26)+K6+SUM(K16:K25)+K13+K15+K27</f>
        <v>0</v>
      </c>
    </row>
    <row r="29" ht="15" customHeight="1" spans="1:11">
      <c r="A29" s="233" t="s">
        <v>443</v>
      </c>
      <c r="B29" s="13" t="s">
        <v>444</v>
      </c>
      <c r="C29" s="13"/>
      <c r="D29" s="13"/>
      <c r="F29" s="234" t="s">
        <v>445</v>
      </c>
      <c r="G29" s="211" t="s">
        <v>446</v>
      </c>
      <c r="H29" s="212"/>
      <c r="I29" s="201">
        <v>1.65</v>
      </c>
      <c r="J29" s="212">
        <v>0.99</v>
      </c>
      <c r="K29" s="242"/>
    </row>
    <row r="30" ht="15" customHeight="1" spans="2:11">
      <c r="B30" s="13" t="s">
        <v>447</v>
      </c>
      <c r="C30" s="13"/>
      <c r="D30" s="13"/>
      <c r="F30" s="229"/>
      <c r="G30" s="222" t="s">
        <v>415</v>
      </c>
      <c r="H30" s="212"/>
      <c r="I30" s="201">
        <v>144</v>
      </c>
      <c r="J30" s="212">
        <v>86</v>
      </c>
      <c r="K30" s="242"/>
    </row>
    <row r="31" ht="9.75" hidden="1" customHeight="1" spans="2:11">
      <c r="B31" s="13" t="s">
        <v>448</v>
      </c>
      <c r="C31" s="13"/>
      <c r="D31" s="13"/>
      <c r="F31" s="228"/>
      <c r="G31" s="28"/>
      <c r="H31" s="212">
        <f t="shared" ref="H31:K31" si="1">(H28+H30)*(H29*0.01+1)</f>
        <v>200</v>
      </c>
      <c r="I31" s="212">
        <f t="shared" si="1"/>
        <v>46845.1337374</v>
      </c>
      <c r="J31" s="212">
        <f t="shared" si="1"/>
        <v>40635.145208712</v>
      </c>
      <c r="K31" s="212">
        <f t="shared" si="1"/>
        <v>0</v>
      </c>
    </row>
    <row r="32" ht="15" customHeight="1" spans="2:11">
      <c r="B32" s="13" t="s">
        <v>449</v>
      </c>
      <c r="C32" s="13"/>
      <c r="D32" s="13"/>
      <c r="F32" s="215" t="s">
        <v>450</v>
      </c>
      <c r="G32" s="216" t="s">
        <v>446</v>
      </c>
      <c r="H32" s="212"/>
      <c r="I32" s="201">
        <v>3.85</v>
      </c>
      <c r="J32" s="212">
        <v>2.31</v>
      </c>
      <c r="K32" s="242"/>
    </row>
    <row r="33" ht="15" customHeight="1" spans="2:11">
      <c r="B33" s="13" t="s">
        <v>451</v>
      </c>
      <c r="C33" s="13"/>
      <c r="D33" s="13"/>
      <c r="F33" s="224"/>
      <c r="G33" s="225" t="s">
        <v>415</v>
      </c>
      <c r="H33" s="212"/>
      <c r="I33" s="204">
        <v>606</v>
      </c>
      <c r="J33" s="245">
        <v>363</v>
      </c>
      <c r="K33" s="246"/>
    </row>
    <row r="34" ht="22.5" customHeight="1" spans="6:11">
      <c r="F34" s="235" t="s">
        <v>452</v>
      </c>
      <c r="G34" s="236"/>
      <c r="H34" s="237">
        <f t="shared" ref="H34:K34" si="2">INT((H31+H33)*(H32*0.01+1))</f>
        <v>200</v>
      </c>
      <c r="I34" s="237">
        <f>INT((I31++I33)*(I32*0.01+1))</f>
        <v>49278</v>
      </c>
      <c r="J34" s="237">
        <f t="shared" si="2"/>
        <v>41945</v>
      </c>
      <c r="K34" s="250">
        <f t="shared" si="2"/>
        <v>0</v>
      </c>
    </row>
    <row r="35" ht="14.25"/>
  </sheetData>
  <sheetProtection algorithmName="SHA-512" hashValue="NwE7buHGA3jIPVMJCFFj0BxapJpy99Qh/uxriFqnvn9RGqe4ZtQwkefTxHuileKajgjW6PpqnALC3zwoRGB9YA==" saltValue="i3boqHxWUmFNdYRFFkf/xw==" spinCount="100000" sheet="1" selectLockedCells="1" objects="1" scenarios="1"/>
  <mergeCells count="51">
    <mergeCell ref="F2:G2"/>
    <mergeCell ref="F3:G3"/>
    <mergeCell ref="F4:G4"/>
    <mergeCell ref="F5:G5"/>
    <mergeCell ref="F6:G6"/>
    <mergeCell ref="F7:G7"/>
    <mergeCell ref="B9:D9"/>
    <mergeCell ref="B10:D10"/>
    <mergeCell ref="B11:D11"/>
    <mergeCell ref="B12:D12"/>
    <mergeCell ref="B13:D13"/>
    <mergeCell ref="B14:D14"/>
    <mergeCell ref="B15:D15"/>
    <mergeCell ref="B16:D16"/>
    <mergeCell ref="F16:G16"/>
    <mergeCell ref="B17:D17"/>
    <mergeCell ref="F17:G17"/>
    <mergeCell ref="B18:D18"/>
    <mergeCell ref="F18:G18"/>
    <mergeCell ref="B19:D19"/>
    <mergeCell ref="F19:G19"/>
    <mergeCell ref="B20:D20"/>
    <mergeCell ref="F20:G20"/>
    <mergeCell ref="B21:D21"/>
    <mergeCell ref="F21:G21"/>
    <mergeCell ref="B22:D22"/>
    <mergeCell ref="F22:G22"/>
    <mergeCell ref="B23:D23"/>
    <mergeCell ref="F23:G23"/>
    <mergeCell ref="B24:D24"/>
    <mergeCell ref="B25:D25"/>
    <mergeCell ref="B26:D26"/>
    <mergeCell ref="B27:D27"/>
    <mergeCell ref="F28:G28"/>
    <mergeCell ref="B29:D29"/>
    <mergeCell ref="B30:D30"/>
    <mergeCell ref="B31:D31"/>
    <mergeCell ref="F31:G31"/>
    <mergeCell ref="B32:D32"/>
    <mergeCell ref="B33:D33"/>
    <mergeCell ref="F34:G34"/>
    <mergeCell ref="E8:E12"/>
    <mergeCell ref="F8:F9"/>
    <mergeCell ref="F10:F11"/>
    <mergeCell ref="F12:F13"/>
    <mergeCell ref="F14:F15"/>
    <mergeCell ref="F24:F25"/>
    <mergeCell ref="F26:F27"/>
    <mergeCell ref="F29:F30"/>
    <mergeCell ref="F32:F33"/>
    <mergeCell ref="A3:E4"/>
  </mergeCells>
  <dataValidations count="1">
    <dataValidation type="list" allowBlank="1" showInputMessage="1" showErrorMessage="1" sqref="F10">
      <formula1>"1,2,3,4,5"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129"/>
  <sheetViews>
    <sheetView workbookViewId="0">
      <selection activeCell="N38" sqref="N38"/>
    </sheetView>
  </sheetViews>
  <sheetFormatPr defaultColWidth="10.625" defaultRowHeight="13.5"/>
  <cols>
    <col min="1" max="15" width="10.625" style="4"/>
    <col min="16" max="16" width="9.75" style="4" customWidth="1"/>
    <col min="17" max="17" width="5.5" style="4" hidden="1" customWidth="1"/>
    <col min="18" max="18" width="12.5" style="4" customWidth="1"/>
    <col min="19" max="19" width="3.875" style="4" customWidth="1"/>
    <col min="20" max="16384" width="10.625" style="4"/>
  </cols>
  <sheetData>
    <row r="1" ht="14.25"/>
    <row r="2" ht="15" spans="1:14">
      <c r="A2" s="48" t="s">
        <v>453</v>
      </c>
      <c r="B2" s="49" t="s">
        <v>454</v>
      </c>
      <c r="C2" s="50"/>
      <c r="D2" s="50"/>
      <c r="E2" s="51"/>
      <c r="F2" s="52" t="s">
        <v>455</v>
      </c>
      <c r="G2" s="53"/>
      <c r="H2" s="53"/>
      <c r="I2" s="53"/>
      <c r="J2" s="53"/>
      <c r="K2" s="53"/>
      <c r="L2" s="53"/>
      <c r="M2" s="53"/>
      <c r="N2" s="141"/>
    </row>
    <row r="3" ht="14.25" spans="1:14">
      <c r="A3" s="54"/>
      <c r="B3" s="55" t="s">
        <v>456</v>
      </c>
      <c r="C3" s="56" t="s">
        <v>23</v>
      </c>
      <c r="D3" s="56" t="s">
        <v>34</v>
      </c>
      <c r="E3" s="56" t="s">
        <v>28</v>
      </c>
      <c r="F3" s="57" t="s">
        <v>457</v>
      </c>
      <c r="G3" s="58"/>
      <c r="H3" s="58"/>
      <c r="I3" s="58"/>
      <c r="J3" s="58"/>
      <c r="K3" s="58"/>
      <c r="L3" s="58"/>
      <c r="M3" s="58"/>
      <c r="N3" s="142"/>
    </row>
    <row r="4" spans="1:14">
      <c r="A4" s="54"/>
      <c r="B4" s="59">
        <v>1</v>
      </c>
      <c r="C4" s="60">
        <v>1</v>
      </c>
      <c r="D4" s="61">
        <v>1</v>
      </c>
      <c r="E4" s="62">
        <v>1</v>
      </c>
      <c r="F4" s="63" t="s">
        <v>458</v>
      </c>
      <c r="G4" s="64"/>
      <c r="H4" s="64"/>
      <c r="I4" s="64"/>
      <c r="J4" s="64"/>
      <c r="K4" s="64"/>
      <c r="L4" s="64"/>
      <c r="M4" s="64"/>
      <c r="N4" s="143"/>
    </row>
    <row r="5" spans="1:14">
      <c r="A5" s="54"/>
      <c r="B5" s="65">
        <v>2</v>
      </c>
      <c r="C5" s="66">
        <v>0.648</v>
      </c>
      <c r="D5" s="67">
        <v>0.648</v>
      </c>
      <c r="E5" s="68">
        <v>0.9</v>
      </c>
      <c r="F5" s="63" t="s">
        <v>459</v>
      </c>
      <c r="G5" s="64"/>
      <c r="H5" s="64"/>
      <c r="I5" s="64"/>
      <c r="J5" s="64"/>
      <c r="K5" s="64"/>
      <c r="L5" s="64"/>
      <c r="M5" s="64"/>
      <c r="N5" s="143"/>
    </row>
    <row r="6" spans="1:16">
      <c r="A6" s="54"/>
      <c r="B6" s="65">
        <v>3</v>
      </c>
      <c r="C6" s="66">
        <v>0.512</v>
      </c>
      <c r="D6" s="67">
        <v>0.512</v>
      </c>
      <c r="E6" s="68">
        <v>0.8</v>
      </c>
      <c r="F6" s="57" t="s">
        <v>460</v>
      </c>
      <c r="G6" s="58"/>
      <c r="H6" s="58"/>
      <c r="I6" s="58"/>
      <c r="J6" s="58"/>
      <c r="K6" s="58"/>
      <c r="L6" s="58"/>
      <c r="M6" s="58"/>
      <c r="N6" s="142"/>
      <c r="P6" s="79"/>
    </row>
    <row r="7" spans="1:16">
      <c r="A7" s="54"/>
      <c r="B7" s="65">
        <v>4</v>
      </c>
      <c r="C7" s="66">
        <v>0.392</v>
      </c>
      <c r="D7" s="67">
        <v>0.392</v>
      </c>
      <c r="E7" s="68">
        <v>0.7</v>
      </c>
      <c r="F7" s="69" t="s">
        <v>461</v>
      </c>
      <c r="G7" s="70"/>
      <c r="H7" s="70"/>
      <c r="I7" s="70"/>
      <c r="J7" s="70"/>
      <c r="K7" s="70"/>
      <c r="L7" s="70"/>
      <c r="M7" s="70"/>
      <c r="N7" s="144"/>
      <c r="P7" s="79"/>
    </row>
    <row r="8" spans="1:16">
      <c r="A8" s="54"/>
      <c r="B8" s="65">
        <v>5</v>
      </c>
      <c r="C8" s="66">
        <v>0.288</v>
      </c>
      <c r="D8" s="67">
        <v>0.36</v>
      </c>
      <c r="E8" s="68">
        <v>0.6</v>
      </c>
      <c r="F8" s="69" t="s">
        <v>462</v>
      </c>
      <c r="G8" s="70"/>
      <c r="H8" s="70"/>
      <c r="I8" s="70"/>
      <c r="J8" s="70"/>
      <c r="K8" s="70"/>
      <c r="L8" s="70"/>
      <c r="M8" s="70"/>
      <c r="N8" s="144"/>
      <c r="P8" s="79"/>
    </row>
    <row r="9" spans="1:16">
      <c r="A9" s="54"/>
      <c r="B9" s="65">
        <v>6</v>
      </c>
      <c r="C9" s="71">
        <v>0.2</v>
      </c>
      <c r="D9" s="67">
        <v>0.25</v>
      </c>
      <c r="E9" s="68">
        <v>0.5</v>
      </c>
      <c r="F9" s="69" t="s">
        <v>463</v>
      </c>
      <c r="G9" s="70"/>
      <c r="H9" s="70"/>
      <c r="I9" s="70"/>
      <c r="J9" s="70"/>
      <c r="K9" s="70"/>
      <c r="L9" s="70"/>
      <c r="M9" s="70"/>
      <c r="N9" s="144"/>
      <c r="P9" s="79"/>
    </row>
    <row r="10" spans="1:16">
      <c r="A10" s="54"/>
      <c r="B10" s="65">
        <v>7</v>
      </c>
      <c r="C10" s="66">
        <v>0.128</v>
      </c>
      <c r="D10" s="67">
        <v>0.16</v>
      </c>
      <c r="E10" s="68">
        <v>0.4</v>
      </c>
      <c r="F10" s="69" t="s">
        <v>464</v>
      </c>
      <c r="G10" s="70"/>
      <c r="H10" s="70"/>
      <c r="I10" s="70"/>
      <c r="J10" s="70"/>
      <c r="K10" s="70"/>
      <c r="L10" s="70"/>
      <c r="M10" s="70"/>
      <c r="N10" s="144"/>
      <c r="P10" s="79"/>
    </row>
    <row r="11" ht="14.25" spans="1:16">
      <c r="A11" s="72"/>
      <c r="B11" s="73">
        <v>8</v>
      </c>
      <c r="C11" s="74">
        <v>0.072</v>
      </c>
      <c r="D11" s="75">
        <v>0.09</v>
      </c>
      <c r="E11" s="76">
        <v>0.3</v>
      </c>
      <c r="F11" s="77" t="s">
        <v>465</v>
      </c>
      <c r="G11" s="78"/>
      <c r="H11" s="78"/>
      <c r="I11" s="78"/>
      <c r="J11" s="78"/>
      <c r="K11" s="78"/>
      <c r="L11" s="78"/>
      <c r="M11" s="78"/>
      <c r="N11" s="145"/>
      <c r="P11" s="79"/>
    </row>
    <row r="12" ht="15" spans="2:16">
      <c r="B12" s="79"/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</row>
    <row r="13" ht="14.25" customHeight="1" spans="1:16">
      <c r="A13" s="48" t="s">
        <v>466</v>
      </c>
      <c r="B13" s="80" t="s">
        <v>467</v>
      </c>
      <c r="C13" s="53"/>
      <c r="D13" s="53"/>
      <c r="E13" s="53"/>
      <c r="F13" s="53"/>
      <c r="G13" s="53"/>
      <c r="H13" s="53"/>
      <c r="I13" s="53"/>
      <c r="J13" s="53"/>
      <c r="K13" s="53"/>
      <c r="L13" s="141"/>
      <c r="M13" s="79"/>
      <c r="N13" s="79"/>
      <c r="O13" s="79"/>
      <c r="P13" s="79"/>
    </row>
    <row r="14" customHeight="1" spans="1:16">
      <c r="A14" s="81"/>
      <c r="B14" s="55"/>
      <c r="C14" s="82" t="s">
        <v>468</v>
      </c>
      <c r="D14" s="82" t="s">
        <v>469</v>
      </c>
      <c r="E14" s="82" t="s">
        <v>470</v>
      </c>
      <c r="F14" s="82" t="s">
        <v>471</v>
      </c>
      <c r="G14" s="82" t="s">
        <v>472</v>
      </c>
      <c r="H14" s="82" t="s">
        <v>473</v>
      </c>
      <c r="I14" s="82" t="s">
        <v>474</v>
      </c>
      <c r="J14" s="82" t="s">
        <v>475</v>
      </c>
      <c r="K14" s="146" t="s">
        <v>476</v>
      </c>
      <c r="L14" s="147"/>
      <c r="M14" s="79"/>
      <c r="N14" s="79"/>
      <c r="O14" s="79"/>
      <c r="P14" s="79"/>
    </row>
    <row r="15" customHeight="1" spans="1:16">
      <c r="A15" s="81"/>
      <c r="B15" s="83" t="s">
        <v>477</v>
      </c>
      <c r="C15" s="8">
        <v>432</v>
      </c>
      <c r="D15" s="8">
        <v>486</v>
      </c>
      <c r="E15" s="8">
        <v>542</v>
      </c>
      <c r="F15" s="8">
        <v>600</v>
      </c>
      <c r="G15" s="8">
        <v>600</v>
      </c>
      <c r="H15" s="8">
        <v>660</v>
      </c>
      <c r="I15" s="8">
        <v>720</v>
      </c>
      <c r="J15" s="8">
        <v>780</v>
      </c>
      <c r="K15" s="11">
        <v>4820</v>
      </c>
      <c r="L15" s="148" t="s">
        <v>478</v>
      </c>
      <c r="M15" s="79"/>
      <c r="N15" s="79"/>
      <c r="O15" s="79"/>
      <c r="P15" s="79"/>
    </row>
    <row r="16" customHeight="1" spans="1:12">
      <c r="A16" s="81"/>
      <c r="B16" s="83" t="s">
        <v>479</v>
      </c>
      <c r="C16" s="8">
        <v>522</v>
      </c>
      <c r="D16" s="8">
        <v>576</v>
      </c>
      <c r="E16" s="8">
        <v>632</v>
      </c>
      <c r="F16" s="8">
        <v>690</v>
      </c>
      <c r="G16" s="8">
        <v>690</v>
      </c>
      <c r="H16" s="8">
        <v>750</v>
      </c>
      <c r="I16" s="8">
        <v>810</v>
      </c>
      <c r="J16" s="8">
        <v>870</v>
      </c>
      <c r="K16" s="11">
        <v>5540</v>
      </c>
      <c r="L16" s="148"/>
    </row>
    <row r="17" customHeight="1" spans="1:12">
      <c r="A17" s="81"/>
      <c r="B17" s="83" t="s">
        <v>480</v>
      </c>
      <c r="C17" s="8">
        <v>612</v>
      </c>
      <c r="D17" s="8">
        <v>666</v>
      </c>
      <c r="E17" s="8">
        <v>722</v>
      </c>
      <c r="F17" s="8">
        <v>780</v>
      </c>
      <c r="G17" s="8">
        <v>780</v>
      </c>
      <c r="H17" s="8">
        <v>840</v>
      </c>
      <c r="I17" s="8">
        <v>900</v>
      </c>
      <c r="J17" s="8">
        <v>960</v>
      </c>
      <c r="K17" s="11">
        <v>6260</v>
      </c>
      <c r="L17" s="148"/>
    </row>
    <row r="18" customHeight="1" spans="1:12">
      <c r="A18" s="81"/>
      <c r="B18" s="83" t="s">
        <v>481</v>
      </c>
      <c r="C18" s="8">
        <v>702</v>
      </c>
      <c r="D18" s="8">
        <v>756</v>
      </c>
      <c r="E18" s="8">
        <v>812</v>
      </c>
      <c r="F18" s="8">
        <v>870</v>
      </c>
      <c r="G18" s="8">
        <v>870</v>
      </c>
      <c r="H18" s="8">
        <v>930</v>
      </c>
      <c r="I18" s="8">
        <v>990</v>
      </c>
      <c r="J18" s="8">
        <v>1050</v>
      </c>
      <c r="K18" s="11">
        <v>6980</v>
      </c>
      <c r="L18" s="149"/>
    </row>
    <row r="19" customHeight="1" spans="1:12">
      <c r="A19" s="81"/>
      <c r="B19" s="83" t="s">
        <v>482</v>
      </c>
      <c r="C19" s="8">
        <v>792</v>
      </c>
      <c r="D19" s="8">
        <v>846</v>
      </c>
      <c r="E19" s="8">
        <v>902</v>
      </c>
      <c r="F19" s="8">
        <v>960</v>
      </c>
      <c r="G19" s="8">
        <v>960</v>
      </c>
      <c r="H19" s="8">
        <v>1020</v>
      </c>
      <c r="I19" s="8">
        <v>1080</v>
      </c>
      <c r="J19" s="8">
        <v>1140</v>
      </c>
      <c r="K19" s="11">
        <v>7700</v>
      </c>
      <c r="L19" s="150">
        <v>58720</v>
      </c>
    </row>
    <row r="20" customHeight="1" spans="1:12">
      <c r="A20" s="81"/>
      <c r="B20" s="83" t="s">
        <v>483</v>
      </c>
      <c r="C20" s="8">
        <v>882</v>
      </c>
      <c r="D20" s="8">
        <v>936</v>
      </c>
      <c r="E20" s="8">
        <v>992</v>
      </c>
      <c r="F20" s="8">
        <v>1050</v>
      </c>
      <c r="G20" s="8">
        <v>1050</v>
      </c>
      <c r="H20" s="8">
        <v>1110</v>
      </c>
      <c r="I20" s="8">
        <v>1170</v>
      </c>
      <c r="J20" s="8">
        <v>1230</v>
      </c>
      <c r="K20" s="11">
        <v>8420</v>
      </c>
      <c r="L20" s="150"/>
    </row>
    <row r="21" ht="14.25" customHeight="1" spans="1:12">
      <c r="A21" s="81"/>
      <c r="B21" s="84" t="s">
        <v>484</v>
      </c>
      <c r="C21" s="85">
        <v>972</v>
      </c>
      <c r="D21" s="85">
        <v>1026</v>
      </c>
      <c r="E21" s="85">
        <v>1082</v>
      </c>
      <c r="F21" s="85">
        <v>1140</v>
      </c>
      <c r="G21" s="85">
        <v>1140</v>
      </c>
      <c r="H21" s="85">
        <v>1200</v>
      </c>
      <c r="I21" s="85">
        <v>1260</v>
      </c>
      <c r="J21" s="85">
        <v>1320</v>
      </c>
      <c r="K21" s="151">
        <v>9140</v>
      </c>
      <c r="L21" s="150"/>
    </row>
    <row r="22" ht="14.25" spans="1:12">
      <c r="A22" s="86"/>
      <c r="B22" s="87" t="s">
        <v>485</v>
      </c>
      <c r="C22" s="88">
        <v>1062</v>
      </c>
      <c r="D22" s="88">
        <v>1116</v>
      </c>
      <c r="E22" s="88">
        <v>1172</v>
      </c>
      <c r="F22" s="88">
        <v>1230</v>
      </c>
      <c r="G22" s="88">
        <v>1230</v>
      </c>
      <c r="H22" s="88">
        <v>1290</v>
      </c>
      <c r="I22" s="88">
        <v>1350</v>
      </c>
      <c r="J22" s="88">
        <v>1410</v>
      </c>
      <c r="K22" s="152">
        <v>9860</v>
      </c>
      <c r="L22" s="153"/>
    </row>
    <row r="23" ht="15"/>
    <row r="24" ht="14.25" customHeight="1" spans="1:12">
      <c r="A24" s="48" t="s">
        <v>486</v>
      </c>
      <c r="B24" s="80" t="s">
        <v>487</v>
      </c>
      <c r="C24" s="89"/>
      <c r="D24" s="89"/>
      <c r="E24" s="89"/>
      <c r="F24" s="89"/>
      <c r="G24" s="89"/>
      <c r="H24" s="89"/>
      <c r="I24" s="154"/>
      <c r="K24" s="80" t="s">
        <v>488</v>
      </c>
      <c r="L24" s="141"/>
    </row>
    <row r="25" customHeight="1" spans="1:12">
      <c r="A25" s="81"/>
      <c r="B25" s="90" t="s">
        <v>489</v>
      </c>
      <c r="C25" s="91" t="s">
        <v>490</v>
      </c>
      <c r="D25" s="91" t="s">
        <v>491</v>
      </c>
      <c r="E25" s="91" t="s">
        <v>492</v>
      </c>
      <c r="F25" s="92" t="s">
        <v>493</v>
      </c>
      <c r="G25" s="92" t="s">
        <v>494</v>
      </c>
      <c r="H25" s="91" t="s">
        <v>495</v>
      </c>
      <c r="I25" s="155" t="s">
        <v>496</v>
      </c>
      <c r="K25" s="156" t="s">
        <v>497</v>
      </c>
      <c r="L25" s="157">
        <v>45</v>
      </c>
    </row>
    <row r="26" customHeight="1" spans="1:12">
      <c r="A26" s="81"/>
      <c r="B26" s="93"/>
      <c r="C26" s="94"/>
      <c r="D26" s="94"/>
      <c r="E26" s="94"/>
      <c r="F26" s="95" t="s">
        <v>498</v>
      </c>
      <c r="G26" s="95" t="s">
        <v>499</v>
      </c>
      <c r="H26" s="94"/>
      <c r="I26" s="158"/>
      <c r="K26" s="159" t="s">
        <v>500</v>
      </c>
      <c r="L26" s="140">
        <v>60</v>
      </c>
    </row>
    <row r="27" customHeight="1" spans="1:12">
      <c r="A27" s="81"/>
      <c r="B27" s="96" t="s">
        <v>501</v>
      </c>
      <c r="C27" s="97">
        <v>349</v>
      </c>
      <c r="D27" s="97">
        <v>698</v>
      </c>
      <c r="E27" s="97">
        <v>1047</v>
      </c>
      <c r="F27" s="56">
        <v>35</v>
      </c>
      <c r="G27" s="56">
        <v>800</v>
      </c>
      <c r="H27" s="56">
        <v>160</v>
      </c>
      <c r="I27" s="160">
        <v>400</v>
      </c>
      <c r="K27" s="159" t="s">
        <v>502</v>
      </c>
      <c r="L27" s="140">
        <v>70</v>
      </c>
    </row>
    <row r="28" customHeight="1" spans="1:12">
      <c r="A28" s="81"/>
      <c r="B28" s="98" t="s">
        <v>503</v>
      </c>
      <c r="C28" s="8">
        <v>748</v>
      </c>
      <c r="D28" s="8">
        <v>1869</v>
      </c>
      <c r="E28" s="8">
        <v>2617</v>
      </c>
      <c r="F28" s="99">
        <v>94</v>
      </c>
      <c r="G28" s="99">
        <v>400</v>
      </c>
      <c r="H28" s="99">
        <v>800</v>
      </c>
      <c r="I28" s="161">
        <v>2000</v>
      </c>
      <c r="K28" s="159" t="s">
        <v>504</v>
      </c>
      <c r="L28" s="140">
        <v>80</v>
      </c>
    </row>
    <row r="29" customHeight="1" spans="1:12">
      <c r="A29" s="81"/>
      <c r="B29" s="98" t="s">
        <v>505</v>
      </c>
      <c r="C29" s="8">
        <v>1193</v>
      </c>
      <c r="D29" s="8">
        <v>3515</v>
      </c>
      <c r="E29" s="8">
        <v>4708</v>
      </c>
      <c r="F29" s="99">
        <v>176</v>
      </c>
      <c r="G29" s="99">
        <v>16380</v>
      </c>
      <c r="H29" s="99">
        <v>3276</v>
      </c>
      <c r="I29" s="161">
        <v>8190</v>
      </c>
      <c r="K29" s="159" t="s">
        <v>506</v>
      </c>
      <c r="L29" s="140">
        <v>90</v>
      </c>
    </row>
    <row r="30" customHeight="1" spans="1:12">
      <c r="A30" s="81"/>
      <c r="B30" s="98" t="s">
        <v>507</v>
      </c>
      <c r="C30" s="8">
        <v>1694</v>
      </c>
      <c r="D30" s="8">
        <v>5704</v>
      </c>
      <c r="E30" s="8">
        <v>7398</v>
      </c>
      <c r="F30" s="99">
        <v>285</v>
      </c>
      <c r="G30" s="99">
        <v>42050</v>
      </c>
      <c r="H30" s="99">
        <v>8410</v>
      </c>
      <c r="I30" s="161">
        <v>21025</v>
      </c>
      <c r="K30" s="159" t="s">
        <v>508</v>
      </c>
      <c r="L30" s="140">
        <v>100</v>
      </c>
    </row>
    <row r="31" customHeight="1" spans="1:12">
      <c r="A31" s="81"/>
      <c r="B31" s="100" t="s">
        <v>509</v>
      </c>
      <c r="C31" s="101">
        <v>2242</v>
      </c>
      <c r="D31" s="101">
        <v>8302</v>
      </c>
      <c r="E31" s="101">
        <v>10544</v>
      </c>
      <c r="F31" s="102">
        <v>415</v>
      </c>
      <c r="G31" s="102">
        <v>88200</v>
      </c>
      <c r="H31" s="102">
        <v>17640</v>
      </c>
      <c r="I31" s="162">
        <v>44100</v>
      </c>
      <c r="K31" s="159" t="s">
        <v>510</v>
      </c>
      <c r="L31" s="140">
        <v>120</v>
      </c>
    </row>
    <row r="32" customHeight="1" spans="1:12">
      <c r="A32" s="81"/>
      <c r="B32" s="90" t="s">
        <v>511</v>
      </c>
      <c r="C32" s="91" t="s">
        <v>490</v>
      </c>
      <c r="D32" s="91" t="s">
        <v>491</v>
      </c>
      <c r="E32" s="91" t="s">
        <v>492</v>
      </c>
      <c r="F32" s="92" t="s">
        <v>493</v>
      </c>
      <c r="G32" s="92" t="s">
        <v>494</v>
      </c>
      <c r="H32" s="91" t="s">
        <v>495</v>
      </c>
      <c r="I32" s="155" t="s">
        <v>496</v>
      </c>
      <c r="K32" s="159" t="s">
        <v>512</v>
      </c>
      <c r="L32" s="140">
        <v>140</v>
      </c>
    </row>
    <row r="33" customHeight="1" spans="1:12">
      <c r="A33" s="81"/>
      <c r="B33" s="93"/>
      <c r="C33" s="94"/>
      <c r="D33" s="94"/>
      <c r="E33" s="94"/>
      <c r="F33" s="95" t="s">
        <v>498</v>
      </c>
      <c r="G33" s="95" t="s">
        <v>499</v>
      </c>
      <c r="H33" s="94"/>
      <c r="I33" s="158"/>
      <c r="K33" s="159" t="s">
        <v>513</v>
      </c>
      <c r="L33" s="140">
        <v>160</v>
      </c>
    </row>
    <row r="34" customHeight="1" spans="1:12">
      <c r="A34" s="81"/>
      <c r="B34" s="96" t="s">
        <v>501</v>
      </c>
      <c r="C34" s="97">
        <v>278</v>
      </c>
      <c r="D34" s="97">
        <v>558</v>
      </c>
      <c r="E34" s="97">
        <v>836</v>
      </c>
      <c r="F34" s="56">
        <v>28</v>
      </c>
      <c r="G34" s="56">
        <v>540</v>
      </c>
      <c r="H34" s="56">
        <v>108</v>
      </c>
      <c r="I34" s="160">
        <v>270</v>
      </c>
      <c r="K34" s="159" t="s">
        <v>514</v>
      </c>
      <c r="L34" s="140">
        <v>180</v>
      </c>
    </row>
    <row r="35" ht="14.25" customHeight="1" spans="1:12">
      <c r="A35" s="81"/>
      <c r="B35" s="98" t="s">
        <v>503</v>
      </c>
      <c r="C35" s="8">
        <v>597</v>
      </c>
      <c r="D35" s="8">
        <v>1496</v>
      </c>
      <c r="E35" s="8">
        <v>2096</v>
      </c>
      <c r="F35" s="99">
        <v>75</v>
      </c>
      <c r="G35" s="99">
        <v>3200</v>
      </c>
      <c r="H35" s="99">
        <v>640</v>
      </c>
      <c r="I35" s="161">
        <v>1600</v>
      </c>
      <c r="K35" s="159" t="s">
        <v>515</v>
      </c>
      <c r="L35" s="140">
        <v>200</v>
      </c>
    </row>
    <row r="36" ht="14.25" customHeight="1" spans="1:12">
      <c r="A36" s="81"/>
      <c r="B36" s="98" t="s">
        <v>505</v>
      </c>
      <c r="C36" s="8">
        <v>955</v>
      </c>
      <c r="D36" s="8">
        <v>2813</v>
      </c>
      <c r="E36" s="8">
        <v>3768</v>
      </c>
      <c r="F36" s="99">
        <v>141</v>
      </c>
      <c r="G36" s="99">
        <v>10650</v>
      </c>
      <c r="H36" s="99">
        <v>2130</v>
      </c>
      <c r="I36" s="161">
        <v>5325</v>
      </c>
      <c r="K36" s="159" t="s">
        <v>516</v>
      </c>
      <c r="L36" s="140"/>
    </row>
    <row r="37" customHeight="1" spans="1:12">
      <c r="A37" s="81"/>
      <c r="B37" s="98" t="s">
        <v>507</v>
      </c>
      <c r="C37" s="8">
        <v>1352</v>
      </c>
      <c r="D37" s="8">
        <v>4562</v>
      </c>
      <c r="E37" s="8">
        <v>5915</v>
      </c>
      <c r="F37" s="99">
        <v>228</v>
      </c>
      <c r="G37" s="99">
        <v>27140</v>
      </c>
      <c r="H37" s="99">
        <v>5428</v>
      </c>
      <c r="I37" s="161">
        <v>13570</v>
      </c>
      <c r="K37" s="159" t="s">
        <v>517</v>
      </c>
      <c r="L37" s="140"/>
    </row>
    <row r="38" ht="14.25" spans="1:12">
      <c r="A38" s="86"/>
      <c r="B38" s="103" t="s">
        <v>509</v>
      </c>
      <c r="C38" s="88">
        <v>1790</v>
      </c>
      <c r="D38" s="88">
        <v>6642</v>
      </c>
      <c r="E38" s="88">
        <v>8432</v>
      </c>
      <c r="F38" s="104">
        <v>332</v>
      </c>
      <c r="G38" s="104">
        <v>56780</v>
      </c>
      <c r="H38" s="104">
        <v>11356</v>
      </c>
      <c r="I38" s="163">
        <v>28390</v>
      </c>
      <c r="K38" s="164" t="s">
        <v>518</v>
      </c>
      <c r="L38" s="165"/>
    </row>
    <row r="39" ht="15" spans="17:17">
      <c r="Q39" s="4">
        <v>1</v>
      </c>
    </row>
    <row r="40" customHeight="1" spans="1:17">
      <c r="A40" s="48" t="s">
        <v>519</v>
      </c>
      <c r="B40" s="80" t="s">
        <v>520</v>
      </c>
      <c r="C40" s="53"/>
      <c r="D40" s="53"/>
      <c r="E40" s="53"/>
      <c r="F40" s="53"/>
      <c r="G40" s="53"/>
      <c r="H40" s="53"/>
      <c r="I40" s="53"/>
      <c r="J40" s="141"/>
      <c r="Q40" s="4">
        <v>2</v>
      </c>
    </row>
    <row r="41" ht="14.25" customHeight="1" spans="1:17">
      <c r="A41" s="81"/>
      <c r="B41" s="105" t="s">
        <v>263</v>
      </c>
      <c r="C41" s="106" t="s">
        <v>521</v>
      </c>
      <c r="D41" s="106" t="s">
        <v>522</v>
      </c>
      <c r="E41" s="106" t="s">
        <v>523</v>
      </c>
      <c r="F41" s="107" t="s">
        <v>365</v>
      </c>
      <c r="G41" s="106" t="s">
        <v>524</v>
      </c>
      <c r="H41" s="106" t="s">
        <v>525</v>
      </c>
      <c r="I41" s="166" t="s">
        <v>526</v>
      </c>
      <c r="J41" s="167" t="s">
        <v>527</v>
      </c>
      <c r="Q41" s="4">
        <v>3</v>
      </c>
    </row>
    <row r="42" ht="14.25" customHeight="1" spans="1:19">
      <c r="A42" s="81"/>
      <c r="B42" s="108" t="s">
        <v>346</v>
      </c>
      <c r="C42" s="99" t="str">
        <f>VLOOKUP(B42,武功表!A62:C79,3,0)</f>
        <v>攻</v>
      </c>
      <c r="D42" s="99">
        <f>IF(C42="防",VLOOKUP(B42,武功表!A62:H103,7,0),IF(C42="攻",VLOOKUP(B42,武功表!A62:H103,6,0),IF(C42="内",VLOOKUP(B42,武功表!A62:H103,8,0))))</f>
        <v>8</v>
      </c>
      <c r="E42" s="99">
        <f>VLOOKUP(B42,武功表!A62:I103,9,0)</f>
        <v>3</v>
      </c>
      <c r="F42" s="109">
        <v>9</v>
      </c>
      <c r="G42" s="99">
        <f>D42+(F42-1)*E42</f>
        <v>32</v>
      </c>
      <c r="H42" s="99">
        <f>G42*1.1</f>
        <v>35.2</v>
      </c>
      <c r="I42" s="99">
        <f>G42*1.23</f>
        <v>39.36</v>
      </c>
      <c r="J42" s="168">
        <f>G42*1.35</f>
        <v>43.2</v>
      </c>
      <c r="K42" s="169" t="s">
        <v>528</v>
      </c>
      <c r="L42" s="170" t="s">
        <v>529</v>
      </c>
      <c r="M42" s="170"/>
      <c r="N42" s="170"/>
      <c r="O42" s="170"/>
      <c r="P42" s="170"/>
      <c r="Q42" s="170"/>
      <c r="R42" s="170"/>
      <c r="S42" s="170"/>
    </row>
    <row r="43" customHeight="1" spans="1:19">
      <c r="A43" s="81"/>
      <c r="B43" s="110"/>
      <c r="C43" s="111"/>
      <c r="D43" s="112"/>
      <c r="E43" s="112"/>
      <c r="F43" s="112" t="s">
        <v>50</v>
      </c>
      <c r="G43" s="113" t="s">
        <v>530</v>
      </c>
      <c r="H43" s="113" t="s">
        <v>531</v>
      </c>
      <c r="I43" s="113" t="s">
        <v>532</v>
      </c>
      <c r="J43" s="171" t="s">
        <v>533</v>
      </c>
      <c r="K43" s="172"/>
      <c r="L43" s="170" t="s">
        <v>534</v>
      </c>
      <c r="M43" s="170"/>
      <c r="N43" s="170"/>
      <c r="O43" s="170"/>
      <c r="P43" s="170"/>
      <c r="Q43" s="170"/>
      <c r="R43" s="170"/>
      <c r="S43" s="170"/>
    </row>
    <row r="44" ht="14.25" customHeight="1" spans="1:17">
      <c r="A44" s="86"/>
      <c r="B44" s="108" t="s">
        <v>342</v>
      </c>
      <c r="C44" s="104" t="str">
        <f>VLOOKUP(B44,武功表!A62:C79,3,0)</f>
        <v>防</v>
      </c>
      <c r="D44" s="104">
        <f>IF(C44="防",VLOOKUP(B44,武功表!A62:H103,7,0),IF(C44="攻",VLOOKUP(B44,武功表!A62:H103,6,0),IF(C44="内",VLOOKUP(B44,武功表!A62:H103,8,0))))</f>
        <v>15</v>
      </c>
      <c r="E44" s="104">
        <f>VLOOKUP(B44,武功表!A62:I103,9,0)</f>
        <v>3</v>
      </c>
      <c r="F44" s="114">
        <v>10</v>
      </c>
      <c r="G44" s="104">
        <f>D44+(F44-1)*E44</f>
        <v>42</v>
      </c>
      <c r="H44" s="104">
        <f>G44*1.1</f>
        <v>46.2</v>
      </c>
      <c r="I44" s="104">
        <f>G44*1.23</f>
        <v>51.66</v>
      </c>
      <c r="J44" s="163">
        <f>G44*1.35</f>
        <v>56.7</v>
      </c>
      <c r="Q44" s="4">
        <v>6</v>
      </c>
    </row>
    <row r="45" ht="14.25" customHeight="1" spans="17:17">
      <c r="Q45" s="4">
        <v>7</v>
      </c>
    </row>
    <row r="46" customHeight="1" spans="1:17">
      <c r="A46" s="48" t="s">
        <v>535</v>
      </c>
      <c r="B46" s="80" t="s">
        <v>536</v>
      </c>
      <c r="C46" s="53"/>
      <c r="D46" s="53"/>
      <c r="E46" s="53"/>
      <c r="F46" s="53"/>
      <c r="G46" s="53"/>
      <c r="H46" s="53"/>
      <c r="I46" s="53"/>
      <c r="J46" s="53"/>
      <c r="K46" s="141"/>
      <c r="Q46" s="4">
        <v>8</v>
      </c>
    </row>
    <row r="47" customHeight="1" spans="1:17">
      <c r="A47" s="81"/>
      <c r="B47" s="115" t="s">
        <v>364</v>
      </c>
      <c r="C47" s="116" t="str">
        <f>$B$49</f>
        <v>小龙女</v>
      </c>
      <c r="D47" s="117" t="s">
        <v>537</v>
      </c>
      <c r="E47" s="117"/>
      <c r="F47" s="117"/>
      <c r="G47" s="117"/>
      <c r="H47" s="105" t="s">
        <v>398</v>
      </c>
      <c r="I47" s="106"/>
      <c r="J47" s="106"/>
      <c r="K47" s="139"/>
      <c r="Q47" s="4">
        <v>9</v>
      </c>
    </row>
    <row r="48" customHeight="1" spans="1:17">
      <c r="A48" s="81"/>
      <c r="B48" s="118">
        <v>33</v>
      </c>
      <c r="C48" s="119"/>
      <c r="D48" s="120" t="s">
        <v>12</v>
      </c>
      <c r="E48" s="99" t="s">
        <v>20</v>
      </c>
      <c r="F48" s="99" t="s">
        <v>30</v>
      </c>
      <c r="G48" s="121" t="s">
        <v>340</v>
      </c>
      <c r="H48" s="122" t="s">
        <v>12</v>
      </c>
      <c r="I48" s="99" t="s">
        <v>20</v>
      </c>
      <c r="J48" s="99" t="s">
        <v>30</v>
      </c>
      <c r="K48" s="161" t="s">
        <v>340</v>
      </c>
      <c r="Q48" s="4">
        <v>10</v>
      </c>
    </row>
    <row r="49" customHeight="1" spans="1:11">
      <c r="A49" s="81"/>
      <c r="B49" s="118" t="str">
        <f>INDEX(弟子基础属性!C3:C67,$B$48)</f>
        <v>小龙女</v>
      </c>
      <c r="C49" s="123" t="s">
        <v>538</v>
      </c>
      <c r="D49" s="124">
        <f>IF(B54&lt;32,C34*B55,C27*B55)</f>
        <v>105.438066465257</v>
      </c>
      <c r="E49" s="125">
        <f>IF(B54&lt;32,C34*B56,C27*B56)</f>
        <v>48.5015105740181</v>
      </c>
      <c r="F49" s="125">
        <f>IF(B54&lt;32,C34*B57,C27*B57)</f>
        <v>68.5347432024169</v>
      </c>
      <c r="G49" s="126">
        <f>IF(B54&lt;32,C34*B58,C27*B58)</f>
        <v>126.525679758308</v>
      </c>
      <c r="H49" s="127">
        <f>IF(B54&lt;32,D34*B55,D27*B55)</f>
        <v>210.876132930514</v>
      </c>
      <c r="I49" s="125">
        <f>IF(B54&lt;32,D34*B56,D27*B56)</f>
        <v>97.0030211480362</v>
      </c>
      <c r="J49" s="126">
        <f>IF(B54&lt;32,D34*B57,D27*B57)</f>
        <v>137.069486404834</v>
      </c>
      <c r="K49" s="173">
        <f>IF(B54&lt;32,D34*B58,D27*B58)</f>
        <v>253.051359516616</v>
      </c>
    </row>
    <row r="50" customHeight="1" spans="1:11">
      <c r="A50" s="81"/>
      <c r="B50" s="128">
        <f>VLOOKUP(C47,弟子基础属性!C:P,10,0)</f>
        <v>10</v>
      </c>
      <c r="C50" s="129"/>
      <c r="D50" s="124"/>
      <c r="E50" s="125" t="s">
        <v>30</v>
      </c>
      <c r="F50" s="125"/>
      <c r="G50" s="126"/>
      <c r="H50" s="127"/>
      <c r="I50" s="125"/>
      <c r="J50" s="126"/>
      <c r="K50" s="173"/>
    </row>
    <row r="51" customHeight="1" spans="1:11">
      <c r="A51" s="81"/>
      <c r="B51" s="130">
        <f>VLOOKUP(C47,弟子基础属性!C:P,11,0)</f>
        <v>4.6</v>
      </c>
      <c r="C51" s="123" t="s">
        <v>539</v>
      </c>
      <c r="D51" s="124">
        <f>IF(B54&lt;32,C35*B55,C28*B55)</f>
        <v>225.981873111782</v>
      </c>
      <c r="E51" s="125">
        <f>IF(B54&lt;32,C35*B56,C28*B56)</f>
        <v>103.95166163142</v>
      </c>
      <c r="F51" s="125">
        <f>IF(B54&lt;32,C35*B57,C28*B57)</f>
        <v>146.888217522659</v>
      </c>
      <c r="G51" s="126">
        <f>IF(B54&lt;32,C35*B58,C28*B58)</f>
        <v>271.178247734139</v>
      </c>
      <c r="H51" s="127">
        <f>IF(B54&lt;32,D35*B55,D28*B55)</f>
        <v>564.652567975831</v>
      </c>
      <c r="I51" s="125">
        <f>IF(B54&lt;32,D35*B56,D28*B56)</f>
        <v>259.740181268882</v>
      </c>
      <c r="J51" s="126">
        <f>IF(B54&lt;32,D35*B57,D28*B57)</f>
        <v>367.02416918429</v>
      </c>
      <c r="K51" s="173">
        <f>IF(B54&lt;32,D35*B58,D28*B58)</f>
        <v>677.583081570997</v>
      </c>
    </row>
    <row r="52" customHeight="1" spans="1:11">
      <c r="A52" s="81"/>
      <c r="B52" s="130">
        <f>VLOOKUP(C47,弟子基础属性!C:P,12,0)</f>
        <v>6.5</v>
      </c>
      <c r="C52" s="129"/>
      <c r="D52" s="124" t="s">
        <v>398</v>
      </c>
      <c r="E52" s="125" t="s">
        <v>12</v>
      </c>
      <c r="F52" s="125"/>
      <c r="G52" s="126"/>
      <c r="H52" s="127"/>
      <c r="I52" s="125"/>
      <c r="J52" s="126"/>
      <c r="K52" s="173"/>
    </row>
    <row r="53" customHeight="1" spans="1:11">
      <c r="A53" s="81"/>
      <c r="B53" s="130">
        <f>VLOOKUP(C47,弟子基础属性!C:P,13,0)</f>
        <v>12</v>
      </c>
      <c r="C53" s="123" t="s">
        <v>540</v>
      </c>
      <c r="D53" s="124">
        <f>IF(B54&lt;32,C36*B55,C29*B55)</f>
        <v>360.422960725075</v>
      </c>
      <c r="E53" s="125">
        <f>IF(B54&lt;32,C36*B56,C29*B56)</f>
        <v>165.794561933535</v>
      </c>
      <c r="F53" s="125">
        <f>IF(B54&lt;32,C36*B57,C29*B57)</f>
        <v>234.274924471299</v>
      </c>
      <c r="G53" s="126">
        <f>IF(B54&lt;32,C36*B58,C29*B58)</f>
        <v>432.507552870091</v>
      </c>
      <c r="H53" s="127">
        <f>IF(B54&lt;32,D36*B55,D29*B55)</f>
        <v>1061.9335347432</v>
      </c>
      <c r="I53" s="125">
        <f>IF(B54&lt;32,D36*B56,D29*B56)</f>
        <v>488.489425981873</v>
      </c>
      <c r="J53" s="126">
        <f>IF(B54&lt;32,D36*B57,D29*B57)</f>
        <v>690.256797583082</v>
      </c>
      <c r="K53" s="173">
        <f>IF(B54&lt;32,D36*B58,D29*B58)</f>
        <v>1274.32024169184</v>
      </c>
    </row>
    <row r="54" customHeight="1" spans="1:19">
      <c r="A54" s="81"/>
      <c r="B54" s="131">
        <f>VLOOKUP(C47,弟子基础属性!C:P,14,0)</f>
        <v>33.1</v>
      </c>
      <c r="C54" s="129"/>
      <c r="D54" s="124"/>
      <c r="E54" s="125" t="s">
        <v>30</v>
      </c>
      <c r="F54" s="125"/>
      <c r="G54" s="126"/>
      <c r="H54" s="127"/>
      <c r="I54" s="125"/>
      <c r="J54" s="126"/>
      <c r="K54" s="173"/>
      <c r="L54" s="169" t="s">
        <v>528</v>
      </c>
      <c r="M54" s="170" t="s">
        <v>541</v>
      </c>
      <c r="N54" s="170"/>
      <c r="O54" s="170"/>
      <c r="P54" s="170"/>
      <c r="Q54" s="170"/>
      <c r="R54" s="170"/>
      <c r="S54" s="170"/>
    </row>
    <row r="55" customHeight="1" spans="1:19">
      <c r="A55" s="81"/>
      <c r="B55" s="132">
        <f>B50/B54</f>
        <v>0.302114803625378</v>
      </c>
      <c r="C55" s="123" t="s">
        <v>542</v>
      </c>
      <c r="D55" s="124">
        <f>IF(B54&lt;32,C37*B55,C30*B55)</f>
        <v>511.78247734139</v>
      </c>
      <c r="E55" s="125">
        <f>IF(B54&lt;32,C37*B56,C30*B56)</f>
        <v>235.419939577039</v>
      </c>
      <c r="F55" s="125">
        <f>IF(B54&lt;32,C37*B57,C30*B57)</f>
        <v>332.658610271903</v>
      </c>
      <c r="G55" s="126">
        <f>IF(B54&lt;32,C37*B58,C30*B58)</f>
        <v>614.138972809668</v>
      </c>
      <c r="H55" s="127">
        <f>IF(B54&lt;32,D37*B55,D30*B55)</f>
        <v>1723.26283987915</v>
      </c>
      <c r="I55" s="125">
        <f>IF(B54&lt;32,D37*B56,D30*B56)</f>
        <v>792.700906344411</v>
      </c>
      <c r="J55" s="126">
        <f>IF(B54&lt;32,D37*B57,D30*B57)</f>
        <v>1120.12084592145</v>
      </c>
      <c r="K55" s="173">
        <f>IF(B54&lt;32,D37*B58,D30*B58)</f>
        <v>2067.91540785498</v>
      </c>
      <c r="L55" s="172"/>
      <c r="M55" s="170" t="s">
        <v>543</v>
      </c>
      <c r="N55" s="170"/>
      <c r="O55" s="170"/>
      <c r="P55" s="170"/>
      <c r="Q55" s="170"/>
      <c r="R55" s="170"/>
      <c r="S55" s="170"/>
    </row>
    <row r="56" customHeight="1" spans="1:19">
      <c r="A56" s="81"/>
      <c r="B56" s="132">
        <f>B51/B54</f>
        <v>0.138972809667674</v>
      </c>
      <c r="C56" s="129"/>
      <c r="D56" s="124"/>
      <c r="E56" s="125"/>
      <c r="F56" s="125"/>
      <c r="G56" s="126"/>
      <c r="H56" s="127"/>
      <c r="I56" s="125"/>
      <c r="J56" s="126"/>
      <c r="K56" s="173"/>
      <c r="M56" s="174" t="s">
        <v>544</v>
      </c>
      <c r="N56" s="174"/>
      <c r="O56" s="174"/>
      <c r="P56" s="174"/>
      <c r="Q56" s="174"/>
      <c r="R56" s="174"/>
      <c r="S56" s="174"/>
    </row>
    <row r="57" customHeight="1" spans="1:19">
      <c r="A57" s="81"/>
      <c r="B57" s="132">
        <f>B52/B54</f>
        <v>0.196374622356495</v>
      </c>
      <c r="C57" s="123" t="s">
        <v>545</v>
      </c>
      <c r="D57" s="124">
        <f>IF(B54&lt;32,C38*B55,C31*B55)</f>
        <v>677.341389728097</v>
      </c>
      <c r="E57" s="125">
        <f>IF(B54&lt;32,C38*B56,C31*B56)</f>
        <v>311.577039274924</v>
      </c>
      <c r="F57" s="125">
        <f>IF(B54&lt;32,C38*B57,C31*B57)</f>
        <v>440.271903323263</v>
      </c>
      <c r="G57" s="126">
        <f>IF(B54&lt;32,C38*B58,C31*B58)</f>
        <v>812.809667673716</v>
      </c>
      <c r="H57" s="127">
        <f>IF(B54&lt;32,D38*B55,D31*B55)</f>
        <v>2508.15709969788</v>
      </c>
      <c r="I57" s="125">
        <f>IF(B54&lt;32,D38*B56,D31*B56)</f>
        <v>1153.75226586103</v>
      </c>
      <c r="J57" s="126">
        <f>IF(B54&lt;32,D38*B57,D31*B57)</f>
        <v>1630.30211480363</v>
      </c>
      <c r="K57" s="173">
        <f>IF(B54&lt;32,D38*B58,D31*B58)</f>
        <v>3009.78851963746</v>
      </c>
      <c r="M57" s="170" t="s">
        <v>546</v>
      </c>
      <c r="N57" s="170"/>
      <c r="O57" s="170"/>
      <c r="P57" s="170"/>
      <c r="Q57" s="170"/>
      <c r="R57" s="170"/>
      <c r="S57" s="170"/>
    </row>
    <row r="58" customHeight="1" spans="1:19">
      <c r="A58" s="86"/>
      <c r="B58" s="133">
        <f>B53/B54</f>
        <v>0.362537764350453</v>
      </c>
      <c r="C58" s="134"/>
      <c r="D58" s="135"/>
      <c r="E58" s="136"/>
      <c r="F58" s="136"/>
      <c r="G58" s="137"/>
      <c r="H58" s="138"/>
      <c r="I58" s="136"/>
      <c r="J58" s="137"/>
      <c r="K58" s="175"/>
      <c r="M58" s="174"/>
      <c r="N58" s="174"/>
      <c r="O58" s="174"/>
      <c r="P58" s="174"/>
      <c r="Q58" s="174"/>
      <c r="R58" s="174"/>
      <c r="S58" s="174"/>
    </row>
    <row r="59" ht="14.25" customHeight="1"/>
    <row r="60" ht="14.25" customHeight="1" spans="1:10">
      <c r="A60" s="48" t="s">
        <v>547</v>
      </c>
      <c r="B60" s="53" t="s">
        <v>548</v>
      </c>
      <c r="C60" s="53"/>
      <c r="D60" s="53"/>
      <c r="E60" s="53"/>
      <c r="F60" s="53"/>
      <c r="G60" s="53"/>
      <c r="H60" s="53"/>
      <c r="I60" s="53"/>
      <c r="J60" s="141"/>
    </row>
    <row r="61" customHeight="1" spans="1:10">
      <c r="A61" s="81"/>
      <c r="B61" s="105" t="s">
        <v>365</v>
      </c>
      <c r="C61" s="106" t="s">
        <v>549</v>
      </c>
      <c r="D61" s="139" t="s">
        <v>550</v>
      </c>
      <c r="E61" s="105" t="s">
        <v>365</v>
      </c>
      <c r="F61" s="106" t="s">
        <v>549</v>
      </c>
      <c r="G61" s="139" t="s">
        <v>550</v>
      </c>
      <c r="H61" s="105" t="s">
        <v>365</v>
      </c>
      <c r="I61" s="106" t="s">
        <v>549</v>
      </c>
      <c r="J61" s="139" t="s">
        <v>550</v>
      </c>
    </row>
    <row r="62" customHeight="1" spans="1:10">
      <c r="A62" s="81"/>
      <c r="B62" s="122">
        <v>1</v>
      </c>
      <c r="C62" s="8"/>
      <c r="D62" s="140"/>
      <c r="E62" s="122">
        <v>11</v>
      </c>
      <c r="F62" s="8">
        <v>1010</v>
      </c>
      <c r="G62" s="140">
        <v>18</v>
      </c>
      <c r="H62" s="122">
        <v>21</v>
      </c>
      <c r="I62" s="8">
        <v>2940</v>
      </c>
      <c r="J62" s="140">
        <v>23</v>
      </c>
    </row>
    <row r="63" customHeight="1" spans="1:10">
      <c r="A63" s="81"/>
      <c r="B63" s="122">
        <v>2</v>
      </c>
      <c r="C63" s="8">
        <v>45</v>
      </c>
      <c r="D63" s="140">
        <v>11</v>
      </c>
      <c r="E63" s="122">
        <v>12</v>
      </c>
      <c r="F63" s="8">
        <v>1150</v>
      </c>
      <c r="G63" s="140">
        <v>19</v>
      </c>
      <c r="H63" s="122">
        <v>22</v>
      </c>
      <c r="I63" s="8">
        <v>3680</v>
      </c>
      <c r="J63" s="140">
        <v>24</v>
      </c>
    </row>
    <row r="64" customHeight="1" spans="1:10">
      <c r="A64" s="81"/>
      <c r="B64" s="122">
        <v>3</v>
      </c>
      <c r="C64" s="8">
        <v>80</v>
      </c>
      <c r="D64" s="140">
        <v>12</v>
      </c>
      <c r="E64" s="122">
        <v>13</v>
      </c>
      <c r="F64" s="8">
        <v>1380</v>
      </c>
      <c r="G64" s="140">
        <v>19</v>
      </c>
      <c r="H64" s="122">
        <v>23</v>
      </c>
      <c r="I64" s="8">
        <v>4390</v>
      </c>
      <c r="J64" s="140">
        <v>24</v>
      </c>
    </row>
    <row r="65" customHeight="1" spans="1:10">
      <c r="A65" s="81"/>
      <c r="B65" s="122">
        <v>4</v>
      </c>
      <c r="C65" s="8">
        <v>170</v>
      </c>
      <c r="D65" s="140">
        <v>13</v>
      </c>
      <c r="E65" s="122">
        <v>14</v>
      </c>
      <c r="F65" s="8">
        <v>1540</v>
      </c>
      <c r="G65" s="140">
        <v>20</v>
      </c>
      <c r="H65" s="122">
        <v>24</v>
      </c>
      <c r="I65" s="8">
        <v>5110</v>
      </c>
      <c r="J65" s="140">
        <v>25</v>
      </c>
    </row>
    <row r="66" customHeight="1" spans="1:10">
      <c r="A66" s="81"/>
      <c r="B66" s="122">
        <v>5</v>
      </c>
      <c r="C66" s="8">
        <v>180</v>
      </c>
      <c r="D66" s="140">
        <v>14</v>
      </c>
      <c r="E66" s="122">
        <v>15</v>
      </c>
      <c r="F66" s="8">
        <v>1790</v>
      </c>
      <c r="G66" s="140">
        <v>20</v>
      </c>
      <c r="H66" s="122">
        <v>25</v>
      </c>
      <c r="I66" s="8">
        <v>5750</v>
      </c>
      <c r="J66" s="140">
        <v>25</v>
      </c>
    </row>
    <row r="67" customHeight="1" spans="1:10">
      <c r="A67" s="81"/>
      <c r="B67" s="122">
        <v>6</v>
      </c>
      <c r="C67" s="8">
        <v>290</v>
      </c>
      <c r="D67" s="140">
        <v>15</v>
      </c>
      <c r="E67" s="122">
        <v>16</v>
      </c>
      <c r="F67" s="8">
        <v>1880</v>
      </c>
      <c r="G67" s="140">
        <v>21</v>
      </c>
      <c r="H67" s="122">
        <v>26</v>
      </c>
      <c r="I67" s="8"/>
      <c r="J67" s="140"/>
    </row>
    <row r="68" customHeight="1" spans="1:10">
      <c r="A68" s="81"/>
      <c r="B68" s="122">
        <v>7</v>
      </c>
      <c r="C68" s="8">
        <v>330</v>
      </c>
      <c r="D68" s="140">
        <v>16</v>
      </c>
      <c r="E68" s="122">
        <v>17</v>
      </c>
      <c r="F68" s="8">
        <v>2150</v>
      </c>
      <c r="G68" s="140">
        <v>21</v>
      </c>
      <c r="H68" s="122">
        <v>27</v>
      </c>
      <c r="I68" s="8"/>
      <c r="J68" s="140"/>
    </row>
    <row r="69" customHeight="1" spans="1:10">
      <c r="A69" s="81"/>
      <c r="B69" s="122">
        <v>8</v>
      </c>
      <c r="C69" s="8">
        <v>450</v>
      </c>
      <c r="D69" s="140">
        <v>17</v>
      </c>
      <c r="E69" s="122">
        <v>18</v>
      </c>
      <c r="F69" s="8">
        <v>2250</v>
      </c>
      <c r="G69" s="140">
        <v>22</v>
      </c>
      <c r="H69" s="122">
        <v>28</v>
      </c>
      <c r="I69" s="8"/>
      <c r="J69" s="140"/>
    </row>
    <row r="70" ht="14.25" customHeight="1" spans="1:10">
      <c r="A70" s="81"/>
      <c r="B70" s="122">
        <v>9</v>
      </c>
      <c r="C70" s="8">
        <v>610</v>
      </c>
      <c r="D70" s="140">
        <v>17</v>
      </c>
      <c r="E70" s="122">
        <v>19</v>
      </c>
      <c r="F70" s="8">
        <v>2530</v>
      </c>
      <c r="G70" s="140">
        <v>22</v>
      </c>
      <c r="H70" s="122">
        <v>29</v>
      </c>
      <c r="I70" s="8"/>
      <c r="J70" s="140"/>
    </row>
    <row r="71" ht="14.25" spans="1:10">
      <c r="A71" s="86"/>
      <c r="B71" s="176">
        <v>10</v>
      </c>
      <c r="C71" s="88">
        <v>740</v>
      </c>
      <c r="D71" s="165">
        <v>18</v>
      </c>
      <c r="E71" s="176">
        <v>20</v>
      </c>
      <c r="F71" s="88">
        <v>2650</v>
      </c>
      <c r="G71" s="165">
        <v>23</v>
      </c>
      <c r="H71" s="176">
        <v>30</v>
      </c>
      <c r="I71" s="88"/>
      <c r="J71" s="165"/>
    </row>
    <row r="72" ht="15"/>
    <row r="73" ht="15" customHeight="1" spans="1:11">
      <c r="A73" s="177" t="s">
        <v>551</v>
      </c>
      <c r="B73" s="178" t="s">
        <v>552</v>
      </c>
      <c r="C73" s="179"/>
      <c r="D73" s="179"/>
      <c r="E73" s="179"/>
      <c r="F73" s="179"/>
      <c r="G73" s="179"/>
      <c r="H73" s="179"/>
      <c r="I73" s="179"/>
      <c r="J73" s="179"/>
      <c r="K73" s="191"/>
    </row>
    <row r="74" ht="14.25" customHeight="1" spans="1:11">
      <c r="A74" s="180"/>
      <c r="B74" s="156" t="s">
        <v>553</v>
      </c>
      <c r="C74" s="181" t="s">
        <v>554</v>
      </c>
      <c r="D74" s="156" t="s">
        <v>555</v>
      </c>
      <c r="E74" s="182" t="s">
        <v>12</v>
      </c>
      <c r="F74" s="182" t="s">
        <v>20</v>
      </c>
      <c r="G74" s="157" t="s">
        <v>30</v>
      </c>
      <c r="H74" s="183" t="s">
        <v>555</v>
      </c>
      <c r="I74" s="182" t="s">
        <v>12</v>
      </c>
      <c r="J74" s="182" t="s">
        <v>20</v>
      </c>
      <c r="K74" s="157" t="s">
        <v>30</v>
      </c>
    </row>
    <row r="75" customHeight="1" spans="1:11">
      <c r="A75" s="180"/>
      <c r="B75" s="159" t="s">
        <v>556</v>
      </c>
      <c r="C75" s="11">
        <v>349</v>
      </c>
      <c r="D75" s="184" t="s">
        <v>557</v>
      </c>
      <c r="E75" s="8">
        <v>1684</v>
      </c>
      <c r="F75" s="8">
        <v>1010</v>
      </c>
      <c r="G75" s="140">
        <v>539</v>
      </c>
      <c r="H75" s="185" t="s">
        <v>558</v>
      </c>
      <c r="I75" s="8">
        <v>1347</v>
      </c>
      <c r="J75" s="8">
        <v>842</v>
      </c>
      <c r="K75" s="140">
        <v>471</v>
      </c>
    </row>
    <row r="76" customHeight="1" spans="1:11">
      <c r="A76" s="180"/>
      <c r="B76" s="159" t="s">
        <v>559</v>
      </c>
      <c r="C76" s="11">
        <v>478</v>
      </c>
      <c r="D76" s="159" t="s">
        <v>557</v>
      </c>
      <c r="E76" s="8">
        <v>2614</v>
      </c>
      <c r="F76" s="8">
        <v>1762</v>
      </c>
      <c r="G76" s="140">
        <v>836</v>
      </c>
      <c r="H76" s="185" t="s">
        <v>558</v>
      </c>
      <c r="I76" s="8">
        <v>2091</v>
      </c>
      <c r="J76" s="8">
        <v>1295</v>
      </c>
      <c r="K76" s="140">
        <v>732</v>
      </c>
    </row>
    <row r="77" customHeight="1" spans="1:11">
      <c r="A77" s="180"/>
      <c r="B77" s="159" t="s">
        <v>560</v>
      </c>
      <c r="C77" s="11">
        <v>690</v>
      </c>
      <c r="D77" s="159" t="s">
        <v>557</v>
      </c>
      <c r="E77" s="8">
        <v>3545</v>
      </c>
      <c r="F77" s="8">
        <v>2127</v>
      </c>
      <c r="G77" s="140">
        <v>1134</v>
      </c>
      <c r="H77" s="185" t="s">
        <v>558</v>
      </c>
      <c r="I77" s="8">
        <v>2836</v>
      </c>
      <c r="J77" s="8">
        <v>1772</v>
      </c>
      <c r="K77" s="140">
        <v>992</v>
      </c>
    </row>
    <row r="78" customHeight="1" spans="1:11">
      <c r="A78" s="180"/>
      <c r="B78" s="159" t="s">
        <v>561</v>
      </c>
      <c r="C78" s="11">
        <v>919</v>
      </c>
      <c r="D78" s="159" t="s">
        <v>557</v>
      </c>
      <c r="E78" s="8">
        <v>4415</v>
      </c>
      <c r="F78" s="8">
        <v>2670</v>
      </c>
      <c r="G78" s="140">
        <v>1412</v>
      </c>
      <c r="H78" s="185" t="s">
        <v>562</v>
      </c>
      <c r="I78" s="8">
        <v>3532</v>
      </c>
      <c r="J78" s="8">
        <v>2222</v>
      </c>
      <c r="K78" s="140">
        <v>1236</v>
      </c>
    </row>
    <row r="79" customHeight="1" spans="1:11">
      <c r="A79" s="180"/>
      <c r="B79" s="159" t="s">
        <v>563</v>
      </c>
      <c r="C79" s="11">
        <v>1260</v>
      </c>
      <c r="D79" s="159" t="s">
        <v>557</v>
      </c>
      <c r="E79" s="8">
        <v>5678</v>
      </c>
      <c r="F79" s="8">
        <v>3390</v>
      </c>
      <c r="G79" s="140">
        <v>1817</v>
      </c>
      <c r="H79" s="185" t="s">
        <v>562</v>
      </c>
      <c r="I79" s="8">
        <v>4542</v>
      </c>
      <c r="J79" s="8">
        <v>2830</v>
      </c>
      <c r="K79" s="140">
        <v>1589</v>
      </c>
    </row>
    <row r="80" customHeight="1" spans="1:11">
      <c r="A80" s="180"/>
      <c r="B80" s="159" t="s">
        <v>564</v>
      </c>
      <c r="C80" s="11">
        <v>1812</v>
      </c>
      <c r="D80" s="159" t="s">
        <v>565</v>
      </c>
      <c r="E80" s="8">
        <v>6149</v>
      </c>
      <c r="F80" s="8">
        <v>3650</v>
      </c>
      <c r="G80" s="140">
        <v>1967</v>
      </c>
      <c r="H80" s="185" t="s">
        <v>566</v>
      </c>
      <c r="I80" s="8">
        <v>4918</v>
      </c>
      <c r="J80" s="8">
        <v>3050</v>
      </c>
      <c r="K80" s="140">
        <v>1721</v>
      </c>
    </row>
    <row r="81" customHeight="1" spans="1:11">
      <c r="A81" s="180"/>
      <c r="B81" s="159" t="s">
        <v>567</v>
      </c>
      <c r="C81" s="11">
        <v>2407</v>
      </c>
      <c r="D81" s="159" t="s">
        <v>565</v>
      </c>
      <c r="E81" s="8">
        <v>6965</v>
      </c>
      <c r="F81" s="8">
        <v>4100</v>
      </c>
      <c r="G81" s="140">
        <v>2226</v>
      </c>
      <c r="H81" s="185" t="s">
        <v>566</v>
      </c>
      <c r="I81" s="8">
        <v>5572</v>
      </c>
      <c r="J81" s="8">
        <v>3460</v>
      </c>
      <c r="K81" s="140">
        <v>1950</v>
      </c>
    </row>
    <row r="82" customHeight="1" spans="1:11">
      <c r="A82" s="180"/>
      <c r="B82" s="159" t="s">
        <v>568</v>
      </c>
      <c r="C82" s="11">
        <v>3292</v>
      </c>
      <c r="D82" s="159" t="s">
        <v>565</v>
      </c>
      <c r="E82" s="8">
        <v>7459</v>
      </c>
      <c r="F82" s="8">
        <v>4474</v>
      </c>
      <c r="G82" s="140">
        <v>2387</v>
      </c>
      <c r="H82" s="185" t="s">
        <v>566</v>
      </c>
      <c r="I82" s="8">
        <v>5967</v>
      </c>
      <c r="J82" s="8">
        <v>3728</v>
      </c>
      <c r="K82" s="140">
        <v>2088</v>
      </c>
    </row>
    <row r="83" customHeight="1" spans="1:11">
      <c r="A83" s="180"/>
      <c r="B83" s="159" t="s">
        <v>569</v>
      </c>
      <c r="C83" s="11">
        <v>4383</v>
      </c>
      <c r="D83" s="159" t="s">
        <v>565</v>
      </c>
      <c r="E83" s="8">
        <v>9230</v>
      </c>
      <c r="F83" s="8">
        <v>5537</v>
      </c>
      <c r="G83" s="140">
        <v>2954</v>
      </c>
      <c r="H83" s="185" t="s">
        <v>566</v>
      </c>
      <c r="I83" s="8">
        <v>7384</v>
      </c>
      <c r="J83" s="8">
        <v>4614</v>
      </c>
      <c r="K83" s="140">
        <v>2583</v>
      </c>
    </row>
    <row r="84" ht="14.25" customHeight="1" spans="1:11">
      <c r="A84" s="180"/>
      <c r="B84" s="159" t="s">
        <v>570</v>
      </c>
      <c r="C84" s="11">
        <v>4299</v>
      </c>
      <c r="D84" s="159" t="s">
        <v>571</v>
      </c>
      <c r="E84" s="8">
        <v>11670</v>
      </c>
      <c r="F84" s="8">
        <v>6235</v>
      </c>
      <c r="G84" s="140">
        <v>3734</v>
      </c>
      <c r="H84" s="185" t="s">
        <v>572</v>
      </c>
      <c r="I84" s="8">
        <v>9336</v>
      </c>
      <c r="J84" s="8">
        <v>5367</v>
      </c>
      <c r="K84" s="140">
        <v>3266</v>
      </c>
    </row>
    <row r="85" customHeight="1" spans="1:11">
      <c r="A85" s="180"/>
      <c r="B85" s="159" t="s">
        <v>573</v>
      </c>
      <c r="C85" s="11">
        <v>4686</v>
      </c>
      <c r="D85" s="159" t="s">
        <v>571</v>
      </c>
      <c r="E85" s="8">
        <v>15529</v>
      </c>
      <c r="F85" s="8">
        <v>7599</v>
      </c>
      <c r="G85" s="140">
        <v>4969</v>
      </c>
      <c r="H85" s="185" t="s">
        <v>572</v>
      </c>
      <c r="I85" s="8">
        <v>12423</v>
      </c>
      <c r="J85" s="8">
        <v>6470</v>
      </c>
      <c r="K85" s="140">
        <v>4380</v>
      </c>
    </row>
    <row r="86" customHeight="1" spans="1:11">
      <c r="A86" s="180"/>
      <c r="B86" s="159" t="s">
        <v>574</v>
      </c>
      <c r="C86" s="11">
        <v>5361</v>
      </c>
      <c r="D86" s="159" t="s">
        <v>571</v>
      </c>
      <c r="E86" s="8">
        <v>32775</v>
      </c>
      <c r="F86" s="8">
        <v>8214</v>
      </c>
      <c r="G86" s="140">
        <v>10488</v>
      </c>
      <c r="H86" s="185" t="s">
        <v>572</v>
      </c>
      <c r="I86" s="8">
        <v>26220</v>
      </c>
      <c r="J86" s="8">
        <v>7374</v>
      </c>
      <c r="K86" s="140">
        <v>9177</v>
      </c>
    </row>
    <row r="87" customHeight="1" spans="1:11">
      <c r="A87" s="180"/>
      <c r="B87" s="159" t="s">
        <v>575</v>
      </c>
      <c r="C87" s="11">
        <v>5256</v>
      </c>
      <c r="D87" s="159" t="s">
        <v>576</v>
      </c>
      <c r="E87" s="8">
        <v>60099</v>
      </c>
      <c r="F87" s="8">
        <v>10457</v>
      </c>
      <c r="G87" s="140">
        <v>19231</v>
      </c>
      <c r="H87" s="185" t="s">
        <v>577</v>
      </c>
      <c r="I87" s="8">
        <v>48079</v>
      </c>
      <c r="J87" s="8">
        <v>8714</v>
      </c>
      <c r="K87" s="140">
        <v>12343</v>
      </c>
    </row>
    <row r="88" customHeight="1" spans="1:11">
      <c r="A88" s="180"/>
      <c r="B88" s="159" t="s">
        <v>578</v>
      </c>
      <c r="C88" s="11">
        <v>5728</v>
      </c>
      <c r="D88" s="159" t="s">
        <v>576</v>
      </c>
      <c r="E88" s="8">
        <v>75706</v>
      </c>
      <c r="F88" s="8">
        <v>11743</v>
      </c>
      <c r="G88" s="140">
        <v>24225</v>
      </c>
      <c r="H88" s="185" t="s">
        <v>577</v>
      </c>
      <c r="I88" s="8">
        <v>60565</v>
      </c>
      <c r="J88" s="8">
        <v>9778</v>
      </c>
      <c r="K88" s="140">
        <v>21172</v>
      </c>
    </row>
    <row r="89" customHeight="1" spans="1:11">
      <c r="A89" s="180"/>
      <c r="B89" s="159" t="s">
        <v>579</v>
      </c>
      <c r="C89" s="11">
        <v>6550</v>
      </c>
      <c r="D89" s="159" t="s">
        <v>576</v>
      </c>
      <c r="E89" s="8">
        <v>96532</v>
      </c>
      <c r="F89" s="8">
        <v>24822</v>
      </c>
      <c r="G89" s="140">
        <v>30891</v>
      </c>
      <c r="H89" s="185" t="s">
        <v>577</v>
      </c>
      <c r="I89" s="8">
        <v>77226</v>
      </c>
      <c r="J89" s="8">
        <v>20685</v>
      </c>
      <c r="K89" s="140">
        <v>27028</v>
      </c>
    </row>
    <row r="90" customHeight="1" spans="1:11">
      <c r="A90" s="180"/>
      <c r="B90" s="159" t="s">
        <v>580</v>
      </c>
      <c r="C90" s="11">
        <v>6421</v>
      </c>
      <c r="D90" s="159" t="s">
        <v>576</v>
      </c>
      <c r="E90" s="8">
        <v>72072</v>
      </c>
      <c r="F90" s="8">
        <v>43243</v>
      </c>
      <c r="G90" s="140">
        <v>23063</v>
      </c>
      <c r="H90" s="185" t="s">
        <v>577</v>
      </c>
      <c r="I90" s="8">
        <v>57657</v>
      </c>
      <c r="J90" s="8">
        <v>36039</v>
      </c>
      <c r="K90" s="140">
        <v>20179</v>
      </c>
    </row>
    <row r="91" customHeight="1" spans="1:11">
      <c r="A91" s="180"/>
      <c r="B91" s="159" t="s">
        <v>581</v>
      </c>
      <c r="C91" s="11">
        <v>6999</v>
      </c>
      <c r="D91" s="159" t="s">
        <v>582</v>
      </c>
      <c r="E91" s="8">
        <v>86157</v>
      </c>
      <c r="F91" s="8">
        <v>51694</v>
      </c>
      <c r="G91" s="140">
        <v>27572</v>
      </c>
      <c r="H91" s="185">
        <v>8</v>
      </c>
      <c r="I91" s="8">
        <v>68926</v>
      </c>
      <c r="J91" s="8">
        <v>43078</v>
      </c>
      <c r="K91" s="140">
        <v>24124</v>
      </c>
    </row>
    <row r="92" customHeight="1" spans="1:11">
      <c r="A92" s="180"/>
      <c r="B92" s="159" t="s">
        <v>583</v>
      </c>
      <c r="C92" s="11">
        <v>8001</v>
      </c>
      <c r="D92" s="159" t="s">
        <v>582</v>
      </c>
      <c r="E92" s="8">
        <v>97890</v>
      </c>
      <c r="F92" s="8">
        <v>58734</v>
      </c>
      <c r="G92" s="140">
        <v>31324</v>
      </c>
      <c r="H92" s="185">
        <v>8</v>
      </c>
      <c r="I92" s="8">
        <v>78312</v>
      </c>
      <c r="J92" s="8">
        <v>48945</v>
      </c>
      <c r="K92" s="140">
        <v>27408</v>
      </c>
    </row>
    <row r="93" customHeight="1" spans="1:11">
      <c r="A93" s="180"/>
      <c r="B93" s="159" t="s">
        <v>584</v>
      </c>
      <c r="C93" s="11">
        <v>7842</v>
      </c>
      <c r="D93" s="159" t="s">
        <v>582</v>
      </c>
      <c r="E93" s="8">
        <v>110272</v>
      </c>
      <c r="F93" s="8">
        <v>66163</v>
      </c>
      <c r="G93" s="140">
        <v>35288</v>
      </c>
      <c r="H93" s="185">
        <v>8</v>
      </c>
      <c r="I93" s="8">
        <v>88218</v>
      </c>
      <c r="J93" s="8">
        <v>55136</v>
      </c>
      <c r="K93" s="140">
        <v>30875</v>
      </c>
    </row>
    <row r="94" ht="14.25" customHeight="1" spans="1:11">
      <c r="A94" s="180"/>
      <c r="B94" s="186" t="s">
        <v>585</v>
      </c>
      <c r="C94" s="151">
        <v>8544</v>
      </c>
      <c r="D94" s="159" t="s">
        <v>582</v>
      </c>
      <c r="E94" s="85">
        <v>123305</v>
      </c>
      <c r="F94" s="85">
        <v>73983</v>
      </c>
      <c r="G94" s="187">
        <v>39456</v>
      </c>
      <c r="H94" s="188">
        <v>8</v>
      </c>
      <c r="I94" s="85">
        <v>98644</v>
      </c>
      <c r="J94" s="85">
        <v>61652</v>
      </c>
      <c r="K94" s="187">
        <v>34525</v>
      </c>
    </row>
    <row r="95" ht="14.25" spans="1:11">
      <c r="A95" s="189"/>
      <c r="B95" s="164" t="s">
        <v>586</v>
      </c>
      <c r="C95" s="152">
        <v>9768</v>
      </c>
      <c r="D95" s="164" t="s">
        <v>582</v>
      </c>
      <c r="E95" s="88">
        <v>136987</v>
      </c>
      <c r="F95" s="88">
        <v>82192</v>
      </c>
      <c r="G95" s="165">
        <v>43835</v>
      </c>
      <c r="H95" s="190">
        <v>8</v>
      </c>
      <c r="I95" s="88">
        <v>109590</v>
      </c>
      <c r="J95" s="88">
        <v>68493</v>
      </c>
      <c r="K95" s="165">
        <v>38355</v>
      </c>
    </row>
    <row r="96" ht="15"/>
    <row r="97" ht="15" customHeight="1" spans="1:11">
      <c r="A97" s="177" t="s">
        <v>587</v>
      </c>
      <c r="B97" s="179" t="s">
        <v>588</v>
      </c>
      <c r="C97" s="179"/>
      <c r="D97" s="179"/>
      <c r="E97" s="179"/>
      <c r="F97" s="179"/>
      <c r="G97" s="179"/>
      <c r="H97" s="179"/>
      <c r="I97" s="179"/>
      <c r="J97" s="179"/>
      <c r="K97" s="191"/>
    </row>
    <row r="98" ht="14.25" customHeight="1" spans="1:11">
      <c r="A98" s="180"/>
      <c r="B98" s="156" t="s">
        <v>589</v>
      </c>
      <c r="C98" s="181" t="s">
        <v>554</v>
      </c>
      <c r="D98" s="156" t="s">
        <v>555</v>
      </c>
      <c r="E98" s="182" t="s">
        <v>12</v>
      </c>
      <c r="F98" s="182" t="s">
        <v>20</v>
      </c>
      <c r="G98" s="157" t="s">
        <v>30</v>
      </c>
      <c r="H98" s="183" t="s">
        <v>555</v>
      </c>
      <c r="I98" s="182" t="s">
        <v>12</v>
      </c>
      <c r="J98" s="182" t="s">
        <v>20</v>
      </c>
      <c r="K98" s="157" t="s">
        <v>30</v>
      </c>
    </row>
    <row r="99" customHeight="1" spans="1:11">
      <c r="A99" s="180"/>
      <c r="B99" s="159" t="s">
        <v>590</v>
      </c>
      <c r="C99" s="11">
        <v>288</v>
      </c>
      <c r="D99" s="159" t="s">
        <v>565</v>
      </c>
      <c r="E99" s="8">
        <v>1568</v>
      </c>
      <c r="F99" s="8">
        <v>940</v>
      </c>
      <c r="G99" s="140">
        <v>501</v>
      </c>
      <c r="H99" s="185" t="s">
        <v>591</v>
      </c>
      <c r="I99" s="8">
        <v>1254</v>
      </c>
      <c r="J99" s="8">
        <v>784</v>
      </c>
      <c r="K99" s="140">
        <v>439</v>
      </c>
    </row>
    <row r="100" customHeight="1" spans="1:11">
      <c r="A100" s="180"/>
      <c r="B100" s="159" t="s">
        <v>592</v>
      </c>
      <c r="C100" s="11">
        <v>394</v>
      </c>
      <c r="D100" s="159" t="s">
        <v>565</v>
      </c>
      <c r="E100" s="8">
        <v>1853</v>
      </c>
      <c r="F100" s="8">
        <v>1222</v>
      </c>
      <c r="G100" s="140">
        <v>592</v>
      </c>
      <c r="H100" s="185" t="s">
        <v>566</v>
      </c>
      <c r="I100" s="8">
        <v>1482</v>
      </c>
      <c r="J100" s="8">
        <v>1019</v>
      </c>
      <c r="K100" s="140">
        <v>518</v>
      </c>
    </row>
    <row r="101" customHeight="1" spans="1:11">
      <c r="A101" s="180"/>
      <c r="B101" s="159" t="s">
        <v>593</v>
      </c>
      <c r="C101" s="11">
        <v>623</v>
      </c>
      <c r="D101" s="159" t="s">
        <v>571</v>
      </c>
      <c r="E101" s="8">
        <v>2196</v>
      </c>
      <c r="F101" s="8">
        <v>1317</v>
      </c>
      <c r="G101" s="140">
        <v>843</v>
      </c>
      <c r="H101" s="185" t="s">
        <v>572</v>
      </c>
      <c r="I101" s="8">
        <v>1756</v>
      </c>
      <c r="J101" s="8">
        <v>1098</v>
      </c>
      <c r="K101" s="140">
        <v>737</v>
      </c>
    </row>
    <row r="102" customHeight="1" spans="1:11">
      <c r="A102" s="180"/>
      <c r="B102" s="159" t="s">
        <v>594</v>
      </c>
      <c r="C102" s="11">
        <v>913</v>
      </c>
      <c r="D102" s="159" t="s">
        <v>571</v>
      </c>
      <c r="E102" s="8">
        <v>2673</v>
      </c>
      <c r="F102" s="8">
        <v>1606</v>
      </c>
      <c r="G102" s="140">
        <v>777</v>
      </c>
      <c r="H102" s="185" t="s">
        <v>572</v>
      </c>
      <c r="I102" s="8">
        <v>2138</v>
      </c>
      <c r="J102" s="8">
        <v>1336</v>
      </c>
      <c r="K102" s="140">
        <v>680</v>
      </c>
    </row>
    <row r="103" customHeight="1" spans="1:11">
      <c r="A103" s="180"/>
      <c r="B103" s="159" t="s">
        <v>595</v>
      </c>
      <c r="C103" s="11">
        <v>1375</v>
      </c>
      <c r="D103" s="159" t="s">
        <v>576</v>
      </c>
      <c r="E103" s="8">
        <v>2664</v>
      </c>
      <c r="F103" s="8">
        <v>1758</v>
      </c>
      <c r="G103" s="140">
        <v>1022</v>
      </c>
      <c r="H103" s="185" t="s">
        <v>577</v>
      </c>
      <c r="I103" s="8">
        <v>2131</v>
      </c>
      <c r="J103" s="8">
        <v>1465</v>
      </c>
      <c r="K103" s="140">
        <v>894</v>
      </c>
    </row>
    <row r="104" customHeight="1" spans="1:11">
      <c r="A104" s="180"/>
      <c r="B104" s="159" t="s">
        <v>596</v>
      </c>
      <c r="C104" s="11">
        <v>2015</v>
      </c>
      <c r="D104" s="159" t="s">
        <v>576</v>
      </c>
      <c r="E104" s="8">
        <v>2898</v>
      </c>
      <c r="F104" s="8">
        <v>2434</v>
      </c>
      <c r="G104" s="140">
        <v>1020</v>
      </c>
      <c r="H104" s="185" t="s">
        <v>577</v>
      </c>
      <c r="I104" s="8">
        <v>2318</v>
      </c>
      <c r="J104" s="8">
        <v>2028</v>
      </c>
      <c r="K104" s="140">
        <v>892</v>
      </c>
    </row>
    <row r="105" customHeight="1" spans="1:11">
      <c r="A105" s="180"/>
      <c r="B105" s="159" t="s">
        <v>597</v>
      </c>
      <c r="C105" s="11">
        <v>2016</v>
      </c>
      <c r="D105" s="159" t="s">
        <v>582</v>
      </c>
      <c r="E105" s="8">
        <v>3132</v>
      </c>
      <c r="F105" s="8">
        <v>1503</v>
      </c>
      <c r="G105" s="140">
        <v>1804</v>
      </c>
      <c r="H105" s="185">
        <v>8</v>
      </c>
      <c r="I105" s="8">
        <v>2505</v>
      </c>
      <c r="J105" s="8">
        <v>1252</v>
      </c>
      <c r="K105" s="140">
        <v>1587</v>
      </c>
    </row>
    <row r="106" customHeight="1" spans="1:11">
      <c r="A106" s="180"/>
      <c r="B106" s="159" t="s">
        <v>598</v>
      </c>
      <c r="C106" s="11">
        <v>2242</v>
      </c>
      <c r="D106" s="159" t="s">
        <v>582</v>
      </c>
      <c r="E106" s="8">
        <v>4039</v>
      </c>
      <c r="F106" s="8">
        <v>3231</v>
      </c>
      <c r="G106" s="140">
        <v>1077</v>
      </c>
      <c r="H106" s="185">
        <v>8</v>
      </c>
      <c r="I106" s="8">
        <v>3231</v>
      </c>
      <c r="J106" s="8">
        <v>2692</v>
      </c>
      <c r="K106" s="140">
        <v>942</v>
      </c>
    </row>
    <row r="107" customHeight="1" spans="1:11">
      <c r="A107" s="180"/>
      <c r="B107" s="159" t="s">
        <v>599</v>
      </c>
      <c r="C107" s="11">
        <v>2670</v>
      </c>
      <c r="D107" s="159" t="s">
        <v>600</v>
      </c>
      <c r="E107" s="8">
        <v>4384</v>
      </c>
      <c r="F107" s="8">
        <v>3288</v>
      </c>
      <c r="G107" s="140">
        <v>1636</v>
      </c>
      <c r="H107" s="185"/>
      <c r="I107" s="8"/>
      <c r="J107" s="8"/>
      <c r="K107" s="140"/>
    </row>
    <row r="108" customHeight="1" spans="1:11">
      <c r="A108" s="180"/>
      <c r="B108" s="159" t="s">
        <v>601</v>
      </c>
      <c r="C108" s="11">
        <v>2796</v>
      </c>
      <c r="D108" s="159" t="s">
        <v>600</v>
      </c>
      <c r="E108" s="8">
        <v>5544</v>
      </c>
      <c r="F108" s="8">
        <v>3801</v>
      </c>
      <c r="G108" s="140">
        <v>1900</v>
      </c>
      <c r="H108" s="185"/>
      <c r="I108" s="8"/>
      <c r="J108" s="8"/>
      <c r="K108" s="140"/>
    </row>
    <row r="109" customHeight="1" spans="1:11">
      <c r="A109" s="180"/>
      <c r="B109" s="159" t="s">
        <v>602</v>
      </c>
      <c r="C109" s="11">
        <v>3072</v>
      </c>
      <c r="D109" s="159" t="s">
        <v>600</v>
      </c>
      <c r="E109" s="8">
        <v>8532</v>
      </c>
      <c r="F109" s="8">
        <v>5887</v>
      </c>
      <c r="G109" s="140">
        <v>3139</v>
      </c>
      <c r="H109" s="185"/>
      <c r="I109" s="8"/>
      <c r="J109" s="8"/>
      <c r="K109" s="140"/>
    </row>
    <row r="110" customHeight="1" spans="1:11">
      <c r="A110" s="180"/>
      <c r="B110" s="159" t="s">
        <v>603</v>
      </c>
      <c r="C110" s="11">
        <v>3751</v>
      </c>
      <c r="D110" s="159" t="s">
        <v>600</v>
      </c>
      <c r="E110" s="8">
        <v>9144</v>
      </c>
      <c r="F110" s="8">
        <v>8229</v>
      </c>
      <c r="G110" s="140">
        <v>4390</v>
      </c>
      <c r="H110" s="185"/>
      <c r="I110" s="8"/>
      <c r="J110" s="8"/>
      <c r="K110" s="140"/>
    </row>
    <row r="111" customHeight="1" spans="1:11">
      <c r="A111" s="180"/>
      <c r="B111" s="159" t="s">
        <v>604</v>
      </c>
      <c r="C111" s="11">
        <v>3788</v>
      </c>
      <c r="D111" s="159" t="s">
        <v>600</v>
      </c>
      <c r="E111" s="8">
        <v>14634</v>
      </c>
      <c r="F111" s="8">
        <v>9660</v>
      </c>
      <c r="G111" s="140">
        <v>5140</v>
      </c>
      <c r="H111" s="185"/>
      <c r="I111" s="8"/>
      <c r="J111" s="8"/>
      <c r="K111" s="140"/>
    </row>
    <row r="112" customHeight="1" spans="1:11">
      <c r="A112" s="180"/>
      <c r="B112" s="159" t="s">
        <v>605</v>
      </c>
      <c r="C112" s="11">
        <v>3825</v>
      </c>
      <c r="D112" s="159" t="s">
        <v>600</v>
      </c>
      <c r="E112" s="8">
        <v>18144</v>
      </c>
      <c r="F112" s="8">
        <v>12441</v>
      </c>
      <c r="G112" s="140">
        <v>6637</v>
      </c>
      <c r="H112" s="185"/>
      <c r="I112" s="8"/>
      <c r="J112" s="8"/>
      <c r="K112" s="140"/>
    </row>
    <row r="113" customHeight="1" spans="1:11">
      <c r="A113" s="180"/>
      <c r="B113" s="159" t="s">
        <v>606</v>
      </c>
      <c r="C113" s="11">
        <v>3845</v>
      </c>
      <c r="D113" s="159" t="s">
        <v>600</v>
      </c>
      <c r="E113" s="8">
        <v>21960</v>
      </c>
      <c r="F113" s="8">
        <v>16470</v>
      </c>
      <c r="G113" s="140">
        <v>8784</v>
      </c>
      <c r="H113" s="185"/>
      <c r="I113" s="8"/>
      <c r="J113" s="8"/>
      <c r="K113" s="140"/>
    </row>
    <row r="114" customHeight="1" spans="1:11">
      <c r="A114" s="180"/>
      <c r="B114" s="159" t="s">
        <v>607</v>
      </c>
      <c r="C114" s="11">
        <v>3882</v>
      </c>
      <c r="D114" s="159" t="s">
        <v>600</v>
      </c>
      <c r="E114" s="8">
        <v>26082</v>
      </c>
      <c r="F114" s="8">
        <v>20865</v>
      </c>
      <c r="G114" s="140">
        <v>11128</v>
      </c>
      <c r="H114" s="185"/>
      <c r="I114" s="8"/>
      <c r="J114" s="8"/>
      <c r="K114" s="140"/>
    </row>
    <row r="115" customHeight="1" spans="1:11">
      <c r="A115" s="180"/>
      <c r="B115" s="159" t="s">
        <v>608</v>
      </c>
      <c r="C115" s="11">
        <v>3919</v>
      </c>
      <c r="D115" s="159" t="s">
        <v>600</v>
      </c>
      <c r="E115" s="8">
        <v>30330</v>
      </c>
      <c r="F115" s="8">
        <v>25477</v>
      </c>
      <c r="G115" s="140">
        <v>13588</v>
      </c>
      <c r="H115" s="185"/>
      <c r="I115" s="8"/>
      <c r="J115" s="8"/>
      <c r="K115" s="140"/>
    </row>
    <row r="116" customHeight="1" spans="1:11">
      <c r="A116" s="180"/>
      <c r="B116" s="159" t="s">
        <v>609</v>
      </c>
      <c r="C116" s="11">
        <v>3956</v>
      </c>
      <c r="D116" s="159" t="s">
        <v>600</v>
      </c>
      <c r="E116" s="8">
        <v>34848</v>
      </c>
      <c r="F116" s="8">
        <v>26611</v>
      </c>
      <c r="G116" s="140">
        <v>14191</v>
      </c>
      <c r="H116" s="185"/>
      <c r="I116" s="8"/>
      <c r="J116" s="8"/>
      <c r="K116" s="140"/>
    </row>
    <row r="117" customHeight="1" spans="1:11">
      <c r="A117" s="180"/>
      <c r="B117" s="159" t="s">
        <v>610</v>
      </c>
      <c r="C117" s="11">
        <v>3960</v>
      </c>
      <c r="D117" s="159" t="s">
        <v>600</v>
      </c>
      <c r="E117" s="8">
        <v>39340</v>
      </c>
      <c r="F117" s="8">
        <v>31536</v>
      </c>
      <c r="G117" s="140">
        <v>16820</v>
      </c>
      <c r="H117" s="185"/>
      <c r="I117" s="8"/>
      <c r="J117" s="8"/>
      <c r="K117" s="140"/>
    </row>
    <row r="118" customHeight="1" spans="1:11">
      <c r="A118" s="180"/>
      <c r="B118" s="159" t="s">
        <v>611</v>
      </c>
      <c r="C118" s="11">
        <v>3997</v>
      </c>
      <c r="D118" s="159" t="s">
        <v>600</v>
      </c>
      <c r="E118" s="8">
        <v>44226</v>
      </c>
      <c r="F118" s="8">
        <v>32659</v>
      </c>
      <c r="G118" s="140">
        <v>17418</v>
      </c>
      <c r="H118" s="185"/>
      <c r="I118" s="8"/>
      <c r="J118" s="8"/>
      <c r="K118" s="140"/>
    </row>
    <row r="119" ht="14.25" customHeight="1" spans="1:11">
      <c r="A119" s="180"/>
      <c r="B119" s="159" t="s">
        <v>612</v>
      </c>
      <c r="C119" s="11">
        <v>4005</v>
      </c>
      <c r="D119" s="159" t="s">
        <v>600</v>
      </c>
      <c r="E119" s="8">
        <v>49014</v>
      </c>
      <c r="F119" s="8">
        <v>37810</v>
      </c>
      <c r="G119" s="140">
        <v>20166</v>
      </c>
      <c r="H119" s="185"/>
      <c r="I119" s="8"/>
      <c r="J119" s="8"/>
      <c r="K119" s="140"/>
    </row>
    <row r="120" spans="1:11">
      <c r="A120" s="180"/>
      <c r="B120" s="159" t="s">
        <v>613</v>
      </c>
      <c r="C120" s="11">
        <v>4042</v>
      </c>
      <c r="D120" s="159" t="s">
        <v>600</v>
      </c>
      <c r="E120" s="8">
        <v>54000</v>
      </c>
      <c r="F120" s="8">
        <v>38880</v>
      </c>
      <c r="G120" s="140">
        <v>20736</v>
      </c>
      <c r="H120" s="185"/>
      <c r="I120" s="8"/>
      <c r="J120" s="8"/>
      <c r="K120" s="140"/>
    </row>
    <row r="121" spans="1:11">
      <c r="A121" s="180"/>
      <c r="B121" s="159" t="s">
        <v>614</v>
      </c>
      <c r="C121" s="11">
        <v>4079</v>
      </c>
      <c r="D121" s="159" t="s">
        <v>600</v>
      </c>
      <c r="E121" s="8">
        <v>58896</v>
      </c>
      <c r="F121" s="8">
        <v>44172</v>
      </c>
      <c r="G121" s="140">
        <v>23559</v>
      </c>
      <c r="H121" s="185"/>
      <c r="I121" s="8"/>
      <c r="J121" s="8"/>
      <c r="K121" s="140"/>
    </row>
    <row r="122" spans="1:11">
      <c r="A122" s="180"/>
      <c r="B122" s="159" t="s">
        <v>615</v>
      </c>
      <c r="C122" s="11">
        <v>4116</v>
      </c>
      <c r="D122" s="159" t="s">
        <v>600</v>
      </c>
      <c r="E122" s="8">
        <v>60192</v>
      </c>
      <c r="F122" s="8">
        <v>45144</v>
      </c>
      <c r="G122" s="140">
        <v>25075</v>
      </c>
      <c r="H122" s="185"/>
      <c r="I122" s="8"/>
      <c r="J122" s="8"/>
      <c r="K122" s="140"/>
    </row>
    <row r="123" spans="1:11">
      <c r="A123" s="180"/>
      <c r="B123" s="159" t="s">
        <v>616</v>
      </c>
      <c r="C123" s="11">
        <v>4153</v>
      </c>
      <c r="D123" s="159" t="s">
        <v>600</v>
      </c>
      <c r="E123" s="8">
        <v>68850</v>
      </c>
      <c r="F123" s="8">
        <v>55080</v>
      </c>
      <c r="G123" s="140">
        <v>29375</v>
      </c>
      <c r="H123" s="185"/>
      <c r="I123" s="8"/>
      <c r="J123" s="8"/>
      <c r="K123" s="140"/>
    </row>
    <row r="124" spans="1:11">
      <c r="A124" s="180"/>
      <c r="B124" s="159" t="s">
        <v>617</v>
      </c>
      <c r="C124" s="11">
        <v>4190</v>
      </c>
      <c r="D124" s="159" t="s">
        <v>600</v>
      </c>
      <c r="E124" s="8">
        <v>77760</v>
      </c>
      <c r="F124" s="8">
        <v>60652</v>
      </c>
      <c r="G124" s="140">
        <v>32349</v>
      </c>
      <c r="H124" s="185"/>
      <c r="I124" s="8"/>
      <c r="J124" s="8"/>
      <c r="K124" s="140"/>
    </row>
    <row r="125" spans="1:11">
      <c r="A125" s="180"/>
      <c r="B125" s="159" t="s">
        <v>618</v>
      </c>
      <c r="C125" s="11">
        <v>4227</v>
      </c>
      <c r="D125" s="159" t="s">
        <v>600</v>
      </c>
      <c r="E125" s="8">
        <v>86922</v>
      </c>
      <c r="F125" s="8">
        <v>66376</v>
      </c>
      <c r="G125" s="140">
        <v>35400</v>
      </c>
      <c r="H125" s="185"/>
      <c r="I125" s="8"/>
      <c r="J125" s="8"/>
      <c r="K125" s="140"/>
    </row>
    <row r="126" spans="1:11">
      <c r="A126" s="180"/>
      <c r="B126" s="159" t="s">
        <v>619</v>
      </c>
      <c r="C126" s="11">
        <v>4264</v>
      </c>
      <c r="D126" s="159" t="s">
        <v>600</v>
      </c>
      <c r="E126" s="8">
        <v>96336</v>
      </c>
      <c r="F126" s="8">
        <v>72252</v>
      </c>
      <c r="G126" s="140">
        <v>38533</v>
      </c>
      <c r="H126" s="185"/>
      <c r="I126" s="8"/>
      <c r="J126" s="8"/>
      <c r="K126" s="140"/>
    </row>
    <row r="127" spans="1:11">
      <c r="A127" s="180"/>
      <c r="B127" s="159" t="s">
        <v>620</v>
      </c>
      <c r="C127" s="11">
        <v>4301</v>
      </c>
      <c r="D127" s="159" t="s">
        <v>600</v>
      </c>
      <c r="E127" s="8">
        <v>114156</v>
      </c>
      <c r="F127" s="8">
        <v>88063</v>
      </c>
      <c r="G127" s="140">
        <v>46966</v>
      </c>
      <c r="H127" s="185"/>
      <c r="I127" s="8"/>
      <c r="J127" s="8"/>
      <c r="K127" s="140"/>
    </row>
    <row r="128" ht="14.25" spans="1:11">
      <c r="A128" s="189"/>
      <c r="B128" s="164" t="s">
        <v>621</v>
      </c>
      <c r="C128" s="152">
        <v>4338</v>
      </c>
      <c r="D128" s="164" t="s">
        <v>600</v>
      </c>
      <c r="E128" s="88">
        <v>132480</v>
      </c>
      <c r="F128" s="88">
        <v>99360</v>
      </c>
      <c r="G128" s="165">
        <v>52991</v>
      </c>
      <c r="H128" s="190"/>
      <c r="I128" s="88"/>
      <c r="J128" s="88"/>
      <c r="K128" s="165"/>
    </row>
    <row r="129" ht="14.25"/>
  </sheetData>
  <sheetProtection algorithmName="SHA-512" hashValue="vOs6JyfdV60qc8vgqi1CS/cLMod1+0JymFKXV/Z/lXfidHRKR/aBsdqIsLslqJb+wiE7DA4s9yqCClU9I8UtXQ==" saltValue="uvnGfHgU3N/f087pTJM0ZQ==" spinCount="100000" sheet="1" selectLockedCells="1" objects="1" scenarios="1"/>
  <mergeCells count="90">
    <mergeCell ref="B2:E2"/>
    <mergeCell ref="F2:N2"/>
    <mergeCell ref="F7:N7"/>
    <mergeCell ref="F8:N8"/>
    <mergeCell ref="F9:N9"/>
    <mergeCell ref="B13:L13"/>
    <mergeCell ref="B24:I24"/>
    <mergeCell ref="K24:L24"/>
    <mergeCell ref="B40:J40"/>
    <mergeCell ref="L42:S42"/>
    <mergeCell ref="L43:S43"/>
    <mergeCell ref="B46:K46"/>
    <mergeCell ref="D47:G47"/>
    <mergeCell ref="H47:K47"/>
    <mergeCell ref="M54:S54"/>
    <mergeCell ref="M55:S55"/>
    <mergeCell ref="M56:S56"/>
    <mergeCell ref="M57:S57"/>
    <mergeCell ref="M58:S58"/>
    <mergeCell ref="B60:J60"/>
    <mergeCell ref="B73:K73"/>
    <mergeCell ref="B97:K97"/>
    <mergeCell ref="A2:A11"/>
    <mergeCell ref="A13:A22"/>
    <mergeCell ref="A24:A38"/>
    <mergeCell ref="A40:A44"/>
    <mergeCell ref="A46:A58"/>
    <mergeCell ref="A60:A71"/>
    <mergeCell ref="A73:A95"/>
    <mergeCell ref="A97:A128"/>
    <mergeCell ref="B25:B26"/>
    <mergeCell ref="B32:B33"/>
    <mergeCell ref="C25:C26"/>
    <mergeCell ref="C32:C33"/>
    <mergeCell ref="C47:C48"/>
    <mergeCell ref="C49:C50"/>
    <mergeCell ref="C51:C52"/>
    <mergeCell ref="C53:C54"/>
    <mergeCell ref="C55:C56"/>
    <mergeCell ref="C57:C58"/>
    <mergeCell ref="D25:D26"/>
    <mergeCell ref="D32:D33"/>
    <mergeCell ref="D49:D50"/>
    <mergeCell ref="D51:D52"/>
    <mergeCell ref="D53:D54"/>
    <mergeCell ref="D55:D56"/>
    <mergeCell ref="D57:D58"/>
    <mergeCell ref="E25:E26"/>
    <mergeCell ref="E32:E33"/>
    <mergeCell ref="E49:E50"/>
    <mergeCell ref="E51:E52"/>
    <mergeCell ref="E53:E54"/>
    <mergeCell ref="E55:E56"/>
    <mergeCell ref="E57:E58"/>
    <mergeCell ref="F49:F50"/>
    <mergeCell ref="F51:F52"/>
    <mergeCell ref="F53:F54"/>
    <mergeCell ref="F55:F56"/>
    <mergeCell ref="F57:F58"/>
    <mergeCell ref="G49:G50"/>
    <mergeCell ref="G51:G52"/>
    <mergeCell ref="G53:G54"/>
    <mergeCell ref="G55:G56"/>
    <mergeCell ref="G57:G58"/>
    <mergeCell ref="H25:H26"/>
    <mergeCell ref="H32:H33"/>
    <mergeCell ref="H49:H50"/>
    <mergeCell ref="H51:H52"/>
    <mergeCell ref="H53:H54"/>
    <mergeCell ref="H55:H56"/>
    <mergeCell ref="H57:H58"/>
    <mergeCell ref="I25:I26"/>
    <mergeCell ref="I32:I33"/>
    <mergeCell ref="I49:I50"/>
    <mergeCell ref="I51:I52"/>
    <mergeCell ref="I53:I54"/>
    <mergeCell ref="I55:I56"/>
    <mergeCell ref="I57:I58"/>
    <mergeCell ref="J49:J50"/>
    <mergeCell ref="J51:J52"/>
    <mergeCell ref="J53:J54"/>
    <mergeCell ref="J55:J56"/>
    <mergeCell ref="J57:J58"/>
    <mergeCell ref="K49:K50"/>
    <mergeCell ref="K51:K52"/>
    <mergeCell ref="K53:K54"/>
    <mergeCell ref="K55:K56"/>
    <mergeCell ref="K57:K58"/>
    <mergeCell ref="L15:L17"/>
    <mergeCell ref="L19:L21"/>
  </mergeCells>
  <dataValidations count="3">
    <dataValidation type="list" allowBlank="1" showInputMessage="1" showErrorMessage="1" sqref="B44">
      <formula1>$A$62:$A$86</formula1>
    </dataValidation>
    <dataValidation type="list" allowBlank="1" showInputMessage="1" showErrorMessage="1" sqref="B42">
      <formula1>武功表!$A$62:$A$86</formula1>
    </dataValidation>
    <dataValidation type="list" allowBlank="1" showInputMessage="1" showErrorMessage="1" sqref="F42 F44">
      <formula1>"1,2,3,4,5,6,7,8,9,10"</formula1>
    </dataValidation>
  </dataValidations>
  <pageMargins left="0.699305555555556" right="0.699305555555556" top="0.75" bottom="0.75" header="0.3" footer="0.3"/>
  <pageSetup paperSize="9" orientation="portrait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6869" name="List Box 1029" r:id="rId3">
              <controlPr locked="0" defaultSize="0">
                <anchor>
                  <from>
                    <xdr:col>1</xdr:col>
                    <xdr:colOff>9525</xdr:colOff>
                    <xdr:row>45</xdr:row>
                    <xdr:rowOff>133350</xdr:rowOff>
                  </from>
                  <to>
                    <xdr:col>1</xdr:col>
                    <xdr:colOff>790575</xdr:colOff>
                    <xdr:row>57</xdr:row>
                    <xdr:rowOff>95250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156"/>
  <sheetViews>
    <sheetView topLeftCell="B1" workbookViewId="0">
      <pane xSplit="2" ySplit="2" topLeftCell="G7" activePane="bottomRight" state="frozenSplit"/>
      <selection/>
      <selection pane="topRight"/>
      <selection pane="bottomLeft"/>
      <selection pane="bottomRight" activeCell="C19" sqref="C19"/>
    </sheetView>
  </sheetViews>
  <sheetFormatPr defaultColWidth="9" defaultRowHeight="15" customHeight="1"/>
  <cols>
    <col min="1" max="1" width="4.875" style="23" hidden="1" customWidth="1"/>
    <col min="2" max="2" width="4.75" style="23" customWidth="1"/>
    <col min="3" max="3" width="8.75" style="23" customWidth="1"/>
    <col min="4" max="6" width="11.875" style="23" customWidth="1"/>
    <col min="7" max="10" width="9.125" style="23" customWidth="1"/>
    <col min="11" max="11" width="8" style="23" customWidth="1"/>
    <col min="12" max="15" width="10.125" style="24" customWidth="1"/>
    <col min="16" max="16" width="10" style="24" customWidth="1"/>
    <col min="17" max="17" width="8.625" style="25" customWidth="1"/>
    <col min="18" max="18" width="8.25" style="25" customWidth="1"/>
    <col min="19" max="19" width="7.25" style="25" customWidth="1"/>
    <col min="20" max="21" width="9" style="25" customWidth="1"/>
    <col min="22" max="22" width="5.875" style="23" customWidth="1"/>
    <col min="23" max="23" width="12.75" style="24" customWidth="1"/>
    <col min="24" max="24" width="9.5" style="24" customWidth="1"/>
    <col min="25" max="16384" width="9" style="23"/>
  </cols>
  <sheetData>
    <row r="1" customHeight="1" spans="1:22">
      <c r="A1" s="26"/>
      <c r="B1" s="27"/>
      <c r="C1" s="28"/>
      <c r="D1" s="43" t="s">
        <v>622</v>
      </c>
      <c r="E1" s="30"/>
      <c r="F1" s="44" t="s">
        <v>623</v>
      </c>
      <c r="G1" s="29"/>
      <c r="H1" s="29"/>
      <c r="I1" s="29"/>
      <c r="J1" s="29"/>
      <c r="K1" s="30"/>
      <c r="L1" s="33" t="s">
        <v>624</v>
      </c>
      <c r="M1" s="33"/>
      <c r="N1" s="33"/>
      <c r="O1" s="33"/>
      <c r="P1" s="33"/>
      <c r="Q1" s="34" t="s">
        <v>625</v>
      </c>
      <c r="R1" s="35"/>
      <c r="S1" s="35"/>
      <c r="T1" s="35"/>
      <c r="U1" s="38"/>
      <c r="V1" s="39" t="s">
        <v>365</v>
      </c>
    </row>
    <row r="2" customHeight="1" spans="1:22">
      <c r="A2" s="31" t="s">
        <v>626</v>
      </c>
      <c r="B2" s="26" t="s">
        <v>264</v>
      </c>
      <c r="C2" s="26" t="s">
        <v>110</v>
      </c>
      <c r="D2" s="26" t="s">
        <v>627</v>
      </c>
      <c r="E2" s="26" t="s">
        <v>628</v>
      </c>
      <c r="F2" s="32" t="s">
        <v>629</v>
      </c>
      <c r="G2" s="26" t="s">
        <v>630</v>
      </c>
      <c r="H2" s="26" t="s">
        <v>631</v>
      </c>
      <c r="I2" s="26" t="s">
        <v>632</v>
      </c>
      <c r="J2" s="26" t="s">
        <v>633</v>
      </c>
      <c r="K2" s="32" t="s">
        <v>634</v>
      </c>
      <c r="L2" s="33" t="s">
        <v>635</v>
      </c>
      <c r="M2" s="33" t="s">
        <v>636</v>
      </c>
      <c r="N2" s="33" t="s">
        <v>637</v>
      </c>
      <c r="O2" s="33" t="s">
        <v>638</v>
      </c>
      <c r="P2" s="33" t="s">
        <v>639</v>
      </c>
      <c r="Q2" s="36" t="s">
        <v>46</v>
      </c>
      <c r="R2" s="36" t="s">
        <v>47</v>
      </c>
      <c r="S2" s="36" t="s">
        <v>48</v>
      </c>
      <c r="T2" s="37" t="s">
        <v>53</v>
      </c>
      <c r="U2" s="37" t="s">
        <v>476</v>
      </c>
      <c r="V2" s="46">
        <v>100</v>
      </c>
    </row>
    <row r="3" ht="16.5" customHeight="1" spans="1:21">
      <c r="A3" s="26">
        <v>1</v>
      </c>
      <c r="B3" s="26" t="s">
        <v>292</v>
      </c>
      <c r="C3" s="26" t="s">
        <v>182</v>
      </c>
      <c r="D3" s="26" t="s">
        <v>329</v>
      </c>
      <c r="E3" s="26"/>
      <c r="F3" s="26">
        <v>176</v>
      </c>
      <c r="G3" s="26">
        <v>279</v>
      </c>
      <c r="H3" s="26">
        <v>215</v>
      </c>
      <c r="I3" s="26">
        <v>199</v>
      </c>
      <c r="J3" s="26">
        <v>30</v>
      </c>
      <c r="K3" s="26">
        <f t="shared" ref="K3" si="0">J3+I3+H3+G3</f>
        <v>723</v>
      </c>
      <c r="L3" s="33">
        <v>17</v>
      </c>
      <c r="M3" s="33">
        <v>9.9</v>
      </c>
      <c r="N3" s="33">
        <v>5.7</v>
      </c>
      <c r="O3" s="33">
        <v>2.9</v>
      </c>
      <c r="P3" s="33">
        <f>SUM(L3:O3)</f>
        <v>35.5</v>
      </c>
      <c r="Q3" s="37">
        <f t="shared" ref="Q3:T3" si="1">ROUND(G3+L3*($V$2-1),0)</f>
        <v>1962</v>
      </c>
      <c r="R3" s="37">
        <f t="shared" si="1"/>
        <v>1195</v>
      </c>
      <c r="S3" s="37">
        <f t="shared" si="1"/>
        <v>763</v>
      </c>
      <c r="T3" s="37">
        <f t="shared" si="1"/>
        <v>317</v>
      </c>
      <c r="U3" s="37">
        <f>SUM(Q3:T3)</f>
        <v>4237</v>
      </c>
    </row>
    <row r="4" customHeight="1" spans="1:21">
      <c r="A4" s="26">
        <v>2</v>
      </c>
      <c r="B4" s="26" t="s">
        <v>292</v>
      </c>
      <c r="C4" s="26" t="s">
        <v>200</v>
      </c>
      <c r="D4" s="26" t="s">
        <v>325</v>
      </c>
      <c r="E4" s="26">
        <v>45</v>
      </c>
      <c r="F4" s="26">
        <v>208</v>
      </c>
      <c r="G4" s="26">
        <v>240</v>
      </c>
      <c r="H4" s="26">
        <v>240</v>
      </c>
      <c r="I4" s="26">
        <v>155</v>
      </c>
      <c r="J4" s="26">
        <v>180</v>
      </c>
      <c r="K4" s="26">
        <f t="shared" ref="K4:K24" si="2">J4+I4+H4+G4</f>
        <v>815</v>
      </c>
      <c r="L4" s="33">
        <v>11</v>
      </c>
      <c r="M4" s="33">
        <v>8.3</v>
      </c>
      <c r="N4" s="33">
        <v>5.7</v>
      </c>
      <c r="O4" s="33">
        <v>7</v>
      </c>
      <c r="P4" s="33">
        <f t="shared" ref="P4" si="3">O4+N4+M4+L4</f>
        <v>32</v>
      </c>
      <c r="Q4" s="37">
        <f t="shared" ref="Q4" si="4">G4+L4*($V$2-1)</f>
        <v>1329</v>
      </c>
      <c r="R4" s="37">
        <f t="shared" ref="R4" si="5">H4+M4*($V$2-1)</f>
        <v>1061.7</v>
      </c>
      <c r="S4" s="37">
        <f t="shared" ref="S4" si="6">I4+N4*($V$2-1)</f>
        <v>719.3</v>
      </c>
      <c r="T4" s="37">
        <f t="shared" ref="T4" si="7">J4+O4*($V$2-1)</f>
        <v>873</v>
      </c>
      <c r="U4" s="37">
        <f t="shared" ref="U4" si="8">SUM(Q4:T4)</f>
        <v>3983</v>
      </c>
    </row>
    <row r="5" customHeight="1" spans="1:21">
      <c r="A5" s="26">
        <v>3</v>
      </c>
      <c r="B5" s="26" t="s">
        <v>292</v>
      </c>
      <c r="C5" s="26" t="s">
        <v>5</v>
      </c>
      <c r="D5" s="26" t="s">
        <v>640</v>
      </c>
      <c r="E5" s="26"/>
      <c r="F5" s="26">
        <v>168</v>
      </c>
      <c r="G5" s="26">
        <v>280</v>
      </c>
      <c r="H5" s="26">
        <v>150</v>
      </c>
      <c r="I5" s="26">
        <v>160</v>
      </c>
      <c r="J5" s="26">
        <v>305</v>
      </c>
      <c r="K5" s="26">
        <f t="shared" si="2"/>
        <v>895</v>
      </c>
      <c r="L5" s="33">
        <v>10.8</v>
      </c>
      <c r="M5" s="33">
        <v>7.2</v>
      </c>
      <c r="N5" s="33">
        <v>6.9</v>
      </c>
      <c r="O5" s="33">
        <v>9</v>
      </c>
      <c r="P5" s="33">
        <f t="shared" ref="P5:P24" si="9">O5+N5+M5+L5</f>
        <v>33.9</v>
      </c>
      <c r="Q5" s="37">
        <f t="shared" ref="Q5:Q47" si="10">G5+L5*($V$2-1)</f>
        <v>1349.2</v>
      </c>
      <c r="R5" s="37">
        <f t="shared" ref="R5:R47" si="11">H5+M5*($V$2-1)</f>
        <v>862.8</v>
      </c>
      <c r="S5" s="37">
        <f t="shared" ref="S5:S47" si="12">I5+N5*($V$2-1)</f>
        <v>843.1</v>
      </c>
      <c r="T5" s="37">
        <f t="shared" ref="T5:T47" si="13">J5+O5*($V$2-1)</f>
        <v>1196</v>
      </c>
      <c r="U5" s="37">
        <f t="shared" ref="U5:U36" si="14">SUM(Q5:T5)</f>
        <v>4251.1</v>
      </c>
    </row>
    <row r="6" customHeight="1" spans="1:21">
      <c r="A6" s="26">
        <v>4</v>
      </c>
      <c r="B6" s="26" t="s">
        <v>292</v>
      </c>
      <c r="C6" s="26" t="s">
        <v>188</v>
      </c>
      <c r="D6" s="26" t="s">
        <v>306</v>
      </c>
      <c r="E6" s="26">
        <v>13</v>
      </c>
      <c r="F6" s="26">
        <v>156</v>
      </c>
      <c r="G6" s="26">
        <v>160</v>
      </c>
      <c r="H6" s="26">
        <v>190</v>
      </c>
      <c r="I6" s="26">
        <v>52</v>
      </c>
      <c r="J6" s="26">
        <v>300</v>
      </c>
      <c r="K6" s="26">
        <f t="shared" si="2"/>
        <v>702</v>
      </c>
      <c r="L6" s="33">
        <v>8</v>
      </c>
      <c r="M6" s="33">
        <v>9.5</v>
      </c>
      <c r="N6" s="33">
        <v>2.6</v>
      </c>
      <c r="O6" s="33">
        <v>8</v>
      </c>
      <c r="P6" s="33">
        <f t="shared" si="9"/>
        <v>28.1</v>
      </c>
      <c r="Q6" s="37">
        <f t="shared" si="10"/>
        <v>952</v>
      </c>
      <c r="R6" s="37">
        <f t="shared" si="11"/>
        <v>1130.5</v>
      </c>
      <c r="S6" s="37">
        <f t="shared" si="12"/>
        <v>309.4</v>
      </c>
      <c r="T6" s="37">
        <f t="shared" si="13"/>
        <v>1092</v>
      </c>
      <c r="U6" s="37">
        <f t="shared" si="14"/>
        <v>3483.9</v>
      </c>
    </row>
    <row r="7" customHeight="1" spans="1:21">
      <c r="A7" s="26">
        <v>5</v>
      </c>
      <c r="B7" s="26" t="s">
        <v>292</v>
      </c>
      <c r="C7" s="26" t="s">
        <v>2</v>
      </c>
      <c r="D7" s="26" t="s">
        <v>291</v>
      </c>
      <c r="E7" s="26">
        <v>18</v>
      </c>
      <c r="F7" s="26">
        <v>208</v>
      </c>
      <c r="G7" s="26">
        <v>285</v>
      </c>
      <c r="H7" s="26">
        <v>300</v>
      </c>
      <c r="I7" s="26">
        <v>105</v>
      </c>
      <c r="J7" s="26">
        <v>310</v>
      </c>
      <c r="K7" s="26">
        <f t="shared" si="2"/>
        <v>1000</v>
      </c>
      <c r="L7" s="33">
        <v>10</v>
      </c>
      <c r="M7" s="33">
        <v>9.7</v>
      </c>
      <c r="N7" s="33">
        <v>4.3</v>
      </c>
      <c r="O7" s="33">
        <v>11</v>
      </c>
      <c r="P7" s="33">
        <f t="shared" si="9"/>
        <v>35</v>
      </c>
      <c r="Q7" s="37">
        <f t="shared" si="10"/>
        <v>1275</v>
      </c>
      <c r="R7" s="37">
        <f t="shared" si="11"/>
        <v>1260.3</v>
      </c>
      <c r="S7" s="37">
        <f t="shared" si="12"/>
        <v>530.7</v>
      </c>
      <c r="T7" s="37">
        <f t="shared" si="13"/>
        <v>1399</v>
      </c>
      <c r="U7" s="37">
        <f t="shared" si="14"/>
        <v>4465</v>
      </c>
    </row>
    <row r="8" customHeight="1" spans="1:21">
      <c r="A8" s="26">
        <v>6</v>
      </c>
      <c r="B8" s="26" t="s">
        <v>292</v>
      </c>
      <c r="C8" s="26" t="s">
        <v>172</v>
      </c>
      <c r="D8" s="26" t="s">
        <v>295</v>
      </c>
      <c r="E8" s="26">
        <v>71</v>
      </c>
      <c r="F8" s="26">
        <v>156</v>
      </c>
      <c r="G8" s="26">
        <v>140</v>
      </c>
      <c r="H8" s="26">
        <v>80</v>
      </c>
      <c r="I8" s="26">
        <v>120</v>
      </c>
      <c r="J8" s="26">
        <v>450</v>
      </c>
      <c r="K8" s="26">
        <f t="shared" si="2"/>
        <v>790</v>
      </c>
      <c r="L8" s="33">
        <v>7</v>
      </c>
      <c r="M8" s="33">
        <v>3.1</v>
      </c>
      <c r="N8" s="33">
        <v>5.8</v>
      </c>
      <c r="O8" s="33">
        <v>11</v>
      </c>
      <c r="P8" s="33">
        <f t="shared" si="9"/>
        <v>26.9</v>
      </c>
      <c r="Q8" s="37">
        <f t="shared" si="10"/>
        <v>833</v>
      </c>
      <c r="R8" s="37">
        <f t="shared" si="11"/>
        <v>386.9</v>
      </c>
      <c r="S8" s="37">
        <f t="shared" si="12"/>
        <v>694.2</v>
      </c>
      <c r="T8" s="37">
        <f t="shared" si="13"/>
        <v>1539</v>
      </c>
      <c r="U8" s="37">
        <f t="shared" si="14"/>
        <v>3453.1</v>
      </c>
    </row>
    <row r="9" customHeight="1" spans="1:21">
      <c r="A9" s="26">
        <v>7</v>
      </c>
      <c r="B9" s="26" t="s">
        <v>292</v>
      </c>
      <c r="C9" s="26" t="s">
        <v>257</v>
      </c>
      <c r="D9" s="26" t="s">
        <v>291</v>
      </c>
      <c r="E9" s="26">
        <v>18</v>
      </c>
      <c r="F9" s="26">
        <v>168</v>
      </c>
      <c r="G9" s="26">
        <v>260</v>
      </c>
      <c r="H9" s="26">
        <v>284</v>
      </c>
      <c r="I9" s="26">
        <v>155</v>
      </c>
      <c r="J9" s="26">
        <v>234</v>
      </c>
      <c r="K9" s="26">
        <f t="shared" si="2"/>
        <v>933</v>
      </c>
      <c r="L9" s="33">
        <v>12</v>
      </c>
      <c r="M9" s="33">
        <v>9.3</v>
      </c>
      <c r="N9" s="33">
        <v>4.4</v>
      </c>
      <c r="O9" s="33">
        <v>9</v>
      </c>
      <c r="P9" s="33">
        <f t="shared" si="9"/>
        <v>34.7</v>
      </c>
      <c r="Q9" s="37">
        <f t="shared" si="10"/>
        <v>1448</v>
      </c>
      <c r="R9" s="37">
        <f t="shared" si="11"/>
        <v>1204.7</v>
      </c>
      <c r="S9" s="37">
        <f t="shared" si="12"/>
        <v>590.6</v>
      </c>
      <c r="T9" s="37">
        <f t="shared" si="13"/>
        <v>1125</v>
      </c>
      <c r="U9" s="37">
        <f t="shared" si="14"/>
        <v>4368.3</v>
      </c>
    </row>
    <row r="10" customHeight="1" spans="1:21">
      <c r="A10" s="26">
        <v>8</v>
      </c>
      <c r="B10" s="26" t="s">
        <v>292</v>
      </c>
      <c r="C10" s="26" t="s">
        <v>165</v>
      </c>
      <c r="D10" s="26" t="s">
        <v>294</v>
      </c>
      <c r="E10" s="26">
        <v>25</v>
      </c>
      <c r="F10" s="26">
        <v>176</v>
      </c>
      <c r="G10" s="26">
        <v>240</v>
      </c>
      <c r="H10" s="26">
        <v>118</v>
      </c>
      <c r="I10" s="26">
        <v>76</v>
      </c>
      <c r="J10" s="26">
        <v>300</v>
      </c>
      <c r="K10" s="26">
        <f t="shared" si="2"/>
        <v>734</v>
      </c>
      <c r="L10" s="33">
        <v>12</v>
      </c>
      <c r="M10" s="33">
        <v>5.9</v>
      </c>
      <c r="N10" s="33">
        <v>3.8</v>
      </c>
      <c r="O10" s="33">
        <v>10</v>
      </c>
      <c r="P10" s="33">
        <f t="shared" si="9"/>
        <v>31.7</v>
      </c>
      <c r="Q10" s="37">
        <f t="shared" si="10"/>
        <v>1428</v>
      </c>
      <c r="R10" s="37">
        <f t="shared" si="11"/>
        <v>702.1</v>
      </c>
      <c r="S10" s="37">
        <f t="shared" si="12"/>
        <v>452.2</v>
      </c>
      <c r="T10" s="37">
        <f t="shared" si="13"/>
        <v>1290</v>
      </c>
      <c r="U10" s="37">
        <f t="shared" si="14"/>
        <v>3872.3</v>
      </c>
    </row>
    <row r="11" customHeight="1" spans="1:21">
      <c r="A11" s="26">
        <v>9</v>
      </c>
      <c r="B11" s="26" t="s">
        <v>292</v>
      </c>
      <c r="C11" s="26" t="s">
        <v>170</v>
      </c>
      <c r="D11" s="26" t="s">
        <v>298</v>
      </c>
      <c r="E11" s="26">
        <v>20</v>
      </c>
      <c r="F11" s="26">
        <v>168</v>
      </c>
      <c r="G11" s="26">
        <v>280</v>
      </c>
      <c r="H11" s="26">
        <v>100</v>
      </c>
      <c r="I11" s="26">
        <v>95</v>
      </c>
      <c r="J11" s="26">
        <v>390</v>
      </c>
      <c r="K11" s="26">
        <f t="shared" si="2"/>
        <v>865</v>
      </c>
      <c r="L11" s="33">
        <v>12</v>
      </c>
      <c r="M11" s="33">
        <v>4.1</v>
      </c>
      <c r="N11" s="33">
        <v>6.4</v>
      </c>
      <c r="O11" s="33">
        <v>12</v>
      </c>
      <c r="P11" s="33">
        <f t="shared" si="9"/>
        <v>34.5</v>
      </c>
      <c r="Q11" s="37">
        <f t="shared" si="10"/>
        <v>1468</v>
      </c>
      <c r="R11" s="37">
        <f t="shared" si="11"/>
        <v>505.9</v>
      </c>
      <c r="S11" s="37">
        <f t="shared" si="12"/>
        <v>728.6</v>
      </c>
      <c r="T11" s="37">
        <f t="shared" si="13"/>
        <v>1578</v>
      </c>
      <c r="U11" s="37">
        <f t="shared" si="14"/>
        <v>4280.5</v>
      </c>
    </row>
    <row r="12" customHeight="1" spans="1:21">
      <c r="A12" s="26">
        <v>10</v>
      </c>
      <c r="B12" s="26" t="s">
        <v>292</v>
      </c>
      <c r="C12" s="26" t="s">
        <v>177</v>
      </c>
      <c r="D12" s="26" t="s">
        <v>298</v>
      </c>
      <c r="E12" s="26">
        <v>20</v>
      </c>
      <c r="F12" s="26">
        <v>164</v>
      </c>
      <c r="G12" s="26">
        <v>200</v>
      </c>
      <c r="H12" s="26">
        <v>116</v>
      </c>
      <c r="I12" s="26">
        <v>76</v>
      </c>
      <c r="J12" s="26">
        <v>300</v>
      </c>
      <c r="K12" s="26">
        <f t="shared" si="2"/>
        <v>692</v>
      </c>
      <c r="L12" s="33">
        <v>10</v>
      </c>
      <c r="M12" s="33">
        <v>5.8</v>
      </c>
      <c r="N12" s="33">
        <v>3.8</v>
      </c>
      <c r="O12" s="33">
        <v>10</v>
      </c>
      <c r="P12" s="33">
        <f t="shared" si="9"/>
        <v>29.6</v>
      </c>
      <c r="Q12" s="37">
        <f t="shared" si="10"/>
        <v>1190</v>
      </c>
      <c r="R12" s="37">
        <f t="shared" si="11"/>
        <v>690.2</v>
      </c>
      <c r="S12" s="37">
        <f t="shared" si="12"/>
        <v>452.2</v>
      </c>
      <c r="T12" s="37">
        <f t="shared" si="13"/>
        <v>1290</v>
      </c>
      <c r="U12" s="37">
        <f t="shared" si="14"/>
        <v>3622.4</v>
      </c>
    </row>
    <row r="13" customHeight="1" spans="1:21">
      <c r="A13" s="26">
        <v>11</v>
      </c>
      <c r="B13" s="26" t="s">
        <v>292</v>
      </c>
      <c r="C13" s="26" t="s">
        <v>174</v>
      </c>
      <c r="D13" s="26" t="s">
        <v>298</v>
      </c>
      <c r="E13" s="26">
        <v>20</v>
      </c>
      <c r="F13" s="26">
        <v>184</v>
      </c>
      <c r="G13" s="26">
        <v>80</v>
      </c>
      <c r="H13" s="26">
        <v>30</v>
      </c>
      <c r="I13" s="26">
        <v>10</v>
      </c>
      <c r="J13" s="26">
        <v>50</v>
      </c>
      <c r="K13" s="26">
        <f t="shared" si="2"/>
        <v>170</v>
      </c>
      <c r="L13" s="33">
        <v>22</v>
      </c>
      <c r="M13" s="33">
        <v>5.1</v>
      </c>
      <c r="N13" s="33">
        <v>5.3</v>
      </c>
      <c r="O13" s="33">
        <v>8</v>
      </c>
      <c r="P13" s="33">
        <f t="shared" si="9"/>
        <v>40.4</v>
      </c>
      <c r="Q13" s="37">
        <f t="shared" si="10"/>
        <v>2258</v>
      </c>
      <c r="R13" s="37">
        <f t="shared" si="11"/>
        <v>534.9</v>
      </c>
      <c r="S13" s="37">
        <f t="shared" si="12"/>
        <v>534.7</v>
      </c>
      <c r="T13" s="37">
        <f t="shared" si="13"/>
        <v>842</v>
      </c>
      <c r="U13" s="37">
        <f t="shared" si="14"/>
        <v>4169.6</v>
      </c>
    </row>
    <row r="14" customHeight="1" spans="1:21">
      <c r="A14" s="26">
        <v>12</v>
      </c>
      <c r="B14" s="26" t="s">
        <v>292</v>
      </c>
      <c r="C14" s="26" t="s">
        <v>244</v>
      </c>
      <c r="D14" s="26" t="s">
        <v>308</v>
      </c>
      <c r="E14" s="26">
        <v>30</v>
      </c>
      <c r="F14" s="26">
        <v>168</v>
      </c>
      <c r="G14" s="26">
        <v>258</v>
      </c>
      <c r="H14" s="26">
        <v>165</v>
      </c>
      <c r="I14" s="26">
        <v>108</v>
      </c>
      <c r="J14" s="26">
        <v>198</v>
      </c>
      <c r="K14" s="26">
        <f t="shared" si="2"/>
        <v>729</v>
      </c>
      <c r="L14" s="33">
        <v>9.6</v>
      </c>
      <c r="M14" s="33">
        <v>6</v>
      </c>
      <c r="N14" s="33">
        <v>6.6</v>
      </c>
      <c r="O14" s="33">
        <v>9.5</v>
      </c>
      <c r="P14" s="33">
        <f t="shared" si="9"/>
        <v>31.7</v>
      </c>
      <c r="Q14" s="37">
        <f t="shared" si="10"/>
        <v>1208.4</v>
      </c>
      <c r="R14" s="37">
        <f t="shared" si="11"/>
        <v>759</v>
      </c>
      <c r="S14" s="37">
        <f t="shared" si="12"/>
        <v>761.4</v>
      </c>
      <c r="T14" s="37">
        <f t="shared" si="13"/>
        <v>1138.5</v>
      </c>
      <c r="U14" s="37">
        <f t="shared" si="14"/>
        <v>3867.3</v>
      </c>
    </row>
    <row r="15" customHeight="1" spans="1:21">
      <c r="A15" s="26">
        <v>13</v>
      </c>
      <c r="B15" s="26" t="s">
        <v>292</v>
      </c>
      <c r="C15" s="26" t="s">
        <v>185</v>
      </c>
      <c r="D15" s="26" t="s">
        <v>319</v>
      </c>
      <c r="E15" s="26">
        <v>30</v>
      </c>
      <c r="F15" s="26">
        <v>164</v>
      </c>
      <c r="G15" s="26">
        <v>200</v>
      </c>
      <c r="H15" s="26">
        <v>120</v>
      </c>
      <c r="I15" s="26">
        <v>72</v>
      </c>
      <c r="J15" s="26">
        <v>300</v>
      </c>
      <c r="K15" s="26">
        <f t="shared" si="2"/>
        <v>692</v>
      </c>
      <c r="L15" s="33">
        <v>10</v>
      </c>
      <c r="M15" s="33">
        <v>6</v>
      </c>
      <c r="N15" s="33">
        <v>3.6</v>
      </c>
      <c r="O15" s="33">
        <v>10</v>
      </c>
      <c r="P15" s="33">
        <f t="shared" si="9"/>
        <v>29.6</v>
      </c>
      <c r="Q15" s="37">
        <f t="shared" si="10"/>
        <v>1190</v>
      </c>
      <c r="R15" s="37">
        <f t="shared" si="11"/>
        <v>714</v>
      </c>
      <c r="S15" s="37">
        <f t="shared" si="12"/>
        <v>428.4</v>
      </c>
      <c r="T15" s="37">
        <f t="shared" si="13"/>
        <v>1290</v>
      </c>
      <c r="U15" s="37">
        <f t="shared" si="14"/>
        <v>3622.4</v>
      </c>
    </row>
    <row r="16" customHeight="1" spans="1:21">
      <c r="A16" s="26">
        <v>14</v>
      </c>
      <c r="B16" s="26" t="s">
        <v>292</v>
      </c>
      <c r="C16" s="26" t="s">
        <v>641</v>
      </c>
      <c r="D16" s="26" t="s">
        <v>642</v>
      </c>
      <c r="E16" s="26"/>
      <c r="F16" s="26">
        <v>168</v>
      </c>
      <c r="G16" s="26">
        <v>260</v>
      </c>
      <c r="H16" s="26">
        <v>240</v>
      </c>
      <c r="I16" s="26">
        <v>150</v>
      </c>
      <c r="J16" s="26">
        <v>265</v>
      </c>
      <c r="K16" s="26">
        <f t="shared" si="2"/>
        <v>915</v>
      </c>
      <c r="L16" s="33">
        <v>10.8</v>
      </c>
      <c r="M16" s="33">
        <v>7.6</v>
      </c>
      <c r="N16" s="33">
        <v>4.3</v>
      </c>
      <c r="O16" s="33">
        <v>12</v>
      </c>
      <c r="P16" s="33">
        <f t="shared" si="9"/>
        <v>34.7</v>
      </c>
      <c r="Q16" s="37">
        <f t="shared" si="10"/>
        <v>1329.2</v>
      </c>
      <c r="R16" s="37">
        <f t="shared" si="11"/>
        <v>992.4</v>
      </c>
      <c r="S16" s="37">
        <f t="shared" si="12"/>
        <v>575.7</v>
      </c>
      <c r="T16" s="37">
        <f t="shared" si="13"/>
        <v>1453</v>
      </c>
      <c r="U16" s="37">
        <f t="shared" si="14"/>
        <v>4350.3</v>
      </c>
    </row>
    <row r="17" customHeight="1" spans="1:21">
      <c r="A17" s="26">
        <v>15</v>
      </c>
      <c r="B17" s="26" t="s">
        <v>292</v>
      </c>
      <c r="C17" s="26" t="s">
        <v>190</v>
      </c>
      <c r="D17" s="26" t="s">
        <v>315</v>
      </c>
      <c r="E17" s="26">
        <v>10</v>
      </c>
      <c r="F17" s="26">
        <v>164</v>
      </c>
      <c r="G17" s="26">
        <v>200</v>
      </c>
      <c r="H17" s="26">
        <v>136</v>
      </c>
      <c r="I17" s="26">
        <v>50</v>
      </c>
      <c r="J17" s="26">
        <v>360</v>
      </c>
      <c r="K17" s="26">
        <f t="shared" si="2"/>
        <v>746</v>
      </c>
      <c r="L17" s="33">
        <v>10</v>
      </c>
      <c r="M17" s="33">
        <v>6.8</v>
      </c>
      <c r="N17" s="33">
        <v>2.5</v>
      </c>
      <c r="O17" s="33">
        <v>10</v>
      </c>
      <c r="P17" s="33">
        <f t="shared" si="9"/>
        <v>29.3</v>
      </c>
      <c r="Q17" s="37">
        <f t="shared" si="10"/>
        <v>1190</v>
      </c>
      <c r="R17" s="37">
        <f t="shared" si="11"/>
        <v>809.2</v>
      </c>
      <c r="S17" s="37">
        <f t="shared" si="12"/>
        <v>297.5</v>
      </c>
      <c r="T17" s="37">
        <f t="shared" si="13"/>
        <v>1350</v>
      </c>
      <c r="U17" s="37">
        <f t="shared" si="14"/>
        <v>3646.7</v>
      </c>
    </row>
    <row r="18" customHeight="1" spans="1:21">
      <c r="A18" s="26">
        <v>16</v>
      </c>
      <c r="B18" s="26" t="s">
        <v>292</v>
      </c>
      <c r="C18" s="26" t="s">
        <v>198</v>
      </c>
      <c r="D18" s="26" t="s">
        <v>300</v>
      </c>
      <c r="E18" s="26">
        <v>59</v>
      </c>
      <c r="F18" s="26">
        <v>144</v>
      </c>
      <c r="G18" s="26">
        <v>160</v>
      </c>
      <c r="H18" s="26">
        <v>280</v>
      </c>
      <c r="I18" s="26">
        <v>100</v>
      </c>
      <c r="J18" s="26">
        <v>100</v>
      </c>
      <c r="K18" s="26">
        <f t="shared" si="2"/>
        <v>640</v>
      </c>
      <c r="L18" s="33">
        <v>15</v>
      </c>
      <c r="M18" s="33">
        <v>11</v>
      </c>
      <c r="N18" s="33">
        <v>3.6</v>
      </c>
      <c r="O18" s="33">
        <v>5</v>
      </c>
      <c r="P18" s="33">
        <f t="shared" si="9"/>
        <v>34.6</v>
      </c>
      <c r="Q18" s="37">
        <f t="shared" si="10"/>
        <v>1645</v>
      </c>
      <c r="R18" s="37">
        <f t="shared" si="11"/>
        <v>1369</v>
      </c>
      <c r="S18" s="37">
        <f t="shared" si="12"/>
        <v>456.4</v>
      </c>
      <c r="T18" s="37">
        <f t="shared" si="13"/>
        <v>595</v>
      </c>
      <c r="U18" s="37">
        <f t="shared" si="14"/>
        <v>4065.4</v>
      </c>
    </row>
    <row r="19" customHeight="1" spans="1:21">
      <c r="A19" s="26">
        <v>17</v>
      </c>
      <c r="B19" s="26" t="s">
        <v>292</v>
      </c>
      <c r="C19" s="26" t="s">
        <v>173</v>
      </c>
      <c r="D19" s="26" t="s">
        <v>301</v>
      </c>
      <c r="E19" s="26">
        <v>30</v>
      </c>
      <c r="F19" s="26">
        <v>208</v>
      </c>
      <c r="G19" s="26">
        <v>195</v>
      </c>
      <c r="H19" s="26">
        <v>59</v>
      </c>
      <c r="I19" s="26">
        <v>128</v>
      </c>
      <c r="J19" s="26">
        <v>466</v>
      </c>
      <c r="K19" s="26">
        <f t="shared" si="2"/>
        <v>848</v>
      </c>
      <c r="L19" s="33">
        <v>6.2</v>
      </c>
      <c r="M19" s="33">
        <v>2.9</v>
      </c>
      <c r="N19" s="33">
        <v>7</v>
      </c>
      <c r="O19" s="33">
        <v>16.5</v>
      </c>
      <c r="P19" s="33">
        <f t="shared" si="9"/>
        <v>32.6</v>
      </c>
      <c r="Q19" s="37">
        <f t="shared" si="10"/>
        <v>808.8</v>
      </c>
      <c r="R19" s="37">
        <f t="shared" si="11"/>
        <v>346.1</v>
      </c>
      <c r="S19" s="37">
        <f t="shared" si="12"/>
        <v>821</v>
      </c>
      <c r="T19" s="37">
        <f t="shared" si="13"/>
        <v>2099.5</v>
      </c>
      <c r="U19" s="37">
        <f t="shared" si="14"/>
        <v>4075.4</v>
      </c>
    </row>
    <row r="20" customHeight="1" spans="1:21">
      <c r="A20" s="26">
        <v>18</v>
      </c>
      <c r="B20" s="26" t="s">
        <v>292</v>
      </c>
      <c r="C20" s="26" t="s">
        <v>9</v>
      </c>
      <c r="D20" s="26" t="s">
        <v>291</v>
      </c>
      <c r="E20" s="26">
        <v>18</v>
      </c>
      <c r="F20" s="26">
        <v>172</v>
      </c>
      <c r="G20" s="26">
        <v>180</v>
      </c>
      <c r="H20" s="26">
        <v>180</v>
      </c>
      <c r="I20" s="26">
        <v>60</v>
      </c>
      <c r="J20" s="26">
        <v>300</v>
      </c>
      <c r="K20" s="26">
        <f t="shared" si="2"/>
        <v>720</v>
      </c>
      <c r="L20" s="33">
        <v>8</v>
      </c>
      <c r="M20" s="33">
        <v>7.9</v>
      </c>
      <c r="N20" s="33">
        <v>3.1</v>
      </c>
      <c r="O20" s="33">
        <v>12</v>
      </c>
      <c r="P20" s="33">
        <f t="shared" si="9"/>
        <v>31</v>
      </c>
      <c r="Q20" s="37">
        <f t="shared" si="10"/>
        <v>972</v>
      </c>
      <c r="R20" s="37">
        <f t="shared" si="11"/>
        <v>962.1</v>
      </c>
      <c r="S20" s="37">
        <f t="shared" si="12"/>
        <v>366.9</v>
      </c>
      <c r="T20" s="37">
        <f t="shared" si="13"/>
        <v>1488</v>
      </c>
      <c r="U20" s="37">
        <f t="shared" si="14"/>
        <v>3789</v>
      </c>
    </row>
    <row r="21" customHeight="1" spans="1:21">
      <c r="A21" s="26">
        <v>19</v>
      </c>
      <c r="B21" s="26" t="s">
        <v>292</v>
      </c>
      <c r="C21" s="26" t="s">
        <v>3</v>
      </c>
      <c r="D21" s="26" t="s">
        <v>317</v>
      </c>
      <c r="E21" s="26">
        <v>40</v>
      </c>
      <c r="F21" s="26">
        <v>160</v>
      </c>
      <c r="G21" s="26">
        <v>305</v>
      </c>
      <c r="H21" s="26">
        <v>265</v>
      </c>
      <c r="I21" s="26">
        <v>195</v>
      </c>
      <c r="J21" s="26">
        <v>225</v>
      </c>
      <c r="K21" s="26">
        <f t="shared" si="2"/>
        <v>990</v>
      </c>
      <c r="L21" s="33">
        <v>11.3</v>
      </c>
      <c r="M21" s="33">
        <v>7.7</v>
      </c>
      <c r="N21" s="33">
        <v>7.5</v>
      </c>
      <c r="O21" s="33">
        <v>7</v>
      </c>
      <c r="P21" s="33">
        <f t="shared" si="9"/>
        <v>33.5</v>
      </c>
      <c r="Q21" s="37">
        <f t="shared" si="10"/>
        <v>1423.7</v>
      </c>
      <c r="R21" s="37">
        <f t="shared" si="11"/>
        <v>1027.3</v>
      </c>
      <c r="S21" s="37">
        <f t="shared" si="12"/>
        <v>937.5</v>
      </c>
      <c r="T21" s="37">
        <f t="shared" si="13"/>
        <v>918</v>
      </c>
      <c r="U21" s="37">
        <f t="shared" si="14"/>
        <v>4306.5</v>
      </c>
    </row>
    <row r="22" customHeight="1" spans="1:21">
      <c r="A22" s="26">
        <v>20</v>
      </c>
      <c r="B22" s="26" t="s">
        <v>292</v>
      </c>
      <c r="C22" s="26" t="s">
        <v>186</v>
      </c>
      <c r="D22" s="26" t="s">
        <v>310</v>
      </c>
      <c r="E22" s="26">
        <v>40</v>
      </c>
      <c r="F22" s="26">
        <v>164</v>
      </c>
      <c r="G22" s="26">
        <v>200</v>
      </c>
      <c r="H22" s="26">
        <v>128</v>
      </c>
      <c r="I22" s="26">
        <v>64</v>
      </c>
      <c r="J22" s="26">
        <v>300</v>
      </c>
      <c r="K22" s="26">
        <f t="shared" si="2"/>
        <v>692</v>
      </c>
      <c r="L22" s="33">
        <v>10</v>
      </c>
      <c r="M22" s="33">
        <v>6.4</v>
      </c>
      <c r="N22" s="33">
        <v>3.2</v>
      </c>
      <c r="O22" s="33">
        <v>10</v>
      </c>
      <c r="P22" s="33">
        <f t="shared" si="9"/>
        <v>29.6</v>
      </c>
      <c r="Q22" s="37">
        <f t="shared" si="10"/>
        <v>1190</v>
      </c>
      <c r="R22" s="37">
        <f t="shared" si="11"/>
        <v>761.6</v>
      </c>
      <c r="S22" s="37">
        <f t="shared" si="12"/>
        <v>380.8</v>
      </c>
      <c r="T22" s="37">
        <f t="shared" si="13"/>
        <v>1290</v>
      </c>
      <c r="U22" s="37">
        <f t="shared" si="14"/>
        <v>3622.4</v>
      </c>
    </row>
    <row r="23" customHeight="1" spans="1:21">
      <c r="A23" s="26">
        <v>21</v>
      </c>
      <c r="B23" s="26" t="s">
        <v>292</v>
      </c>
      <c r="C23" s="26" t="s">
        <v>202</v>
      </c>
      <c r="D23" s="26" t="s">
        <v>320</v>
      </c>
      <c r="E23" s="26">
        <v>52</v>
      </c>
      <c r="F23" s="26">
        <v>208</v>
      </c>
      <c r="G23" s="26">
        <v>260</v>
      </c>
      <c r="H23" s="26">
        <v>200</v>
      </c>
      <c r="I23" s="26">
        <v>140</v>
      </c>
      <c r="J23" s="26">
        <v>400</v>
      </c>
      <c r="K23" s="26">
        <f t="shared" si="2"/>
        <v>1000</v>
      </c>
      <c r="L23" s="33">
        <v>8</v>
      </c>
      <c r="M23" s="33">
        <v>6.6</v>
      </c>
      <c r="N23" s="33">
        <v>5.4</v>
      </c>
      <c r="O23" s="33">
        <v>15</v>
      </c>
      <c r="P23" s="33">
        <f t="shared" si="9"/>
        <v>35</v>
      </c>
      <c r="Q23" s="37">
        <f t="shared" si="10"/>
        <v>1052</v>
      </c>
      <c r="R23" s="37">
        <f t="shared" si="11"/>
        <v>853.4</v>
      </c>
      <c r="S23" s="37">
        <f t="shared" si="12"/>
        <v>674.6</v>
      </c>
      <c r="T23" s="37">
        <f t="shared" si="13"/>
        <v>1885</v>
      </c>
      <c r="U23" s="37">
        <f t="shared" si="14"/>
        <v>4465</v>
      </c>
    </row>
    <row r="24" customHeight="1" spans="1:21">
      <c r="A24" s="26">
        <v>22</v>
      </c>
      <c r="B24" s="26" t="s">
        <v>292</v>
      </c>
      <c r="C24" s="26" t="s">
        <v>189</v>
      </c>
      <c r="D24" s="26" t="s">
        <v>353</v>
      </c>
      <c r="E24" s="26"/>
      <c r="F24" s="26">
        <v>152</v>
      </c>
      <c r="G24" s="26">
        <v>160</v>
      </c>
      <c r="H24" s="26">
        <v>180</v>
      </c>
      <c r="I24" s="26">
        <v>70</v>
      </c>
      <c r="J24" s="26">
        <v>300</v>
      </c>
      <c r="K24" s="26">
        <f t="shared" si="2"/>
        <v>710</v>
      </c>
      <c r="L24" s="33">
        <v>10</v>
      </c>
      <c r="M24" s="33">
        <v>8.6</v>
      </c>
      <c r="N24" s="33">
        <v>3.1</v>
      </c>
      <c r="O24" s="33">
        <v>8</v>
      </c>
      <c r="P24" s="33">
        <f t="shared" si="9"/>
        <v>29.7</v>
      </c>
      <c r="Q24" s="37">
        <f t="shared" si="10"/>
        <v>1150</v>
      </c>
      <c r="R24" s="37">
        <f t="shared" si="11"/>
        <v>1031.4</v>
      </c>
      <c r="S24" s="37">
        <f t="shared" si="12"/>
        <v>376.9</v>
      </c>
      <c r="T24" s="37">
        <f t="shared" si="13"/>
        <v>1092</v>
      </c>
      <c r="U24" s="37">
        <f t="shared" si="14"/>
        <v>3650.3</v>
      </c>
    </row>
    <row r="25" customHeight="1" spans="1:21">
      <c r="A25" s="26">
        <v>24</v>
      </c>
      <c r="B25" s="26" t="s">
        <v>292</v>
      </c>
      <c r="C25" s="26" t="s">
        <v>169</v>
      </c>
      <c r="D25" s="26" t="s">
        <v>282</v>
      </c>
      <c r="E25" s="26">
        <v>23</v>
      </c>
      <c r="F25" s="26">
        <v>168</v>
      </c>
      <c r="G25" s="26">
        <v>380</v>
      </c>
      <c r="H25" s="26">
        <v>120</v>
      </c>
      <c r="I25" s="26">
        <v>100</v>
      </c>
      <c r="J25" s="26">
        <v>300</v>
      </c>
      <c r="K25" s="26">
        <f t="shared" ref="K25" si="15">J25+I25+H25+G25</f>
        <v>900</v>
      </c>
      <c r="L25" s="33">
        <v>14</v>
      </c>
      <c r="M25" s="33">
        <v>6.5</v>
      </c>
      <c r="N25" s="33">
        <v>4.2</v>
      </c>
      <c r="O25" s="33">
        <v>7</v>
      </c>
      <c r="P25" s="33">
        <f t="shared" ref="P25" si="16">O25+N25+M25+L25</f>
        <v>31.7</v>
      </c>
      <c r="Q25" s="37">
        <f t="shared" si="10"/>
        <v>1766</v>
      </c>
      <c r="R25" s="37">
        <f t="shared" si="11"/>
        <v>763.5</v>
      </c>
      <c r="S25" s="37">
        <f t="shared" si="12"/>
        <v>515.8</v>
      </c>
      <c r="T25" s="37">
        <f t="shared" si="13"/>
        <v>993</v>
      </c>
      <c r="U25" s="37">
        <f t="shared" si="14"/>
        <v>4038.3</v>
      </c>
    </row>
    <row r="26" customHeight="1" spans="1:21">
      <c r="A26" s="26">
        <v>25</v>
      </c>
      <c r="B26" s="26" t="s">
        <v>292</v>
      </c>
      <c r="C26" s="26" t="s">
        <v>7</v>
      </c>
      <c r="D26" s="26" t="s">
        <v>334</v>
      </c>
      <c r="E26" s="26"/>
      <c r="F26" s="26">
        <v>204</v>
      </c>
      <c r="G26" s="26">
        <v>188</v>
      </c>
      <c r="H26" s="26">
        <v>240</v>
      </c>
      <c r="I26" s="26">
        <v>80</v>
      </c>
      <c r="J26" s="26">
        <v>80</v>
      </c>
      <c r="K26" s="26">
        <f t="shared" ref="K26:K49" si="17">J26+I26+H26+G26</f>
        <v>588</v>
      </c>
      <c r="L26" s="33">
        <v>10.9</v>
      </c>
      <c r="M26" s="33">
        <v>9.4</v>
      </c>
      <c r="N26" s="33">
        <v>5.2</v>
      </c>
      <c r="O26" s="33">
        <v>9</v>
      </c>
      <c r="P26" s="33">
        <f t="shared" ref="P26:P49" si="18">O26+N26+M26+L26</f>
        <v>34.5</v>
      </c>
      <c r="Q26" s="37">
        <f t="shared" si="10"/>
        <v>1267.1</v>
      </c>
      <c r="R26" s="37">
        <f t="shared" si="11"/>
        <v>1170.6</v>
      </c>
      <c r="S26" s="37">
        <f t="shared" si="12"/>
        <v>594.8</v>
      </c>
      <c r="T26" s="37">
        <f t="shared" si="13"/>
        <v>971</v>
      </c>
      <c r="U26" s="37">
        <f t="shared" si="14"/>
        <v>4003.5</v>
      </c>
    </row>
    <row r="27" customHeight="1" spans="1:21">
      <c r="A27" s="26">
        <v>26</v>
      </c>
      <c r="B27" s="26" t="s">
        <v>292</v>
      </c>
      <c r="C27" s="26" t="s">
        <v>247</v>
      </c>
      <c r="D27" s="26" t="s">
        <v>351</v>
      </c>
      <c r="E27" s="26"/>
      <c r="F27" s="26">
        <v>168</v>
      </c>
      <c r="G27" s="26">
        <v>280</v>
      </c>
      <c r="H27" s="26">
        <v>100</v>
      </c>
      <c r="I27" s="26">
        <v>100</v>
      </c>
      <c r="J27" s="26">
        <v>380</v>
      </c>
      <c r="K27" s="26">
        <f t="shared" si="17"/>
        <v>860</v>
      </c>
      <c r="L27" s="33">
        <v>11</v>
      </c>
      <c r="M27" s="33">
        <v>2.1</v>
      </c>
      <c r="N27" s="33">
        <v>2.2</v>
      </c>
      <c r="O27" s="33">
        <v>17</v>
      </c>
      <c r="P27" s="33">
        <f t="shared" si="18"/>
        <v>32.3</v>
      </c>
      <c r="Q27" s="37">
        <f t="shared" si="10"/>
        <v>1369</v>
      </c>
      <c r="R27" s="37">
        <f t="shared" si="11"/>
        <v>307.9</v>
      </c>
      <c r="S27" s="37">
        <f t="shared" si="12"/>
        <v>317.8</v>
      </c>
      <c r="T27" s="37">
        <f t="shared" si="13"/>
        <v>2063</v>
      </c>
      <c r="U27" s="37">
        <f t="shared" si="14"/>
        <v>4057.7</v>
      </c>
    </row>
    <row r="28" customHeight="1" spans="1:21">
      <c r="A28" s="26">
        <v>27</v>
      </c>
      <c r="B28" s="26" t="s">
        <v>292</v>
      </c>
      <c r="C28" s="26" t="s">
        <v>191</v>
      </c>
      <c r="D28" s="26" t="s">
        <v>296</v>
      </c>
      <c r="E28" s="26">
        <v>52</v>
      </c>
      <c r="F28" s="26">
        <v>176</v>
      </c>
      <c r="G28" s="26">
        <v>10</v>
      </c>
      <c r="H28" s="26">
        <v>10</v>
      </c>
      <c r="I28" s="26">
        <v>10</v>
      </c>
      <c r="J28" s="26">
        <v>0</v>
      </c>
      <c r="K28" s="26">
        <f t="shared" si="17"/>
        <v>30</v>
      </c>
      <c r="L28" s="33">
        <v>10</v>
      </c>
      <c r="M28" s="33">
        <v>7.1</v>
      </c>
      <c r="N28" s="33">
        <v>2.3</v>
      </c>
      <c r="O28" s="33">
        <v>21</v>
      </c>
      <c r="P28" s="33">
        <f t="shared" si="18"/>
        <v>40.4</v>
      </c>
      <c r="Q28" s="37">
        <f t="shared" si="10"/>
        <v>1000</v>
      </c>
      <c r="R28" s="37">
        <f t="shared" si="11"/>
        <v>712.9</v>
      </c>
      <c r="S28" s="37">
        <f t="shared" si="12"/>
        <v>237.7</v>
      </c>
      <c r="T28" s="37">
        <f t="shared" si="13"/>
        <v>2079</v>
      </c>
      <c r="U28" s="37">
        <f t="shared" si="14"/>
        <v>4029.6</v>
      </c>
    </row>
    <row r="29" customHeight="1" spans="1:21">
      <c r="A29" s="26">
        <v>28</v>
      </c>
      <c r="B29" s="26" t="s">
        <v>292</v>
      </c>
      <c r="C29" s="26" t="s">
        <v>183</v>
      </c>
      <c r="D29" s="26" t="s">
        <v>332</v>
      </c>
      <c r="E29" s="26"/>
      <c r="F29" s="26">
        <v>176</v>
      </c>
      <c r="G29" s="26">
        <v>499</v>
      </c>
      <c r="H29" s="26">
        <v>15</v>
      </c>
      <c r="I29" s="26">
        <v>199</v>
      </c>
      <c r="J29" s="26">
        <v>10</v>
      </c>
      <c r="K29" s="26">
        <f t="shared" si="17"/>
        <v>723</v>
      </c>
      <c r="L29" s="33">
        <v>23</v>
      </c>
      <c r="M29" s="33">
        <v>3.9</v>
      </c>
      <c r="N29" s="33">
        <v>5.7</v>
      </c>
      <c r="O29" s="33">
        <v>2.9</v>
      </c>
      <c r="P29" s="33">
        <f t="shared" si="18"/>
        <v>35.5</v>
      </c>
      <c r="Q29" s="37">
        <f t="shared" si="10"/>
        <v>2776</v>
      </c>
      <c r="R29" s="37">
        <f t="shared" si="11"/>
        <v>401.1</v>
      </c>
      <c r="S29" s="37">
        <f t="shared" si="12"/>
        <v>763.3</v>
      </c>
      <c r="T29" s="37">
        <f t="shared" si="13"/>
        <v>297.1</v>
      </c>
      <c r="U29" s="37">
        <f t="shared" si="14"/>
        <v>4237.5</v>
      </c>
    </row>
    <row r="30" customHeight="1" spans="1:21">
      <c r="A30" s="26">
        <v>29</v>
      </c>
      <c r="B30" s="26" t="s">
        <v>292</v>
      </c>
      <c r="C30" s="26" t="s">
        <v>175</v>
      </c>
      <c r="D30" s="26" t="s">
        <v>277</v>
      </c>
      <c r="E30" s="26">
        <v>12</v>
      </c>
      <c r="F30" s="26">
        <v>156</v>
      </c>
      <c r="G30" s="26">
        <v>300</v>
      </c>
      <c r="H30" s="26">
        <v>118</v>
      </c>
      <c r="I30" s="26">
        <v>70</v>
      </c>
      <c r="J30" s="26">
        <v>380</v>
      </c>
      <c r="K30" s="26">
        <f t="shared" si="17"/>
        <v>868</v>
      </c>
      <c r="L30" s="33">
        <v>7</v>
      </c>
      <c r="M30" s="33">
        <v>6.3</v>
      </c>
      <c r="N30" s="33">
        <v>3.8</v>
      </c>
      <c r="O30" s="33">
        <v>12</v>
      </c>
      <c r="P30" s="33">
        <f t="shared" si="18"/>
        <v>29.1</v>
      </c>
      <c r="Q30" s="37">
        <f t="shared" si="10"/>
        <v>993</v>
      </c>
      <c r="R30" s="37">
        <f t="shared" si="11"/>
        <v>741.7</v>
      </c>
      <c r="S30" s="37">
        <f t="shared" si="12"/>
        <v>446.2</v>
      </c>
      <c r="T30" s="37">
        <f t="shared" si="13"/>
        <v>1568</v>
      </c>
      <c r="U30" s="37">
        <f t="shared" si="14"/>
        <v>3748.9</v>
      </c>
    </row>
    <row r="31" customHeight="1" spans="1:21">
      <c r="A31" s="26">
        <v>30</v>
      </c>
      <c r="B31" s="26" t="s">
        <v>292</v>
      </c>
      <c r="C31" s="26" t="s">
        <v>181</v>
      </c>
      <c r="D31" s="26" t="s">
        <v>307</v>
      </c>
      <c r="E31" s="26">
        <v>16</v>
      </c>
      <c r="F31" s="26">
        <v>176</v>
      </c>
      <c r="G31" s="26">
        <v>500</v>
      </c>
      <c r="H31" s="26">
        <v>200</v>
      </c>
      <c r="I31" s="26">
        <v>180</v>
      </c>
      <c r="J31" s="26">
        <v>680</v>
      </c>
      <c r="K31" s="26">
        <f t="shared" si="17"/>
        <v>1560</v>
      </c>
      <c r="L31" s="33">
        <v>8</v>
      </c>
      <c r="M31" s="33">
        <v>4.1</v>
      </c>
      <c r="N31" s="33">
        <v>2.5</v>
      </c>
      <c r="O31" s="33">
        <v>8</v>
      </c>
      <c r="P31" s="33">
        <f t="shared" si="18"/>
        <v>22.6</v>
      </c>
      <c r="Q31" s="37">
        <f t="shared" si="10"/>
        <v>1292</v>
      </c>
      <c r="R31" s="37">
        <f t="shared" si="11"/>
        <v>605.9</v>
      </c>
      <c r="S31" s="37">
        <f t="shared" si="12"/>
        <v>427.5</v>
      </c>
      <c r="T31" s="37">
        <f t="shared" si="13"/>
        <v>1472</v>
      </c>
      <c r="U31" s="37">
        <f t="shared" si="14"/>
        <v>3797.4</v>
      </c>
    </row>
    <row r="32" customHeight="1" spans="1:21">
      <c r="A32" s="26">
        <v>31</v>
      </c>
      <c r="B32" s="26" t="s">
        <v>292</v>
      </c>
      <c r="C32" s="26" t="s">
        <v>10</v>
      </c>
      <c r="D32" s="26" t="s">
        <v>291</v>
      </c>
      <c r="E32" s="26">
        <v>18</v>
      </c>
      <c r="F32" s="26">
        <v>164</v>
      </c>
      <c r="G32" s="26">
        <v>199</v>
      </c>
      <c r="H32" s="26">
        <v>299</v>
      </c>
      <c r="I32" s="26">
        <v>99</v>
      </c>
      <c r="J32" s="26">
        <v>199</v>
      </c>
      <c r="K32" s="26">
        <f t="shared" si="17"/>
        <v>796</v>
      </c>
      <c r="L32" s="33">
        <v>9</v>
      </c>
      <c r="M32" s="33">
        <v>11.5</v>
      </c>
      <c r="N32" s="33">
        <v>3.6</v>
      </c>
      <c r="O32" s="33">
        <v>6</v>
      </c>
      <c r="P32" s="33">
        <f t="shared" si="18"/>
        <v>30.1</v>
      </c>
      <c r="Q32" s="37">
        <f t="shared" si="10"/>
        <v>1090</v>
      </c>
      <c r="R32" s="37">
        <f t="shared" si="11"/>
        <v>1437.5</v>
      </c>
      <c r="S32" s="37">
        <f t="shared" si="12"/>
        <v>455.4</v>
      </c>
      <c r="T32" s="37">
        <f t="shared" si="13"/>
        <v>793</v>
      </c>
      <c r="U32" s="37">
        <f t="shared" si="14"/>
        <v>3775.9</v>
      </c>
    </row>
    <row r="33" customHeight="1" spans="1:21">
      <c r="A33" s="26">
        <v>32</v>
      </c>
      <c r="B33" s="26" t="s">
        <v>292</v>
      </c>
      <c r="C33" s="26" t="s">
        <v>164</v>
      </c>
      <c r="D33" s="26" t="s">
        <v>294</v>
      </c>
      <c r="E33" s="26">
        <v>25</v>
      </c>
      <c r="F33" s="26">
        <v>196</v>
      </c>
      <c r="G33" s="26">
        <v>240</v>
      </c>
      <c r="H33" s="26">
        <v>102</v>
      </c>
      <c r="I33" s="26">
        <v>92</v>
      </c>
      <c r="J33" s="26">
        <v>420</v>
      </c>
      <c r="K33" s="26">
        <f t="shared" si="17"/>
        <v>854</v>
      </c>
      <c r="L33" s="33">
        <v>11</v>
      </c>
      <c r="M33" s="33">
        <v>5.1</v>
      </c>
      <c r="N33" s="33">
        <v>4.1</v>
      </c>
      <c r="O33" s="33">
        <v>15</v>
      </c>
      <c r="P33" s="33">
        <f t="shared" si="18"/>
        <v>35.2</v>
      </c>
      <c r="Q33" s="37">
        <f t="shared" si="10"/>
        <v>1329</v>
      </c>
      <c r="R33" s="37">
        <f t="shared" si="11"/>
        <v>606.9</v>
      </c>
      <c r="S33" s="37">
        <f t="shared" si="12"/>
        <v>497.9</v>
      </c>
      <c r="T33" s="37">
        <f t="shared" si="13"/>
        <v>1905</v>
      </c>
      <c r="U33" s="37">
        <f t="shared" si="14"/>
        <v>4338.8</v>
      </c>
    </row>
    <row r="34" customHeight="1" spans="1:21">
      <c r="A34" s="26">
        <v>33</v>
      </c>
      <c r="B34" s="26" t="s">
        <v>292</v>
      </c>
      <c r="C34" s="26" t="s">
        <v>31</v>
      </c>
      <c r="D34" s="26" t="s">
        <v>643</v>
      </c>
      <c r="E34" s="26"/>
      <c r="F34" s="26">
        <v>168</v>
      </c>
      <c r="G34" s="26">
        <v>245</v>
      </c>
      <c r="H34" s="26">
        <v>325</v>
      </c>
      <c r="I34" s="26">
        <v>105</v>
      </c>
      <c r="J34" s="26">
        <v>180</v>
      </c>
      <c r="K34" s="26">
        <f t="shared" si="17"/>
        <v>855</v>
      </c>
      <c r="L34" s="33">
        <v>12.7</v>
      </c>
      <c r="M34" s="33">
        <v>7.5</v>
      </c>
      <c r="N34" s="33">
        <v>6.9</v>
      </c>
      <c r="O34" s="33">
        <v>7.2</v>
      </c>
      <c r="P34" s="33">
        <f t="shared" si="18"/>
        <v>34.3</v>
      </c>
      <c r="Q34" s="37">
        <f t="shared" si="10"/>
        <v>1502.3</v>
      </c>
      <c r="R34" s="37">
        <f t="shared" si="11"/>
        <v>1067.5</v>
      </c>
      <c r="S34" s="37">
        <f t="shared" si="12"/>
        <v>788.1</v>
      </c>
      <c r="T34" s="37">
        <f t="shared" si="13"/>
        <v>892.8</v>
      </c>
      <c r="U34" s="37">
        <f t="shared" si="14"/>
        <v>4250.7</v>
      </c>
    </row>
    <row r="35" customHeight="1" spans="1:21">
      <c r="A35" s="26">
        <v>34</v>
      </c>
      <c r="B35" s="26" t="s">
        <v>292</v>
      </c>
      <c r="C35" s="26" t="s">
        <v>178</v>
      </c>
      <c r="D35" s="26" t="s">
        <v>338</v>
      </c>
      <c r="E35" s="26"/>
      <c r="F35" s="26">
        <v>180</v>
      </c>
      <c r="G35" s="26">
        <v>180</v>
      </c>
      <c r="H35" s="26">
        <v>100</v>
      </c>
      <c r="I35" s="26">
        <v>120</v>
      </c>
      <c r="J35" s="26">
        <v>360</v>
      </c>
      <c r="K35" s="26">
        <f t="shared" si="17"/>
        <v>760</v>
      </c>
      <c r="L35" s="33">
        <v>10</v>
      </c>
      <c r="M35" s="33">
        <v>4.6</v>
      </c>
      <c r="N35" s="33">
        <v>6.5</v>
      </c>
      <c r="O35" s="33">
        <v>12</v>
      </c>
      <c r="P35" s="33">
        <f t="shared" si="18"/>
        <v>33.1</v>
      </c>
      <c r="Q35" s="37">
        <f t="shared" si="10"/>
        <v>1170</v>
      </c>
      <c r="R35" s="37">
        <f t="shared" si="11"/>
        <v>555.4</v>
      </c>
      <c r="S35" s="37">
        <f t="shared" si="12"/>
        <v>763.5</v>
      </c>
      <c r="T35" s="37">
        <f t="shared" si="13"/>
        <v>1548</v>
      </c>
      <c r="U35" s="37">
        <f t="shared" si="14"/>
        <v>4036.9</v>
      </c>
    </row>
    <row r="36" customHeight="1" spans="1:21">
      <c r="A36" s="26">
        <v>35</v>
      </c>
      <c r="B36" s="26" t="s">
        <v>292</v>
      </c>
      <c r="C36" s="26" t="s">
        <v>644</v>
      </c>
      <c r="D36" s="26" t="s">
        <v>297</v>
      </c>
      <c r="E36" s="26">
        <v>68</v>
      </c>
      <c r="F36" s="26">
        <v>172</v>
      </c>
      <c r="G36" s="26">
        <v>410</v>
      </c>
      <c r="H36" s="26">
        <v>64</v>
      </c>
      <c r="I36" s="26">
        <v>165</v>
      </c>
      <c r="J36" s="26">
        <v>100</v>
      </c>
      <c r="K36" s="26">
        <f t="shared" si="17"/>
        <v>739</v>
      </c>
      <c r="L36" s="33">
        <v>13</v>
      </c>
      <c r="M36" s="33">
        <v>3.9</v>
      </c>
      <c r="N36" s="33">
        <v>6.1</v>
      </c>
      <c r="O36" s="33">
        <v>7</v>
      </c>
      <c r="P36" s="33">
        <f t="shared" si="18"/>
        <v>30</v>
      </c>
      <c r="Q36" s="37">
        <f t="shared" si="10"/>
        <v>1697</v>
      </c>
      <c r="R36" s="37">
        <f t="shared" si="11"/>
        <v>450.1</v>
      </c>
      <c r="S36" s="37">
        <f t="shared" si="12"/>
        <v>768.9</v>
      </c>
      <c r="T36" s="37">
        <f t="shared" si="13"/>
        <v>793</v>
      </c>
      <c r="U36" s="37">
        <f t="shared" si="14"/>
        <v>3709</v>
      </c>
    </row>
    <row r="37" customHeight="1" spans="1:21">
      <c r="A37" s="26">
        <v>36</v>
      </c>
      <c r="B37" s="26" t="s">
        <v>292</v>
      </c>
      <c r="C37" s="26" t="s">
        <v>4</v>
      </c>
      <c r="D37" s="26" t="s">
        <v>645</v>
      </c>
      <c r="E37" s="26"/>
      <c r="F37" s="26">
        <v>208</v>
      </c>
      <c r="G37" s="26">
        <v>300</v>
      </c>
      <c r="H37" s="26">
        <v>180</v>
      </c>
      <c r="I37" s="26">
        <v>150</v>
      </c>
      <c r="J37" s="26">
        <v>350</v>
      </c>
      <c r="K37" s="26">
        <f t="shared" si="17"/>
        <v>980</v>
      </c>
      <c r="L37" s="33">
        <v>10</v>
      </c>
      <c r="M37" s="33">
        <v>9.2</v>
      </c>
      <c r="N37" s="33">
        <v>3.2</v>
      </c>
      <c r="O37" s="33">
        <v>12</v>
      </c>
      <c r="P37" s="33">
        <f t="shared" si="18"/>
        <v>34.4</v>
      </c>
      <c r="Q37" s="37">
        <f t="shared" si="10"/>
        <v>1290</v>
      </c>
      <c r="R37" s="37">
        <f t="shared" si="11"/>
        <v>1090.8</v>
      </c>
      <c r="S37" s="37">
        <f t="shared" si="12"/>
        <v>466.8</v>
      </c>
      <c r="T37" s="37">
        <f t="shared" si="13"/>
        <v>1538</v>
      </c>
      <c r="U37" s="37">
        <f t="shared" ref="U37:U65" si="19">SUM(Q37:T37)</f>
        <v>4385.6</v>
      </c>
    </row>
    <row r="38" customHeight="1" spans="1:21">
      <c r="A38" s="26">
        <v>37</v>
      </c>
      <c r="B38" s="26" t="s">
        <v>292</v>
      </c>
      <c r="C38" s="26" t="s">
        <v>184</v>
      </c>
      <c r="D38" s="26" t="s">
        <v>296</v>
      </c>
      <c r="E38" s="26">
        <v>52</v>
      </c>
      <c r="F38" s="45">
        <v>156</v>
      </c>
      <c r="G38" s="26">
        <v>160</v>
      </c>
      <c r="H38" s="26">
        <v>96</v>
      </c>
      <c r="I38" s="26">
        <v>82</v>
      </c>
      <c r="J38" s="26">
        <v>480</v>
      </c>
      <c r="K38" s="26">
        <f t="shared" si="17"/>
        <v>818</v>
      </c>
      <c r="L38" s="33">
        <v>8</v>
      </c>
      <c r="M38" s="33">
        <v>4.5</v>
      </c>
      <c r="N38" s="33">
        <v>4.1</v>
      </c>
      <c r="O38" s="33">
        <v>12</v>
      </c>
      <c r="P38" s="33">
        <f t="shared" si="18"/>
        <v>28.6</v>
      </c>
      <c r="Q38" s="37">
        <f t="shared" si="10"/>
        <v>952</v>
      </c>
      <c r="R38" s="37">
        <f t="shared" si="11"/>
        <v>541.5</v>
      </c>
      <c r="S38" s="37">
        <f t="shared" si="12"/>
        <v>487.9</v>
      </c>
      <c r="T38" s="37">
        <f t="shared" si="13"/>
        <v>1668</v>
      </c>
      <c r="U38" s="37">
        <f t="shared" si="19"/>
        <v>3649.4</v>
      </c>
    </row>
    <row r="39" customHeight="1" spans="1:21">
      <c r="A39" s="26">
        <v>38</v>
      </c>
      <c r="B39" s="26" t="s">
        <v>292</v>
      </c>
      <c r="C39" s="26" t="s">
        <v>166</v>
      </c>
      <c r="D39" s="26" t="s">
        <v>299</v>
      </c>
      <c r="E39" s="26">
        <v>50</v>
      </c>
      <c r="F39" s="26">
        <v>180</v>
      </c>
      <c r="G39" s="26">
        <v>180</v>
      </c>
      <c r="H39" s="26">
        <v>150</v>
      </c>
      <c r="I39" s="26">
        <v>80</v>
      </c>
      <c r="J39" s="26">
        <v>360</v>
      </c>
      <c r="K39" s="26">
        <f t="shared" si="17"/>
        <v>770</v>
      </c>
      <c r="L39" s="33">
        <v>10</v>
      </c>
      <c r="M39" s="33">
        <v>7.1</v>
      </c>
      <c r="N39" s="33">
        <v>4</v>
      </c>
      <c r="O39" s="33">
        <v>12</v>
      </c>
      <c r="P39" s="33">
        <f t="shared" si="18"/>
        <v>33.1</v>
      </c>
      <c r="Q39" s="37">
        <f t="shared" si="10"/>
        <v>1170</v>
      </c>
      <c r="R39" s="37">
        <f t="shared" si="11"/>
        <v>852.9</v>
      </c>
      <c r="S39" s="37">
        <f t="shared" si="12"/>
        <v>476</v>
      </c>
      <c r="T39" s="37">
        <f t="shared" si="13"/>
        <v>1548</v>
      </c>
      <c r="U39" s="37">
        <f t="shared" si="19"/>
        <v>4046.9</v>
      </c>
    </row>
    <row r="40" customHeight="1" spans="1:21">
      <c r="A40" s="26">
        <v>39</v>
      </c>
      <c r="B40" s="26" t="s">
        <v>292</v>
      </c>
      <c r="C40" s="26" t="s">
        <v>179</v>
      </c>
      <c r="D40" s="26" t="s">
        <v>315</v>
      </c>
      <c r="E40" s="26">
        <v>10</v>
      </c>
      <c r="F40" s="26">
        <v>180</v>
      </c>
      <c r="G40" s="26">
        <v>300</v>
      </c>
      <c r="H40" s="26">
        <v>200</v>
      </c>
      <c r="I40" s="26">
        <v>1</v>
      </c>
      <c r="J40" s="26">
        <v>360</v>
      </c>
      <c r="K40" s="26">
        <f t="shared" si="17"/>
        <v>861</v>
      </c>
      <c r="L40" s="33">
        <v>8</v>
      </c>
      <c r="M40" s="33">
        <v>9.1</v>
      </c>
      <c r="N40" s="33">
        <v>0</v>
      </c>
      <c r="O40" s="33">
        <v>15</v>
      </c>
      <c r="P40" s="33">
        <f t="shared" si="18"/>
        <v>32.1</v>
      </c>
      <c r="Q40" s="37">
        <f t="shared" si="10"/>
        <v>1092</v>
      </c>
      <c r="R40" s="37">
        <f t="shared" si="11"/>
        <v>1100.9</v>
      </c>
      <c r="S40" s="37">
        <f t="shared" si="12"/>
        <v>1</v>
      </c>
      <c r="T40" s="37">
        <f t="shared" si="13"/>
        <v>1845</v>
      </c>
      <c r="U40" s="37">
        <f t="shared" si="19"/>
        <v>4038.9</v>
      </c>
    </row>
    <row r="41" customHeight="1" spans="1:21">
      <c r="A41" s="26">
        <v>40</v>
      </c>
      <c r="B41" s="26" t="s">
        <v>292</v>
      </c>
      <c r="C41" s="26" t="s">
        <v>168</v>
      </c>
      <c r="D41" s="26" t="s">
        <v>303</v>
      </c>
      <c r="E41" s="26">
        <v>56</v>
      </c>
      <c r="F41" s="26">
        <v>164</v>
      </c>
      <c r="G41" s="26">
        <v>300</v>
      </c>
      <c r="H41" s="26">
        <v>200</v>
      </c>
      <c r="I41" s="26">
        <v>125</v>
      </c>
      <c r="J41" s="26">
        <v>213</v>
      </c>
      <c r="K41" s="26">
        <f t="shared" si="17"/>
        <v>838</v>
      </c>
      <c r="L41" s="33">
        <v>11</v>
      </c>
      <c r="M41" s="33">
        <v>8.8</v>
      </c>
      <c r="N41" s="33">
        <v>5.2</v>
      </c>
      <c r="O41" s="33">
        <v>9</v>
      </c>
      <c r="P41" s="33">
        <f t="shared" si="18"/>
        <v>34</v>
      </c>
      <c r="Q41" s="37">
        <f t="shared" si="10"/>
        <v>1389</v>
      </c>
      <c r="R41" s="37">
        <f t="shared" si="11"/>
        <v>1071.2</v>
      </c>
      <c r="S41" s="37">
        <f t="shared" si="12"/>
        <v>639.8</v>
      </c>
      <c r="T41" s="37">
        <f t="shared" si="13"/>
        <v>1104</v>
      </c>
      <c r="U41" s="37">
        <f t="shared" si="19"/>
        <v>4204</v>
      </c>
    </row>
    <row r="42" customHeight="1" spans="1:21">
      <c r="A42" s="26">
        <v>41</v>
      </c>
      <c r="B42" s="26" t="s">
        <v>292</v>
      </c>
      <c r="C42" s="26" t="s">
        <v>199</v>
      </c>
      <c r="D42" s="26" t="s">
        <v>300</v>
      </c>
      <c r="E42" s="26">
        <v>59</v>
      </c>
      <c r="F42" s="26">
        <v>168</v>
      </c>
      <c r="G42" s="26">
        <v>188</v>
      </c>
      <c r="H42" s="26">
        <v>220</v>
      </c>
      <c r="I42" s="26">
        <v>100</v>
      </c>
      <c r="J42" s="26">
        <v>100</v>
      </c>
      <c r="K42" s="26">
        <f t="shared" si="17"/>
        <v>608</v>
      </c>
      <c r="L42" s="33">
        <v>14.9</v>
      </c>
      <c r="M42" s="33">
        <v>10</v>
      </c>
      <c r="N42" s="33">
        <v>4.6</v>
      </c>
      <c r="O42" s="33">
        <v>5</v>
      </c>
      <c r="P42" s="33">
        <f t="shared" si="18"/>
        <v>34.5</v>
      </c>
      <c r="Q42" s="37">
        <f t="shared" si="10"/>
        <v>1663.1</v>
      </c>
      <c r="R42" s="37">
        <f t="shared" si="11"/>
        <v>1210</v>
      </c>
      <c r="S42" s="37">
        <f t="shared" si="12"/>
        <v>555.4</v>
      </c>
      <c r="T42" s="37">
        <f t="shared" si="13"/>
        <v>595</v>
      </c>
      <c r="U42" s="37">
        <f t="shared" si="19"/>
        <v>4023.5</v>
      </c>
    </row>
    <row r="43" customHeight="1" spans="1:21">
      <c r="A43" s="26">
        <v>42</v>
      </c>
      <c r="B43" s="26" t="s">
        <v>292</v>
      </c>
      <c r="C43" s="26" t="s">
        <v>176</v>
      </c>
      <c r="D43" s="26" t="s">
        <v>309</v>
      </c>
      <c r="E43" s="26">
        <v>33</v>
      </c>
      <c r="F43" s="26">
        <v>164</v>
      </c>
      <c r="G43" s="26">
        <v>300</v>
      </c>
      <c r="H43" s="26">
        <v>120</v>
      </c>
      <c r="I43" s="26">
        <v>70</v>
      </c>
      <c r="J43" s="26">
        <v>200</v>
      </c>
      <c r="K43" s="26">
        <f t="shared" si="17"/>
        <v>690</v>
      </c>
      <c r="L43" s="33">
        <v>12</v>
      </c>
      <c r="M43" s="33">
        <v>6.1</v>
      </c>
      <c r="N43" s="33">
        <v>3.5</v>
      </c>
      <c r="O43" s="33">
        <v>8</v>
      </c>
      <c r="P43" s="33">
        <f t="shared" si="18"/>
        <v>29.6</v>
      </c>
      <c r="Q43" s="37">
        <f t="shared" si="10"/>
        <v>1488</v>
      </c>
      <c r="R43" s="37">
        <f t="shared" si="11"/>
        <v>723.9</v>
      </c>
      <c r="S43" s="37">
        <f t="shared" si="12"/>
        <v>416.5</v>
      </c>
      <c r="T43" s="37">
        <f t="shared" si="13"/>
        <v>992</v>
      </c>
      <c r="U43" s="37">
        <f t="shared" si="19"/>
        <v>3620.4</v>
      </c>
    </row>
    <row r="44" customHeight="1" spans="1:21">
      <c r="A44" s="26">
        <v>43</v>
      </c>
      <c r="B44" s="26" t="s">
        <v>292</v>
      </c>
      <c r="C44" s="26" t="s">
        <v>646</v>
      </c>
      <c r="D44" s="26" t="s">
        <v>647</v>
      </c>
      <c r="E44" s="26"/>
      <c r="F44" s="26">
        <v>156</v>
      </c>
      <c r="G44" s="26">
        <v>203</v>
      </c>
      <c r="H44" s="26">
        <v>130</v>
      </c>
      <c r="I44" s="26">
        <v>67</v>
      </c>
      <c r="J44" s="26">
        <v>290</v>
      </c>
      <c r="K44" s="26">
        <f t="shared" si="17"/>
        <v>690</v>
      </c>
      <c r="L44" s="33">
        <v>8</v>
      </c>
      <c r="M44" s="33">
        <v>7.9</v>
      </c>
      <c r="N44" s="33">
        <v>2.3</v>
      </c>
      <c r="O44" s="33">
        <v>8.7</v>
      </c>
      <c r="P44" s="33">
        <f t="shared" si="18"/>
        <v>26.9</v>
      </c>
      <c r="Q44" s="37">
        <f t="shared" si="10"/>
        <v>995</v>
      </c>
      <c r="R44" s="37">
        <f t="shared" si="11"/>
        <v>912.1</v>
      </c>
      <c r="S44" s="37">
        <f t="shared" si="12"/>
        <v>294.7</v>
      </c>
      <c r="T44" s="37">
        <f t="shared" si="13"/>
        <v>1151.3</v>
      </c>
      <c r="U44" s="37">
        <f t="shared" si="19"/>
        <v>3353.1</v>
      </c>
    </row>
    <row r="45" customHeight="1" spans="1:21">
      <c r="A45" s="26">
        <v>44</v>
      </c>
      <c r="B45" s="26" t="s">
        <v>292</v>
      </c>
      <c r="C45" s="26" t="s">
        <v>180</v>
      </c>
      <c r="D45" s="26" t="s">
        <v>648</v>
      </c>
      <c r="E45" s="26">
        <v>54</v>
      </c>
      <c r="F45" s="26">
        <v>204</v>
      </c>
      <c r="G45" s="26">
        <v>280</v>
      </c>
      <c r="H45" s="26">
        <v>150</v>
      </c>
      <c r="I45" s="26">
        <v>160</v>
      </c>
      <c r="J45" s="26">
        <v>500</v>
      </c>
      <c r="K45" s="26">
        <f t="shared" si="17"/>
        <v>1090</v>
      </c>
      <c r="L45" s="33">
        <v>10</v>
      </c>
      <c r="M45" s="33">
        <v>4.1</v>
      </c>
      <c r="N45" s="33">
        <v>4.1</v>
      </c>
      <c r="O45" s="33">
        <v>16</v>
      </c>
      <c r="P45" s="33">
        <f t="shared" si="18"/>
        <v>34.2</v>
      </c>
      <c r="Q45" s="37">
        <f t="shared" si="10"/>
        <v>1270</v>
      </c>
      <c r="R45" s="37">
        <f t="shared" si="11"/>
        <v>555.9</v>
      </c>
      <c r="S45" s="37">
        <f t="shared" si="12"/>
        <v>565.9</v>
      </c>
      <c r="T45" s="37">
        <f t="shared" si="13"/>
        <v>2084</v>
      </c>
      <c r="U45" s="37">
        <f t="shared" si="19"/>
        <v>4475.8</v>
      </c>
    </row>
    <row r="46" customHeight="1" spans="1:21">
      <c r="A46" s="26">
        <v>45</v>
      </c>
      <c r="B46" s="26" t="s">
        <v>292</v>
      </c>
      <c r="C46" s="26" t="s">
        <v>167</v>
      </c>
      <c r="D46" s="26" t="s">
        <v>297</v>
      </c>
      <c r="E46" s="26">
        <v>68</v>
      </c>
      <c r="F46" s="26">
        <v>160</v>
      </c>
      <c r="G46" s="26">
        <v>200</v>
      </c>
      <c r="H46" s="26">
        <v>88</v>
      </c>
      <c r="I46" s="26">
        <v>104</v>
      </c>
      <c r="J46" s="26">
        <v>270</v>
      </c>
      <c r="K46" s="26">
        <f t="shared" si="17"/>
        <v>662</v>
      </c>
      <c r="L46" s="33">
        <v>10</v>
      </c>
      <c r="M46" s="33">
        <v>4.4</v>
      </c>
      <c r="N46" s="33">
        <v>5.2</v>
      </c>
      <c r="O46" s="33">
        <v>10</v>
      </c>
      <c r="P46" s="33">
        <f t="shared" si="18"/>
        <v>29.6</v>
      </c>
      <c r="Q46" s="37">
        <f t="shared" si="10"/>
        <v>1190</v>
      </c>
      <c r="R46" s="37">
        <f t="shared" si="11"/>
        <v>523.6</v>
      </c>
      <c r="S46" s="37">
        <f t="shared" si="12"/>
        <v>618.8</v>
      </c>
      <c r="T46" s="37">
        <f t="shared" si="13"/>
        <v>1260</v>
      </c>
      <c r="U46" s="37">
        <f t="shared" si="19"/>
        <v>3592.4</v>
      </c>
    </row>
    <row r="47" customHeight="1" spans="1:21">
      <c r="A47" s="26">
        <v>46</v>
      </c>
      <c r="B47" s="26" t="s">
        <v>292</v>
      </c>
      <c r="C47" s="26" t="s">
        <v>187</v>
      </c>
      <c r="D47" s="26" t="s">
        <v>311</v>
      </c>
      <c r="E47" s="26">
        <v>32</v>
      </c>
      <c r="F47" s="26">
        <v>164</v>
      </c>
      <c r="G47" s="26">
        <v>180</v>
      </c>
      <c r="H47" s="26">
        <v>118</v>
      </c>
      <c r="I47" s="26">
        <v>70</v>
      </c>
      <c r="J47" s="26">
        <v>330</v>
      </c>
      <c r="K47" s="26">
        <f t="shared" si="17"/>
        <v>698</v>
      </c>
      <c r="L47" s="33">
        <v>9</v>
      </c>
      <c r="M47" s="33">
        <v>5.9</v>
      </c>
      <c r="N47" s="33">
        <v>3.5</v>
      </c>
      <c r="O47" s="33">
        <v>11</v>
      </c>
      <c r="P47" s="33">
        <f t="shared" si="18"/>
        <v>29.4</v>
      </c>
      <c r="Q47" s="37">
        <f t="shared" si="10"/>
        <v>1071</v>
      </c>
      <c r="R47" s="37">
        <f t="shared" si="11"/>
        <v>702.1</v>
      </c>
      <c r="S47" s="37">
        <f t="shared" si="12"/>
        <v>416.5</v>
      </c>
      <c r="T47" s="37">
        <f t="shared" si="13"/>
        <v>1419</v>
      </c>
      <c r="U47" s="37">
        <f t="shared" si="19"/>
        <v>3608.6</v>
      </c>
    </row>
    <row r="48" customHeight="1" spans="1:21">
      <c r="A48" s="26">
        <v>47</v>
      </c>
      <c r="B48" s="26" t="s">
        <v>292</v>
      </c>
      <c r="C48" s="26" t="s">
        <v>261</v>
      </c>
      <c r="D48" s="26" t="s">
        <v>291</v>
      </c>
      <c r="E48" s="26">
        <v>18</v>
      </c>
      <c r="F48" s="26">
        <v>168</v>
      </c>
      <c r="G48" s="26">
        <v>300</v>
      </c>
      <c r="H48" s="26">
        <v>240</v>
      </c>
      <c r="I48" s="26">
        <v>120</v>
      </c>
      <c r="J48" s="26">
        <v>180</v>
      </c>
      <c r="K48" s="26">
        <f t="shared" si="17"/>
        <v>840</v>
      </c>
      <c r="L48" s="33">
        <v>10.9</v>
      </c>
      <c r="M48" s="33">
        <v>9.1</v>
      </c>
      <c r="N48" s="33">
        <v>3</v>
      </c>
      <c r="O48" s="33">
        <v>7</v>
      </c>
      <c r="P48" s="33">
        <f t="shared" si="18"/>
        <v>30</v>
      </c>
      <c r="Q48" s="37">
        <f>ROUND(G48+L48*($V$2-1),0)</f>
        <v>1379</v>
      </c>
      <c r="R48" s="37">
        <f>ROUND(H48+M48*($V$2-1),0)</f>
        <v>1141</v>
      </c>
      <c r="S48" s="37">
        <f t="shared" ref="S48:S49" si="20">I48+N48*($V$2-1)</f>
        <v>417</v>
      </c>
      <c r="T48" s="37">
        <f t="shared" ref="T48:T49" si="21">J48+O48*($V$2-1)</f>
        <v>873</v>
      </c>
      <c r="U48" s="37">
        <f t="shared" si="19"/>
        <v>3810</v>
      </c>
    </row>
    <row r="49" customHeight="1" spans="1:21">
      <c r="A49" s="26">
        <v>48</v>
      </c>
      <c r="B49" s="32" t="s">
        <v>292</v>
      </c>
      <c r="C49" s="32" t="s">
        <v>240</v>
      </c>
      <c r="D49" s="32" t="s">
        <v>336</v>
      </c>
      <c r="E49" s="26">
        <v>52</v>
      </c>
      <c r="F49" s="26">
        <v>168</v>
      </c>
      <c r="G49" s="26">
        <v>345</v>
      </c>
      <c r="H49" s="26">
        <v>150</v>
      </c>
      <c r="I49" s="26">
        <v>105</v>
      </c>
      <c r="J49" s="26">
        <v>255</v>
      </c>
      <c r="K49" s="26">
        <f t="shared" si="17"/>
        <v>855</v>
      </c>
      <c r="L49" s="33">
        <v>12</v>
      </c>
      <c r="M49" s="33">
        <v>6.9</v>
      </c>
      <c r="N49" s="33">
        <v>6.5</v>
      </c>
      <c r="O49" s="33">
        <v>8.9</v>
      </c>
      <c r="P49" s="33">
        <f t="shared" si="18"/>
        <v>34.3</v>
      </c>
      <c r="Q49" s="37">
        <f t="shared" ref="Q49:Q51" si="22">ROUND(G49+L49*($V$2-1),0)</f>
        <v>1533</v>
      </c>
      <c r="R49" s="37">
        <f t="shared" ref="R49:R51" si="23">ROUND(H49+M49*($V$2-1),0)</f>
        <v>833</v>
      </c>
      <c r="S49" s="37">
        <f t="shared" si="20"/>
        <v>748.5</v>
      </c>
      <c r="T49" s="37">
        <f t="shared" si="21"/>
        <v>1136.1</v>
      </c>
      <c r="U49" s="37">
        <f t="shared" si="19"/>
        <v>4250.6</v>
      </c>
    </row>
    <row r="50" customHeight="1" spans="1:21">
      <c r="A50" s="26">
        <v>49</v>
      </c>
      <c r="B50" s="32" t="s">
        <v>292</v>
      </c>
      <c r="C50" s="32" t="s">
        <v>201</v>
      </c>
      <c r="D50" s="32" t="s">
        <v>321</v>
      </c>
      <c r="E50" s="26">
        <v>40</v>
      </c>
      <c r="F50" s="26">
        <v>192</v>
      </c>
      <c r="G50" s="26">
        <v>200</v>
      </c>
      <c r="H50" s="26">
        <v>220</v>
      </c>
      <c r="I50" s="26">
        <v>240</v>
      </c>
      <c r="J50" s="26">
        <v>160</v>
      </c>
      <c r="K50" s="26">
        <f t="shared" ref="K50:K55" si="24">J50+I50+H50+G50</f>
        <v>820</v>
      </c>
      <c r="L50" s="33">
        <v>14</v>
      </c>
      <c r="M50" s="33">
        <v>6.1</v>
      </c>
      <c r="N50" s="33">
        <v>6.7</v>
      </c>
      <c r="O50" s="33">
        <v>7</v>
      </c>
      <c r="P50" s="33">
        <f t="shared" ref="P50" si="25">O50+N50+M50+L50</f>
        <v>33.8</v>
      </c>
      <c r="Q50" s="37">
        <f t="shared" si="22"/>
        <v>1586</v>
      </c>
      <c r="R50" s="37">
        <f t="shared" si="23"/>
        <v>824</v>
      </c>
      <c r="S50" s="37">
        <f t="shared" ref="S50" si="26">I50+N50*($V$2-1)</f>
        <v>903.3</v>
      </c>
      <c r="T50" s="37">
        <f t="shared" ref="T50:T55" si="27">J50+O50*($V$2-1)</f>
        <v>853</v>
      </c>
      <c r="U50" s="37">
        <f t="shared" si="19"/>
        <v>4166.3</v>
      </c>
    </row>
    <row r="51" customHeight="1" spans="1:21">
      <c r="A51" s="26">
        <v>48</v>
      </c>
      <c r="B51" s="32" t="s">
        <v>292</v>
      </c>
      <c r="C51" s="32" t="s">
        <v>252</v>
      </c>
      <c r="D51" s="32" t="s">
        <v>336</v>
      </c>
      <c r="E51" s="26">
        <v>52</v>
      </c>
      <c r="F51" s="26">
        <v>208</v>
      </c>
      <c r="G51" s="26">
        <v>260</v>
      </c>
      <c r="H51" s="26">
        <v>120</v>
      </c>
      <c r="I51" s="26">
        <v>265</v>
      </c>
      <c r="J51" s="26">
        <v>320</v>
      </c>
      <c r="K51" s="26">
        <f t="shared" si="24"/>
        <v>965</v>
      </c>
      <c r="L51" s="33">
        <v>10</v>
      </c>
      <c r="M51" s="33">
        <v>5.4</v>
      </c>
      <c r="N51" s="33">
        <v>8.3</v>
      </c>
      <c r="O51" s="33">
        <v>11</v>
      </c>
      <c r="P51" s="33">
        <f t="shared" ref="P51:P71" si="28">O51+N51+M51+L51</f>
        <v>34.7</v>
      </c>
      <c r="Q51" s="37">
        <f t="shared" si="22"/>
        <v>1250</v>
      </c>
      <c r="R51" s="37">
        <f t="shared" si="23"/>
        <v>655</v>
      </c>
      <c r="S51" s="37">
        <f t="shared" ref="S51:S66" si="29">I51+N51*($V$2-1)</f>
        <v>1086.7</v>
      </c>
      <c r="T51" s="37">
        <f t="shared" si="27"/>
        <v>1409</v>
      </c>
      <c r="U51" s="37">
        <f t="shared" si="19"/>
        <v>4400.7</v>
      </c>
    </row>
    <row r="52" ht="15.75" customHeight="1" spans="1:21">
      <c r="A52" s="26">
        <v>23</v>
      </c>
      <c r="B52" s="26" t="s">
        <v>292</v>
      </c>
      <c r="C52" s="26" t="s">
        <v>220</v>
      </c>
      <c r="D52" s="26" t="s">
        <v>318</v>
      </c>
      <c r="E52" s="26">
        <v>30</v>
      </c>
      <c r="F52" s="26">
        <v>176</v>
      </c>
      <c r="G52" s="26">
        <v>279</v>
      </c>
      <c r="H52" s="26">
        <v>225</v>
      </c>
      <c r="I52" s="26">
        <v>203</v>
      </c>
      <c r="J52" s="26">
        <v>20</v>
      </c>
      <c r="K52" s="26">
        <f t="shared" si="24"/>
        <v>727</v>
      </c>
      <c r="L52" s="33">
        <v>18</v>
      </c>
      <c r="M52" s="33">
        <v>7.6</v>
      </c>
      <c r="N52" s="33">
        <v>6.2</v>
      </c>
      <c r="O52" s="33">
        <v>1.9</v>
      </c>
      <c r="P52" s="33">
        <f t="shared" si="28"/>
        <v>33.7</v>
      </c>
      <c r="Q52" s="37">
        <f t="shared" ref="Q52:R52" si="30">G52+L52*($V$2-1)</f>
        <v>2061</v>
      </c>
      <c r="R52" s="37">
        <f t="shared" si="30"/>
        <v>977.4</v>
      </c>
      <c r="S52" s="37">
        <f t="shared" si="29"/>
        <v>816.8</v>
      </c>
      <c r="T52" s="37">
        <f t="shared" si="27"/>
        <v>208.1</v>
      </c>
      <c r="U52" s="37">
        <f t="shared" si="19"/>
        <v>4063.3</v>
      </c>
    </row>
    <row r="53" ht="15.75" customHeight="1" spans="1:21">
      <c r="A53" s="26">
        <v>23</v>
      </c>
      <c r="B53" s="26" t="s">
        <v>292</v>
      </c>
      <c r="C53" s="32" t="s">
        <v>233</v>
      </c>
      <c r="D53" s="32" t="s">
        <v>323</v>
      </c>
      <c r="E53" s="26">
        <v>80</v>
      </c>
      <c r="F53" s="26">
        <v>176</v>
      </c>
      <c r="G53" s="26">
        <v>300</v>
      </c>
      <c r="H53" s="26">
        <v>200</v>
      </c>
      <c r="I53" s="26">
        <v>160</v>
      </c>
      <c r="J53" s="26">
        <v>70</v>
      </c>
      <c r="K53" s="26">
        <f t="shared" si="24"/>
        <v>730</v>
      </c>
      <c r="L53" s="33">
        <v>12</v>
      </c>
      <c r="M53" s="33">
        <v>6.1</v>
      </c>
      <c r="N53" s="33">
        <v>7.9</v>
      </c>
      <c r="O53" s="33">
        <v>7.7</v>
      </c>
      <c r="P53" s="33">
        <f t="shared" si="28"/>
        <v>33.7</v>
      </c>
      <c r="Q53" s="37">
        <f>G53+L53*($V$2-1)</f>
        <v>1488</v>
      </c>
      <c r="R53" s="37">
        <f>H53+M53*($V$2-1)</f>
        <v>803.9</v>
      </c>
      <c r="S53" s="37">
        <f t="shared" si="29"/>
        <v>942.1</v>
      </c>
      <c r="T53" s="37">
        <f t="shared" si="27"/>
        <v>832.3</v>
      </c>
      <c r="U53" s="37">
        <f t="shared" si="19"/>
        <v>4066.3</v>
      </c>
    </row>
    <row r="54" ht="15.75" customHeight="1" spans="1:21">
      <c r="A54" s="26">
        <v>23</v>
      </c>
      <c r="B54" s="26" t="s">
        <v>292</v>
      </c>
      <c r="C54" s="32" t="s">
        <v>239</v>
      </c>
      <c r="D54" s="32" t="s">
        <v>322</v>
      </c>
      <c r="E54" s="26">
        <v>36</v>
      </c>
      <c r="F54" s="26">
        <v>176</v>
      </c>
      <c r="G54" s="26">
        <v>301</v>
      </c>
      <c r="H54" s="26">
        <v>196</v>
      </c>
      <c r="I54" s="26">
        <v>163</v>
      </c>
      <c r="J54" s="26">
        <v>70</v>
      </c>
      <c r="K54" s="26">
        <f t="shared" si="24"/>
        <v>730</v>
      </c>
      <c r="L54" s="33">
        <v>15</v>
      </c>
      <c r="M54" s="33">
        <v>8</v>
      </c>
      <c r="N54" s="33">
        <v>6</v>
      </c>
      <c r="O54" s="33">
        <v>4.7</v>
      </c>
      <c r="P54" s="33">
        <f t="shared" si="28"/>
        <v>33.7</v>
      </c>
      <c r="Q54" s="37">
        <f>G54+L54*($V$2-1)</f>
        <v>1786</v>
      </c>
      <c r="R54" s="37">
        <f>H54+M54*($V$2-1)</f>
        <v>988</v>
      </c>
      <c r="S54" s="37">
        <f t="shared" si="29"/>
        <v>757</v>
      </c>
      <c r="T54" s="37">
        <f t="shared" si="27"/>
        <v>535.3</v>
      </c>
      <c r="U54" s="37">
        <f t="shared" si="19"/>
        <v>4066.3</v>
      </c>
    </row>
    <row r="55" ht="15.75" customHeight="1" spans="1:21">
      <c r="A55" s="26">
        <v>23</v>
      </c>
      <c r="B55" s="26" t="s">
        <v>292</v>
      </c>
      <c r="C55" s="32" t="s">
        <v>243</v>
      </c>
      <c r="D55" s="32" t="s">
        <v>324</v>
      </c>
      <c r="E55" s="26">
        <v>18</v>
      </c>
      <c r="F55" s="26">
        <v>176</v>
      </c>
      <c r="G55" s="26">
        <v>229</v>
      </c>
      <c r="H55" s="26">
        <v>175</v>
      </c>
      <c r="I55" s="26">
        <v>153</v>
      </c>
      <c r="J55" s="26">
        <v>170</v>
      </c>
      <c r="K55" s="26">
        <f t="shared" si="24"/>
        <v>727</v>
      </c>
      <c r="L55" s="33">
        <v>18</v>
      </c>
      <c r="M55" s="33">
        <v>8.6</v>
      </c>
      <c r="N55" s="33">
        <v>3.2</v>
      </c>
      <c r="O55" s="33">
        <v>3.9</v>
      </c>
      <c r="P55" s="33">
        <f t="shared" si="28"/>
        <v>33.7</v>
      </c>
      <c r="Q55" s="37">
        <f>G55+L55*($V$2-1)</f>
        <v>2011</v>
      </c>
      <c r="R55" s="37">
        <f>H55+M55*($V$2-1)</f>
        <v>1026.4</v>
      </c>
      <c r="S55" s="37">
        <f t="shared" si="29"/>
        <v>469.8</v>
      </c>
      <c r="T55" s="37">
        <f t="shared" si="27"/>
        <v>556.1</v>
      </c>
      <c r="U55" s="37">
        <f t="shared" si="19"/>
        <v>4063.3</v>
      </c>
    </row>
    <row r="56" customHeight="1" spans="1:21">
      <c r="A56" s="26">
        <v>55</v>
      </c>
      <c r="B56" s="32" t="s">
        <v>292</v>
      </c>
      <c r="C56" s="32" t="s">
        <v>262</v>
      </c>
      <c r="D56" s="32" t="s">
        <v>337</v>
      </c>
      <c r="E56" s="26">
        <v>24</v>
      </c>
      <c r="F56" s="26">
        <v>208</v>
      </c>
      <c r="G56" s="26">
        <v>285</v>
      </c>
      <c r="H56" s="26">
        <v>300</v>
      </c>
      <c r="I56" s="26">
        <v>105</v>
      </c>
      <c r="J56" s="26">
        <v>310</v>
      </c>
      <c r="K56" s="26">
        <f t="shared" ref="K56" si="31">J56+I56+H56+G56</f>
        <v>1000</v>
      </c>
      <c r="L56" s="33">
        <v>11</v>
      </c>
      <c r="M56" s="33">
        <v>8.7</v>
      </c>
      <c r="N56" s="33">
        <v>6.3</v>
      </c>
      <c r="O56" s="33">
        <v>11</v>
      </c>
      <c r="P56" s="33">
        <f t="shared" si="28"/>
        <v>37</v>
      </c>
      <c r="Q56" s="37">
        <f t="shared" ref="Q56:Q66" si="32">ROUND(G56+L56*($V$2-1),0)</f>
        <v>1374</v>
      </c>
      <c r="R56" s="37">
        <f t="shared" ref="R56:R67" si="33">ROUND(H56+M56*($V$2-1),0)</f>
        <v>1161</v>
      </c>
      <c r="S56" s="37">
        <f t="shared" si="29"/>
        <v>728.7</v>
      </c>
      <c r="T56" s="37">
        <f t="shared" ref="T56" si="34">ROUND(J56+O56*($V$2-1),0)</f>
        <v>1399</v>
      </c>
      <c r="U56" s="37">
        <f t="shared" si="19"/>
        <v>4662.7</v>
      </c>
    </row>
    <row r="57" customHeight="1" spans="1:21">
      <c r="A57" s="26">
        <v>56</v>
      </c>
      <c r="B57" s="32" t="s">
        <v>292</v>
      </c>
      <c r="C57" s="32" t="s">
        <v>206</v>
      </c>
      <c r="D57" s="32" t="s">
        <v>326</v>
      </c>
      <c r="E57" s="26">
        <v>74</v>
      </c>
      <c r="F57" s="26">
        <v>200</v>
      </c>
      <c r="G57" s="26">
        <v>210</v>
      </c>
      <c r="H57" s="26">
        <v>200</v>
      </c>
      <c r="I57" s="26">
        <v>143</v>
      </c>
      <c r="J57" s="26">
        <v>239</v>
      </c>
      <c r="K57" s="26">
        <f t="shared" ref="K57:K67" si="35">J57+I57+H57+G57</f>
        <v>792</v>
      </c>
      <c r="L57" s="33">
        <v>11</v>
      </c>
      <c r="M57" s="33">
        <v>9.3</v>
      </c>
      <c r="N57" s="33">
        <v>5.9</v>
      </c>
      <c r="O57" s="33">
        <v>7.6</v>
      </c>
      <c r="P57" s="33">
        <f t="shared" si="28"/>
        <v>33.8</v>
      </c>
      <c r="Q57" s="37">
        <f t="shared" si="32"/>
        <v>1299</v>
      </c>
      <c r="R57" s="37">
        <f t="shared" si="33"/>
        <v>1121</v>
      </c>
      <c r="S57" s="37">
        <f t="shared" si="29"/>
        <v>727.1</v>
      </c>
      <c r="T57" s="37">
        <f t="shared" ref="T57:T65" si="36">ROUND(J57+O57*($V$2-1),0)</f>
        <v>991</v>
      </c>
      <c r="U57" s="37">
        <f t="shared" si="19"/>
        <v>4138.1</v>
      </c>
    </row>
    <row r="58" customHeight="1" spans="1:21">
      <c r="A58" s="26">
        <v>57</v>
      </c>
      <c r="B58" s="32" t="s">
        <v>292</v>
      </c>
      <c r="C58" s="32" t="s">
        <v>171</v>
      </c>
      <c r="D58" s="32" t="s">
        <v>327</v>
      </c>
      <c r="E58" s="26">
        <v>22</v>
      </c>
      <c r="F58" s="26">
        <v>200</v>
      </c>
      <c r="G58" s="26">
        <v>226</v>
      </c>
      <c r="H58" s="26">
        <v>225</v>
      </c>
      <c r="I58" s="26">
        <v>121</v>
      </c>
      <c r="J58" s="26">
        <v>220</v>
      </c>
      <c r="K58" s="26">
        <f t="shared" si="35"/>
        <v>792</v>
      </c>
      <c r="L58" s="33">
        <v>12</v>
      </c>
      <c r="M58" s="33">
        <v>10.9</v>
      </c>
      <c r="N58" s="33">
        <v>4.3</v>
      </c>
      <c r="O58" s="33">
        <v>6.6</v>
      </c>
      <c r="P58" s="33">
        <f t="shared" si="28"/>
        <v>33.8</v>
      </c>
      <c r="Q58" s="37">
        <f t="shared" si="32"/>
        <v>1414</v>
      </c>
      <c r="R58" s="37">
        <f t="shared" si="33"/>
        <v>1304</v>
      </c>
      <c r="S58" s="37">
        <f t="shared" si="29"/>
        <v>546.7</v>
      </c>
      <c r="T58" s="37">
        <f t="shared" si="36"/>
        <v>873</v>
      </c>
      <c r="U58" s="37">
        <f t="shared" si="19"/>
        <v>4137.7</v>
      </c>
    </row>
    <row r="59" customHeight="1" spans="1:21">
      <c r="A59" s="26">
        <v>58</v>
      </c>
      <c r="B59" s="32" t="s">
        <v>292</v>
      </c>
      <c r="C59" s="32" t="s">
        <v>246</v>
      </c>
      <c r="D59" s="32" t="s">
        <v>328</v>
      </c>
      <c r="E59" s="26">
        <v>76</v>
      </c>
      <c r="F59" s="26">
        <v>208</v>
      </c>
      <c r="G59" s="26">
        <v>310</v>
      </c>
      <c r="H59" s="26">
        <v>190</v>
      </c>
      <c r="I59" s="26">
        <v>150</v>
      </c>
      <c r="J59" s="26">
        <v>350</v>
      </c>
      <c r="K59" s="26">
        <f t="shared" si="35"/>
        <v>1000</v>
      </c>
      <c r="L59" s="33">
        <v>13</v>
      </c>
      <c r="M59" s="33">
        <v>7.6</v>
      </c>
      <c r="N59" s="33">
        <v>6.4</v>
      </c>
      <c r="O59" s="33">
        <v>8</v>
      </c>
      <c r="P59" s="33">
        <f t="shared" si="28"/>
        <v>35</v>
      </c>
      <c r="Q59" s="37">
        <f t="shared" si="32"/>
        <v>1597</v>
      </c>
      <c r="R59" s="37">
        <f t="shared" si="33"/>
        <v>942</v>
      </c>
      <c r="S59" s="37">
        <f t="shared" si="29"/>
        <v>783.6</v>
      </c>
      <c r="T59" s="37">
        <f t="shared" si="36"/>
        <v>1142</v>
      </c>
      <c r="U59" s="37">
        <f t="shared" si="19"/>
        <v>4464.6</v>
      </c>
    </row>
    <row r="60" customHeight="1" spans="1:21">
      <c r="A60" s="26">
        <v>59</v>
      </c>
      <c r="B60" s="32" t="s">
        <v>292</v>
      </c>
      <c r="C60" s="32" t="s">
        <v>224</v>
      </c>
      <c r="D60" s="32" t="s">
        <v>330</v>
      </c>
      <c r="E60" s="26">
        <v>23</v>
      </c>
      <c r="F60" s="26">
        <v>200</v>
      </c>
      <c r="G60" s="26">
        <v>298</v>
      </c>
      <c r="H60" s="26">
        <v>280</v>
      </c>
      <c r="I60" s="26">
        <v>140</v>
      </c>
      <c r="J60" s="26">
        <v>120</v>
      </c>
      <c r="K60" s="26">
        <f t="shared" si="35"/>
        <v>838</v>
      </c>
      <c r="L60" s="33">
        <v>14</v>
      </c>
      <c r="M60" s="33">
        <v>8.2</v>
      </c>
      <c r="N60" s="33">
        <v>3.5</v>
      </c>
      <c r="O60" s="33">
        <v>8</v>
      </c>
      <c r="P60" s="33">
        <f t="shared" si="28"/>
        <v>33.7</v>
      </c>
      <c r="Q60" s="37">
        <f t="shared" si="32"/>
        <v>1684</v>
      </c>
      <c r="R60" s="37">
        <f t="shared" si="33"/>
        <v>1092</v>
      </c>
      <c r="S60" s="37">
        <f t="shared" si="29"/>
        <v>486.5</v>
      </c>
      <c r="T60" s="37">
        <f t="shared" si="36"/>
        <v>912</v>
      </c>
      <c r="U60" s="37">
        <f t="shared" si="19"/>
        <v>4174.5</v>
      </c>
    </row>
    <row r="61" customHeight="1" spans="1:21">
      <c r="A61" s="26">
        <v>60</v>
      </c>
      <c r="B61" s="32" t="s">
        <v>292</v>
      </c>
      <c r="C61" s="32" t="s">
        <v>8</v>
      </c>
      <c r="D61" s="32" t="s">
        <v>331</v>
      </c>
      <c r="E61" s="26">
        <v>27</v>
      </c>
      <c r="F61" s="26">
        <v>208</v>
      </c>
      <c r="G61" s="26">
        <v>340</v>
      </c>
      <c r="H61" s="26">
        <v>260</v>
      </c>
      <c r="I61" s="26">
        <v>140</v>
      </c>
      <c r="J61" s="26">
        <v>100</v>
      </c>
      <c r="K61" s="26">
        <f t="shared" si="35"/>
        <v>840</v>
      </c>
      <c r="L61" s="33">
        <v>11</v>
      </c>
      <c r="M61" s="33">
        <v>9.3</v>
      </c>
      <c r="N61" s="33">
        <v>5.1</v>
      </c>
      <c r="O61" s="33">
        <v>8</v>
      </c>
      <c r="P61" s="33">
        <f t="shared" si="28"/>
        <v>33.4</v>
      </c>
      <c r="Q61" s="37">
        <f t="shared" si="32"/>
        <v>1429</v>
      </c>
      <c r="R61" s="37">
        <f t="shared" si="33"/>
        <v>1181</v>
      </c>
      <c r="S61" s="37">
        <f t="shared" si="29"/>
        <v>644.9</v>
      </c>
      <c r="T61" s="37">
        <f t="shared" si="36"/>
        <v>892</v>
      </c>
      <c r="U61" s="37">
        <f t="shared" si="19"/>
        <v>4146.9</v>
      </c>
    </row>
    <row r="62" customHeight="1" spans="1:21">
      <c r="A62" s="26"/>
      <c r="B62" s="32" t="s">
        <v>292</v>
      </c>
      <c r="C62" s="32" t="s">
        <v>649</v>
      </c>
      <c r="D62" s="32" t="s">
        <v>650</v>
      </c>
      <c r="E62" s="26"/>
      <c r="F62" s="26">
        <v>200</v>
      </c>
      <c r="G62" s="26">
        <v>334</v>
      </c>
      <c r="H62" s="26">
        <v>245</v>
      </c>
      <c r="I62" s="26">
        <v>130</v>
      </c>
      <c r="J62" s="26">
        <v>290</v>
      </c>
      <c r="K62" s="26">
        <f t="shared" si="35"/>
        <v>999</v>
      </c>
      <c r="L62" s="33">
        <v>9.4</v>
      </c>
      <c r="M62" s="33">
        <v>4.5</v>
      </c>
      <c r="N62" s="33">
        <v>5.3</v>
      </c>
      <c r="O62" s="33">
        <v>14.2</v>
      </c>
      <c r="P62" s="33">
        <f t="shared" si="28"/>
        <v>33.4</v>
      </c>
      <c r="Q62" s="37">
        <f t="shared" si="32"/>
        <v>1265</v>
      </c>
      <c r="R62" s="37">
        <f t="shared" si="33"/>
        <v>691</v>
      </c>
      <c r="S62" s="37">
        <f t="shared" si="29"/>
        <v>654.7</v>
      </c>
      <c r="T62" s="37">
        <f t="shared" si="36"/>
        <v>1696</v>
      </c>
      <c r="U62" s="37">
        <f t="shared" si="19"/>
        <v>4306.7</v>
      </c>
    </row>
    <row r="63" customHeight="1" spans="1:21">
      <c r="A63" s="26"/>
      <c r="B63" s="32" t="s">
        <v>292</v>
      </c>
      <c r="C63" s="32" t="s">
        <v>6</v>
      </c>
      <c r="D63" s="32" t="s">
        <v>333</v>
      </c>
      <c r="E63" s="26">
        <v>24</v>
      </c>
      <c r="F63" s="26">
        <v>200</v>
      </c>
      <c r="G63" s="26">
        <v>200</v>
      </c>
      <c r="H63" s="26">
        <v>299</v>
      </c>
      <c r="I63" s="26">
        <v>145</v>
      </c>
      <c r="J63" s="26">
        <v>200</v>
      </c>
      <c r="K63" s="26">
        <f t="shared" si="35"/>
        <v>844</v>
      </c>
      <c r="L63" s="33">
        <v>10</v>
      </c>
      <c r="M63" s="33">
        <v>9.1</v>
      </c>
      <c r="N63" s="33">
        <v>6.3</v>
      </c>
      <c r="O63" s="33">
        <v>8</v>
      </c>
      <c r="P63" s="33">
        <f t="shared" si="28"/>
        <v>33.4</v>
      </c>
      <c r="Q63" s="37">
        <f t="shared" si="32"/>
        <v>1190</v>
      </c>
      <c r="R63" s="37">
        <f t="shared" si="33"/>
        <v>1200</v>
      </c>
      <c r="S63" s="37">
        <f t="shared" si="29"/>
        <v>768.7</v>
      </c>
      <c r="T63" s="37">
        <f t="shared" si="36"/>
        <v>992</v>
      </c>
      <c r="U63" s="37">
        <f t="shared" si="19"/>
        <v>4150.7</v>
      </c>
    </row>
    <row r="64" customHeight="1" spans="1:21">
      <c r="A64" s="26"/>
      <c r="B64" s="32" t="s">
        <v>292</v>
      </c>
      <c r="C64" s="32" t="s">
        <v>651</v>
      </c>
      <c r="D64" s="32" t="s">
        <v>652</v>
      </c>
      <c r="E64" s="26"/>
      <c r="F64" s="26">
        <v>200</v>
      </c>
      <c r="G64" s="26">
        <v>225</v>
      </c>
      <c r="H64" s="26">
        <v>340</v>
      </c>
      <c r="I64" s="26">
        <v>90</v>
      </c>
      <c r="J64" s="26">
        <v>205</v>
      </c>
      <c r="K64" s="26">
        <f t="shared" si="35"/>
        <v>860</v>
      </c>
      <c r="L64" s="33">
        <v>9.3</v>
      </c>
      <c r="M64" s="33">
        <v>1.6</v>
      </c>
      <c r="N64" s="33">
        <v>11</v>
      </c>
      <c r="O64" s="33">
        <v>10</v>
      </c>
      <c r="P64" s="33">
        <f t="shared" si="28"/>
        <v>31.9</v>
      </c>
      <c r="Q64" s="37">
        <f t="shared" si="32"/>
        <v>1146</v>
      </c>
      <c r="R64" s="37">
        <f t="shared" si="33"/>
        <v>498</v>
      </c>
      <c r="S64" s="37">
        <f t="shared" si="29"/>
        <v>1179</v>
      </c>
      <c r="T64" s="37">
        <f t="shared" si="36"/>
        <v>1195</v>
      </c>
      <c r="U64" s="37">
        <f t="shared" si="19"/>
        <v>4018</v>
      </c>
    </row>
    <row r="65" customHeight="1" spans="1:21">
      <c r="A65" s="26">
        <v>61</v>
      </c>
      <c r="B65" s="26" t="s">
        <v>292</v>
      </c>
      <c r="C65" s="26" t="s">
        <v>653</v>
      </c>
      <c r="D65" s="26" t="s">
        <v>654</v>
      </c>
      <c r="E65" s="26">
        <v>38</v>
      </c>
      <c r="F65" s="26">
        <v>208</v>
      </c>
      <c r="G65" s="26">
        <v>218</v>
      </c>
      <c r="H65" s="26">
        <v>212</v>
      </c>
      <c r="I65" s="26">
        <v>132</v>
      </c>
      <c r="J65" s="26">
        <v>230</v>
      </c>
      <c r="K65" s="26">
        <f t="shared" si="35"/>
        <v>792</v>
      </c>
      <c r="L65" s="33">
        <v>12.5</v>
      </c>
      <c r="M65" s="33">
        <v>8.1</v>
      </c>
      <c r="N65" s="33">
        <v>6.5</v>
      </c>
      <c r="O65" s="33">
        <v>6.7</v>
      </c>
      <c r="P65" s="33">
        <f t="shared" si="28"/>
        <v>33.8</v>
      </c>
      <c r="Q65" s="37">
        <f t="shared" si="32"/>
        <v>1456</v>
      </c>
      <c r="R65" s="37">
        <f t="shared" si="33"/>
        <v>1014</v>
      </c>
      <c r="S65" s="37">
        <f t="shared" si="29"/>
        <v>775.5</v>
      </c>
      <c r="T65" s="37">
        <f t="shared" si="36"/>
        <v>893</v>
      </c>
      <c r="U65" s="37">
        <f t="shared" si="19"/>
        <v>4138.5</v>
      </c>
    </row>
    <row r="66" customHeight="1" spans="1:21">
      <c r="A66" s="26"/>
      <c r="B66" s="26" t="s">
        <v>292</v>
      </c>
      <c r="C66" s="26" t="s">
        <v>655</v>
      </c>
      <c r="D66" s="26" t="s">
        <v>656</v>
      </c>
      <c r="E66" s="26"/>
      <c r="F66" s="26"/>
      <c r="G66" s="26">
        <v>130</v>
      </c>
      <c r="H66" s="26">
        <v>92</v>
      </c>
      <c r="I66" s="26">
        <v>80</v>
      </c>
      <c r="J66" s="26">
        <v>480</v>
      </c>
      <c r="K66" s="26">
        <f t="shared" si="35"/>
        <v>782</v>
      </c>
      <c r="L66" s="33">
        <v>5.2</v>
      </c>
      <c r="M66" s="33">
        <v>3.4</v>
      </c>
      <c r="N66" s="33">
        <v>4.8</v>
      </c>
      <c r="O66" s="33">
        <v>20</v>
      </c>
      <c r="P66" s="33">
        <f t="shared" si="28"/>
        <v>33.4</v>
      </c>
      <c r="Q66" s="37">
        <f t="shared" si="32"/>
        <v>645</v>
      </c>
      <c r="R66" s="37">
        <f t="shared" si="33"/>
        <v>429</v>
      </c>
      <c r="S66" s="37">
        <f t="shared" si="29"/>
        <v>555.2</v>
      </c>
      <c r="T66" s="37"/>
      <c r="U66" s="37"/>
    </row>
    <row r="67" customHeight="1" spans="1:21">
      <c r="A67" s="26">
        <v>62</v>
      </c>
      <c r="B67" s="26"/>
      <c r="C67" s="26"/>
      <c r="D67" s="26"/>
      <c r="E67" s="26"/>
      <c r="F67" s="26"/>
      <c r="G67" s="26"/>
      <c r="H67" s="26"/>
      <c r="I67" s="26"/>
      <c r="J67" s="26"/>
      <c r="K67" s="26">
        <f t="shared" si="35"/>
        <v>0</v>
      </c>
      <c r="L67" s="33"/>
      <c r="M67" s="33"/>
      <c r="N67" s="33"/>
      <c r="O67" s="33"/>
      <c r="P67" s="33">
        <f t="shared" si="28"/>
        <v>0</v>
      </c>
      <c r="Q67" s="37">
        <f t="shared" ref="Q67" si="37">ROUND(G67+L67*($V$2-1),0)</f>
        <v>0</v>
      </c>
      <c r="R67" s="37">
        <f t="shared" si="33"/>
        <v>0</v>
      </c>
      <c r="S67" s="37">
        <f t="shared" ref="S67:T67" si="38">ROUND(I67+N67*($V$2-1),0)</f>
        <v>0</v>
      </c>
      <c r="T67" s="37">
        <f t="shared" si="38"/>
        <v>0</v>
      </c>
      <c r="U67" s="37">
        <f>SUM(Q67:T67)</f>
        <v>0</v>
      </c>
    </row>
    <row r="68" customHeight="1" spans="1:21">
      <c r="A68" s="26">
        <v>63</v>
      </c>
      <c r="B68" s="26" t="s">
        <v>302</v>
      </c>
      <c r="C68" s="26" t="s">
        <v>245</v>
      </c>
      <c r="D68" s="26" t="s">
        <v>312</v>
      </c>
      <c r="E68" s="26">
        <v>36</v>
      </c>
      <c r="F68" s="26"/>
      <c r="G68" s="26">
        <v>95</v>
      </c>
      <c r="H68" s="26">
        <v>95</v>
      </c>
      <c r="I68" s="26">
        <v>95</v>
      </c>
      <c r="J68" s="26">
        <v>95</v>
      </c>
      <c r="K68" s="26">
        <f t="shared" ref="K68" si="39">J68+I68+H68+G68</f>
        <v>380</v>
      </c>
      <c r="L68" s="33">
        <v>6</v>
      </c>
      <c r="M68" s="33">
        <v>6</v>
      </c>
      <c r="N68" s="33">
        <v>6</v>
      </c>
      <c r="O68" s="33">
        <v>6</v>
      </c>
      <c r="P68" s="33">
        <f t="shared" si="28"/>
        <v>24</v>
      </c>
      <c r="Q68" s="37">
        <f t="shared" ref="Q68" si="40">ROUND(G68+L68*($V$2-1),0)</f>
        <v>689</v>
      </c>
      <c r="R68" s="37">
        <f t="shared" ref="R68" si="41">ROUND(H68+M68*($V$2-1),0)</f>
        <v>689</v>
      </c>
      <c r="S68" s="37">
        <f t="shared" ref="S68:S98" si="42">ROUND(I68+N68*($V$2-1),0)</f>
        <v>689</v>
      </c>
      <c r="T68" s="37">
        <f t="shared" ref="T68" si="43">ROUND(J68+O68*($V$2-1),0)</f>
        <v>689</v>
      </c>
      <c r="U68" s="37">
        <f>SUM(Q68:T68)</f>
        <v>2756</v>
      </c>
    </row>
    <row r="69" customHeight="1" spans="1:21">
      <c r="A69" s="26">
        <v>64</v>
      </c>
      <c r="B69" s="26" t="s">
        <v>302</v>
      </c>
      <c r="C69" s="26" t="s">
        <v>192</v>
      </c>
      <c r="D69" s="26" t="s">
        <v>311</v>
      </c>
      <c r="E69" s="26">
        <v>32</v>
      </c>
      <c r="F69" s="26"/>
      <c r="G69" s="26">
        <v>120</v>
      </c>
      <c r="H69" s="26">
        <v>90</v>
      </c>
      <c r="I69" s="26">
        <v>70</v>
      </c>
      <c r="J69" s="26">
        <v>60</v>
      </c>
      <c r="K69" s="26">
        <f t="shared" ref="K69:K105" si="44">J69+I69+H69+G69</f>
        <v>340</v>
      </c>
      <c r="L69" s="33">
        <v>9</v>
      </c>
      <c r="M69" s="33">
        <v>5.9</v>
      </c>
      <c r="N69" s="33">
        <v>3</v>
      </c>
      <c r="O69" s="33">
        <v>5</v>
      </c>
      <c r="P69" s="33">
        <f t="shared" si="28"/>
        <v>22.9</v>
      </c>
      <c r="Q69" s="37">
        <f t="shared" ref="Q69:Q101" si="45">ROUND(G69+L69*($V$2-1),0)</f>
        <v>1011</v>
      </c>
      <c r="R69" s="37">
        <f t="shared" ref="R69:R101" si="46">ROUND(H69+M69*($V$2-1),0)</f>
        <v>674</v>
      </c>
      <c r="S69" s="37">
        <f t="shared" si="42"/>
        <v>367</v>
      </c>
      <c r="T69" s="37">
        <f t="shared" ref="T69:T99" si="47">ROUND(J69+O69*($V$2-1),0)</f>
        <v>555</v>
      </c>
      <c r="U69" s="37">
        <f t="shared" ref="U69" si="48">SUM(Q69:T69)</f>
        <v>2607</v>
      </c>
    </row>
    <row r="70" customHeight="1" spans="1:21">
      <c r="A70" s="26">
        <v>65</v>
      </c>
      <c r="B70" s="26" t="s">
        <v>302</v>
      </c>
      <c r="C70" s="26" t="s">
        <v>193</v>
      </c>
      <c r="D70" s="26" t="s">
        <v>315</v>
      </c>
      <c r="E70" s="26">
        <v>10</v>
      </c>
      <c r="F70" s="26"/>
      <c r="G70" s="26">
        <v>100</v>
      </c>
      <c r="H70" s="26">
        <v>60</v>
      </c>
      <c r="I70" s="26">
        <v>95</v>
      </c>
      <c r="J70" s="26">
        <v>150</v>
      </c>
      <c r="K70" s="26">
        <f t="shared" si="44"/>
        <v>405</v>
      </c>
      <c r="L70" s="33">
        <v>5</v>
      </c>
      <c r="M70" s="33">
        <v>3.1</v>
      </c>
      <c r="N70" s="33">
        <v>5.8</v>
      </c>
      <c r="O70" s="33">
        <v>9</v>
      </c>
      <c r="P70" s="33">
        <f t="shared" si="28"/>
        <v>22.9</v>
      </c>
      <c r="Q70" s="37">
        <f t="shared" si="45"/>
        <v>595</v>
      </c>
      <c r="R70" s="37">
        <f t="shared" si="46"/>
        <v>367</v>
      </c>
      <c r="S70" s="37">
        <f t="shared" si="42"/>
        <v>669</v>
      </c>
      <c r="T70" s="37">
        <f t="shared" si="47"/>
        <v>1041</v>
      </c>
      <c r="U70" s="37">
        <f t="shared" ref="U70:U101" si="49">SUM(Q70:T70)</f>
        <v>2672</v>
      </c>
    </row>
    <row r="71" customHeight="1" spans="1:21">
      <c r="A71" s="26">
        <v>66</v>
      </c>
      <c r="B71" s="26" t="s">
        <v>302</v>
      </c>
      <c r="C71" s="26" t="s">
        <v>248</v>
      </c>
      <c r="D71" s="26" t="s">
        <v>286</v>
      </c>
      <c r="E71" s="26">
        <v>3</v>
      </c>
      <c r="F71" s="26"/>
      <c r="G71" s="26">
        <v>180</v>
      </c>
      <c r="H71" s="26">
        <v>50</v>
      </c>
      <c r="I71" s="26">
        <v>110</v>
      </c>
      <c r="J71" s="26">
        <v>80</v>
      </c>
      <c r="K71" s="26">
        <f t="shared" si="44"/>
        <v>420</v>
      </c>
      <c r="L71" s="33">
        <v>8</v>
      </c>
      <c r="M71" s="33">
        <v>3</v>
      </c>
      <c r="N71" s="33">
        <v>4</v>
      </c>
      <c r="O71" s="33">
        <v>6</v>
      </c>
      <c r="P71" s="33">
        <f t="shared" si="28"/>
        <v>21</v>
      </c>
      <c r="Q71" s="37">
        <f t="shared" si="45"/>
        <v>972</v>
      </c>
      <c r="R71" s="37">
        <f t="shared" si="46"/>
        <v>347</v>
      </c>
      <c r="S71" s="37">
        <f t="shared" si="42"/>
        <v>506</v>
      </c>
      <c r="T71" s="37">
        <f t="shared" si="47"/>
        <v>674</v>
      </c>
      <c r="U71" s="37">
        <f t="shared" si="49"/>
        <v>2499</v>
      </c>
    </row>
    <row r="72" customHeight="1" spans="1:21">
      <c r="A72" s="26">
        <v>67</v>
      </c>
      <c r="B72" s="26" t="s">
        <v>302</v>
      </c>
      <c r="C72" s="26" t="s">
        <v>207</v>
      </c>
      <c r="D72" s="26" t="s">
        <v>304</v>
      </c>
      <c r="E72" s="26">
        <v>16</v>
      </c>
      <c r="F72" s="26"/>
      <c r="G72" s="26">
        <v>120</v>
      </c>
      <c r="H72" s="26">
        <v>66</v>
      </c>
      <c r="I72" s="26">
        <v>57</v>
      </c>
      <c r="J72" s="26">
        <v>90</v>
      </c>
      <c r="K72" s="26">
        <f t="shared" si="44"/>
        <v>333</v>
      </c>
      <c r="L72" s="33">
        <v>8</v>
      </c>
      <c r="M72" s="33">
        <v>4.5</v>
      </c>
      <c r="N72" s="33">
        <v>4</v>
      </c>
      <c r="O72" s="33">
        <v>6</v>
      </c>
      <c r="P72" s="33">
        <f t="shared" ref="P72" si="50">O72+N72+M72+L72</f>
        <v>22.5</v>
      </c>
      <c r="Q72" s="37">
        <f t="shared" si="45"/>
        <v>912</v>
      </c>
      <c r="R72" s="37">
        <f t="shared" si="46"/>
        <v>512</v>
      </c>
      <c r="S72" s="37">
        <f t="shared" si="42"/>
        <v>453</v>
      </c>
      <c r="T72" s="37">
        <f t="shared" si="47"/>
        <v>684</v>
      </c>
      <c r="U72" s="37">
        <f t="shared" si="49"/>
        <v>2561</v>
      </c>
    </row>
    <row r="73" customHeight="1" spans="1:21">
      <c r="A73" s="26">
        <v>68</v>
      </c>
      <c r="B73" s="26" t="s">
        <v>302</v>
      </c>
      <c r="C73" s="26" t="s">
        <v>208</v>
      </c>
      <c r="D73" s="26" t="s">
        <v>313</v>
      </c>
      <c r="E73" s="26">
        <v>42</v>
      </c>
      <c r="F73" s="26"/>
      <c r="G73" s="26">
        <v>120</v>
      </c>
      <c r="H73" s="26">
        <v>73</v>
      </c>
      <c r="I73" s="26">
        <v>60</v>
      </c>
      <c r="J73" s="26">
        <v>120</v>
      </c>
      <c r="K73" s="26">
        <f t="shared" si="44"/>
        <v>373</v>
      </c>
      <c r="L73" s="33">
        <v>8</v>
      </c>
      <c r="M73" s="33">
        <v>4.9</v>
      </c>
      <c r="N73" s="33">
        <v>3.8</v>
      </c>
      <c r="O73" s="33">
        <v>8</v>
      </c>
      <c r="P73" s="33">
        <f t="shared" ref="P73:P105" si="51">O73+N73+M73+L73</f>
        <v>24.7</v>
      </c>
      <c r="Q73" s="37">
        <f t="shared" si="45"/>
        <v>912</v>
      </c>
      <c r="R73" s="37">
        <f t="shared" si="46"/>
        <v>558</v>
      </c>
      <c r="S73" s="37">
        <f t="shared" si="42"/>
        <v>436</v>
      </c>
      <c r="T73" s="37">
        <f t="shared" si="47"/>
        <v>912</v>
      </c>
      <c r="U73" s="37">
        <f t="shared" si="49"/>
        <v>2818</v>
      </c>
    </row>
    <row r="74" customHeight="1" spans="1:21">
      <c r="A74" s="26">
        <v>69</v>
      </c>
      <c r="B74" s="26" t="s">
        <v>302</v>
      </c>
      <c r="C74" s="26" t="s">
        <v>210</v>
      </c>
      <c r="D74" s="26" t="s">
        <v>309</v>
      </c>
      <c r="E74" s="26">
        <v>33</v>
      </c>
      <c r="F74" s="26"/>
      <c r="G74" s="26">
        <v>120</v>
      </c>
      <c r="H74" s="26">
        <v>72</v>
      </c>
      <c r="I74" s="26">
        <v>49</v>
      </c>
      <c r="J74" s="26">
        <v>105</v>
      </c>
      <c r="K74" s="26">
        <f t="shared" si="44"/>
        <v>346</v>
      </c>
      <c r="L74" s="33">
        <v>8</v>
      </c>
      <c r="M74" s="33">
        <v>4.8</v>
      </c>
      <c r="N74" s="33">
        <v>3.3</v>
      </c>
      <c r="O74" s="33">
        <v>7</v>
      </c>
      <c r="P74" s="33">
        <f t="shared" si="51"/>
        <v>23.1</v>
      </c>
      <c r="Q74" s="37">
        <f t="shared" si="45"/>
        <v>912</v>
      </c>
      <c r="R74" s="37">
        <f t="shared" si="46"/>
        <v>547</v>
      </c>
      <c r="S74" s="37">
        <f t="shared" si="42"/>
        <v>376</v>
      </c>
      <c r="T74" s="37">
        <f t="shared" si="47"/>
        <v>798</v>
      </c>
      <c r="U74" s="37">
        <f t="shared" si="49"/>
        <v>2633</v>
      </c>
    </row>
    <row r="75" customHeight="1" spans="1:21">
      <c r="A75" s="26">
        <v>70</v>
      </c>
      <c r="B75" s="26" t="s">
        <v>302</v>
      </c>
      <c r="C75" s="26" t="s">
        <v>211</v>
      </c>
      <c r="D75" s="26" t="s">
        <v>272</v>
      </c>
      <c r="E75" s="26">
        <v>26</v>
      </c>
      <c r="F75" s="26"/>
      <c r="G75" s="26">
        <v>120</v>
      </c>
      <c r="H75" s="26">
        <v>84</v>
      </c>
      <c r="I75" s="26">
        <v>42</v>
      </c>
      <c r="J75" s="26">
        <v>135</v>
      </c>
      <c r="K75" s="26">
        <f t="shared" si="44"/>
        <v>381</v>
      </c>
      <c r="L75" s="33">
        <v>7</v>
      </c>
      <c r="M75" s="33">
        <v>5.6</v>
      </c>
      <c r="N75" s="33">
        <v>2.8</v>
      </c>
      <c r="O75" s="33">
        <v>8</v>
      </c>
      <c r="P75" s="33">
        <f t="shared" si="51"/>
        <v>23.4</v>
      </c>
      <c r="Q75" s="37">
        <f t="shared" si="45"/>
        <v>813</v>
      </c>
      <c r="R75" s="37">
        <f t="shared" si="46"/>
        <v>638</v>
      </c>
      <c r="S75" s="37">
        <f t="shared" si="42"/>
        <v>319</v>
      </c>
      <c r="T75" s="37">
        <f t="shared" si="47"/>
        <v>927</v>
      </c>
      <c r="U75" s="37">
        <f t="shared" si="49"/>
        <v>2697</v>
      </c>
    </row>
    <row r="76" customHeight="1" spans="1:21">
      <c r="A76" s="26">
        <v>71</v>
      </c>
      <c r="B76" s="26" t="s">
        <v>302</v>
      </c>
      <c r="C76" s="26" t="s">
        <v>212</v>
      </c>
      <c r="D76" s="26" t="s">
        <v>272</v>
      </c>
      <c r="E76" s="26">
        <v>26</v>
      </c>
      <c r="F76" s="26"/>
      <c r="G76" s="26">
        <v>135</v>
      </c>
      <c r="H76" s="26">
        <v>69</v>
      </c>
      <c r="I76" s="26">
        <v>48</v>
      </c>
      <c r="J76" s="26">
        <v>190</v>
      </c>
      <c r="K76" s="26">
        <f t="shared" si="44"/>
        <v>442</v>
      </c>
      <c r="L76" s="33">
        <v>6</v>
      </c>
      <c r="M76" s="33">
        <v>4.6</v>
      </c>
      <c r="N76" s="33">
        <v>3.1</v>
      </c>
      <c r="O76" s="33">
        <v>10</v>
      </c>
      <c r="P76" s="33">
        <f t="shared" si="51"/>
        <v>23.7</v>
      </c>
      <c r="Q76" s="37">
        <f t="shared" si="45"/>
        <v>729</v>
      </c>
      <c r="R76" s="37">
        <f t="shared" si="46"/>
        <v>524</v>
      </c>
      <c r="S76" s="37">
        <f t="shared" si="42"/>
        <v>355</v>
      </c>
      <c r="T76" s="37">
        <f t="shared" si="47"/>
        <v>1180</v>
      </c>
      <c r="U76" s="37">
        <f t="shared" si="49"/>
        <v>2788</v>
      </c>
    </row>
    <row r="77" customHeight="1" spans="1:21">
      <c r="A77" s="26">
        <v>72</v>
      </c>
      <c r="B77" s="26" t="s">
        <v>302</v>
      </c>
      <c r="C77" s="26" t="s">
        <v>216</v>
      </c>
      <c r="D77" s="26" t="s">
        <v>309</v>
      </c>
      <c r="E77" s="26">
        <v>33</v>
      </c>
      <c r="F77" s="26"/>
      <c r="G77" s="26">
        <v>300</v>
      </c>
      <c r="H77" s="26">
        <v>180</v>
      </c>
      <c r="I77" s="26">
        <v>150</v>
      </c>
      <c r="J77" s="26">
        <v>410</v>
      </c>
      <c r="K77" s="26">
        <f t="shared" si="44"/>
        <v>1040</v>
      </c>
      <c r="L77" s="33">
        <v>6</v>
      </c>
      <c r="M77" s="33">
        <v>4.1</v>
      </c>
      <c r="N77" s="33">
        <v>2.1</v>
      </c>
      <c r="O77" s="33">
        <v>6</v>
      </c>
      <c r="P77" s="33">
        <f t="shared" si="51"/>
        <v>18.2</v>
      </c>
      <c r="Q77" s="37">
        <f t="shared" si="45"/>
        <v>894</v>
      </c>
      <c r="R77" s="37">
        <f t="shared" si="46"/>
        <v>586</v>
      </c>
      <c r="S77" s="37">
        <f t="shared" si="42"/>
        <v>358</v>
      </c>
      <c r="T77" s="37">
        <f t="shared" si="47"/>
        <v>1004</v>
      </c>
      <c r="U77" s="37">
        <f t="shared" si="49"/>
        <v>2842</v>
      </c>
    </row>
    <row r="78" customHeight="1" spans="1:21">
      <c r="A78" s="26">
        <v>73</v>
      </c>
      <c r="B78" s="26" t="s">
        <v>302</v>
      </c>
      <c r="C78" s="26" t="s">
        <v>214</v>
      </c>
      <c r="D78" s="26" t="s">
        <v>276</v>
      </c>
      <c r="E78" s="26">
        <v>20</v>
      </c>
      <c r="F78" s="26"/>
      <c r="G78" s="26">
        <v>135</v>
      </c>
      <c r="H78" s="26">
        <v>84</v>
      </c>
      <c r="I78" s="26">
        <v>46</v>
      </c>
      <c r="J78" s="26">
        <v>105</v>
      </c>
      <c r="K78" s="26">
        <f t="shared" si="44"/>
        <v>370</v>
      </c>
      <c r="L78" s="33">
        <v>9</v>
      </c>
      <c r="M78" s="33">
        <v>5.6</v>
      </c>
      <c r="N78" s="33">
        <v>3.1</v>
      </c>
      <c r="O78" s="33">
        <v>7</v>
      </c>
      <c r="P78" s="33">
        <f t="shared" si="51"/>
        <v>24.7</v>
      </c>
      <c r="Q78" s="37">
        <f t="shared" si="45"/>
        <v>1026</v>
      </c>
      <c r="R78" s="37">
        <f t="shared" si="46"/>
        <v>638</v>
      </c>
      <c r="S78" s="37">
        <f t="shared" si="42"/>
        <v>353</v>
      </c>
      <c r="T78" s="37">
        <f t="shared" si="47"/>
        <v>798</v>
      </c>
      <c r="U78" s="37">
        <f t="shared" si="49"/>
        <v>2815</v>
      </c>
    </row>
    <row r="79" customHeight="1" spans="1:21">
      <c r="A79" s="26">
        <v>74</v>
      </c>
      <c r="B79" s="26" t="s">
        <v>302</v>
      </c>
      <c r="C79" s="26" t="s">
        <v>213</v>
      </c>
      <c r="D79" s="26" t="s">
        <v>279</v>
      </c>
      <c r="E79" s="26">
        <v>13</v>
      </c>
      <c r="F79" s="26"/>
      <c r="G79" s="26">
        <v>135</v>
      </c>
      <c r="H79" s="26">
        <v>84</v>
      </c>
      <c r="I79" s="26">
        <v>36</v>
      </c>
      <c r="J79" s="26">
        <v>105</v>
      </c>
      <c r="K79" s="26">
        <f t="shared" si="44"/>
        <v>360</v>
      </c>
      <c r="L79" s="33">
        <v>9</v>
      </c>
      <c r="M79" s="33">
        <v>5.6</v>
      </c>
      <c r="N79" s="33">
        <v>2.4</v>
      </c>
      <c r="O79" s="33">
        <v>7</v>
      </c>
      <c r="P79" s="33">
        <f t="shared" si="51"/>
        <v>24</v>
      </c>
      <c r="Q79" s="37">
        <f t="shared" si="45"/>
        <v>1026</v>
      </c>
      <c r="R79" s="37">
        <f t="shared" si="46"/>
        <v>638</v>
      </c>
      <c r="S79" s="37">
        <f t="shared" si="42"/>
        <v>274</v>
      </c>
      <c r="T79" s="37">
        <f t="shared" si="47"/>
        <v>798</v>
      </c>
      <c r="U79" s="37">
        <f t="shared" si="49"/>
        <v>2736</v>
      </c>
    </row>
    <row r="80" customHeight="1" spans="1:21">
      <c r="A80" s="26">
        <v>75</v>
      </c>
      <c r="B80" s="26" t="s">
        <v>302</v>
      </c>
      <c r="C80" s="26" t="s">
        <v>209</v>
      </c>
      <c r="D80" s="26" t="s">
        <v>315</v>
      </c>
      <c r="E80" s="26">
        <v>10</v>
      </c>
      <c r="F80" s="26"/>
      <c r="G80" s="26">
        <v>120</v>
      </c>
      <c r="H80" s="26">
        <v>88</v>
      </c>
      <c r="I80" s="26">
        <v>51</v>
      </c>
      <c r="J80" s="26">
        <v>75</v>
      </c>
      <c r="K80" s="26">
        <f t="shared" si="44"/>
        <v>334</v>
      </c>
      <c r="L80" s="33">
        <v>8</v>
      </c>
      <c r="M80" s="33">
        <v>5.9</v>
      </c>
      <c r="N80" s="33">
        <v>3.4</v>
      </c>
      <c r="O80" s="33">
        <v>5</v>
      </c>
      <c r="P80" s="33">
        <f t="shared" si="51"/>
        <v>22.3</v>
      </c>
      <c r="Q80" s="37">
        <f t="shared" si="45"/>
        <v>912</v>
      </c>
      <c r="R80" s="37">
        <f t="shared" si="46"/>
        <v>672</v>
      </c>
      <c r="S80" s="37">
        <f t="shared" si="42"/>
        <v>388</v>
      </c>
      <c r="T80" s="37">
        <f t="shared" si="47"/>
        <v>570</v>
      </c>
      <c r="U80" s="37">
        <f t="shared" si="49"/>
        <v>2542</v>
      </c>
    </row>
    <row r="81" customHeight="1" spans="1:21">
      <c r="A81" s="26">
        <v>76</v>
      </c>
      <c r="B81" s="26" t="s">
        <v>302</v>
      </c>
      <c r="C81" s="26" t="s">
        <v>215</v>
      </c>
      <c r="D81" s="26" t="s">
        <v>353</v>
      </c>
      <c r="E81" s="26"/>
      <c r="F81" s="26"/>
      <c r="G81" s="26">
        <v>100</v>
      </c>
      <c r="H81" s="26">
        <v>1</v>
      </c>
      <c r="I81" s="26">
        <v>100</v>
      </c>
      <c r="J81" s="26">
        <v>120</v>
      </c>
      <c r="K81" s="26">
        <f t="shared" si="44"/>
        <v>321</v>
      </c>
      <c r="L81" s="33">
        <v>8</v>
      </c>
      <c r="M81" s="33">
        <v>0</v>
      </c>
      <c r="N81" s="33">
        <v>6.5</v>
      </c>
      <c r="O81" s="33">
        <v>9</v>
      </c>
      <c r="P81" s="33">
        <f t="shared" si="51"/>
        <v>23.5</v>
      </c>
      <c r="Q81" s="37">
        <f t="shared" si="45"/>
        <v>892</v>
      </c>
      <c r="R81" s="37">
        <f t="shared" si="46"/>
        <v>1</v>
      </c>
      <c r="S81" s="37">
        <f t="shared" si="42"/>
        <v>744</v>
      </c>
      <c r="T81" s="37">
        <f t="shared" si="47"/>
        <v>1011</v>
      </c>
      <c r="U81" s="37">
        <f t="shared" si="49"/>
        <v>2648</v>
      </c>
    </row>
    <row r="82" customHeight="1" spans="1:21">
      <c r="A82" s="26">
        <v>77</v>
      </c>
      <c r="B82" s="26" t="s">
        <v>302</v>
      </c>
      <c r="C82" s="26" t="s">
        <v>194</v>
      </c>
      <c r="D82" s="26" t="s">
        <v>315</v>
      </c>
      <c r="E82" s="26">
        <v>10</v>
      </c>
      <c r="F82" s="26"/>
      <c r="G82" s="26">
        <v>120</v>
      </c>
      <c r="H82" s="26">
        <v>110</v>
      </c>
      <c r="I82" s="26">
        <v>110</v>
      </c>
      <c r="J82" s="26">
        <v>150</v>
      </c>
      <c r="K82" s="26">
        <f t="shared" si="44"/>
        <v>490</v>
      </c>
      <c r="L82" s="33">
        <v>7</v>
      </c>
      <c r="M82" s="33">
        <v>4.3</v>
      </c>
      <c r="N82" s="33">
        <v>4.3</v>
      </c>
      <c r="O82" s="33">
        <v>7</v>
      </c>
      <c r="P82" s="33">
        <f t="shared" si="51"/>
        <v>22.6</v>
      </c>
      <c r="Q82" s="37">
        <f t="shared" si="45"/>
        <v>813</v>
      </c>
      <c r="R82" s="37">
        <f t="shared" si="46"/>
        <v>536</v>
      </c>
      <c r="S82" s="37">
        <f t="shared" si="42"/>
        <v>536</v>
      </c>
      <c r="T82" s="37">
        <f t="shared" si="47"/>
        <v>843</v>
      </c>
      <c r="U82" s="37">
        <f t="shared" si="49"/>
        <v>2728</v>
      </c>
    </row>
    <row r="83" customHeight="1" spans="1:21">
      <c r="A83" s="26">
        <v>78</v>
      </c>
      <c r="B83" s="26" t="s">
        <v>302</v>
      </c>
      <c r="C83" s="26" t="s">
        <v>225</v>
      </c>
      <c r="D83" s="26" t="s">
        <v>282</v>
      </c>
      <c r="E83" s="26">
        <v>23</v>
      </c>
      <c r="F83" s="26"/>
      <c r="G83" s="26">
        <v>120</v>
      </c>
      <c r="H83" s="26">
        <v>79</v>
      </c>
      <c r="I83" s="26">
        <v>42</v>
      </c>
      <c r="J83" s="26">
        <v>90</v>
      </c>
      <c r="K83" s="26">
        <f t="shared" si="44"/>
        <v>331</v>
      </c>
      <c r="L83" s="33">
        <v>8</v>
      </c>
      <c r="M83" s="33">
        <v>5.3</v>
      </c>
      <c r="N83" s="33">
        <v>2.8</v>
      </c>
      <c r="O83" s="33">
        <v>6</v>
      </c>
      <c r="P83" s="33">
        <f t="shared" si="51"/>
        <v>22.1</v>
      </c>
      <c r="Q83" s="37">
        <f t="shared" si="45"/>
        <v>912</v>
      </c>
      <c r="R83" s="37">
        <f t="shared" si="46"/>
        <v>604</v>
      </c>
      <c r="S83" s="37">
        <f t="shared" si="42"/>
        <v>319</v>
      </c>
      <c r="T83" s="37">
        <f t="shared" si="47"/>
        <v>684</v>
      </c>
      <c r="U83" s="37">
        <f t="shared" si="49"/>
        <v>2519</v>
      </c>
    </row>
    <row r="84" customHeight="1" spans="1:21">
      <c r="A84" s="26">
        <v>79</v>
      </c>
      <c r="B84" s="26" t="s">
        <v>302</v>
      </c>
      <c r="C84" s="26" t="s">
        <v>195</v>
      </c>
      <c r="D84" s="26" t="s">
        <v>314</v>
      </c>
      <c r="E84" s="26">
        <v>28</v>
      </c>
      <c r="F84" s="26"/>
      <c r="G84" s="26">
        <v>135</v>
      </c>
      <c r="H84" s="26">
        <v>93</v>
      </c>
      <c r="I84" s="26">
        <v>30</v>
      </c>
      <c r="J84" s="26">
        <v>105</v>
      </c>
      <c r="K84" s="26">
        <f t="shared" si="44"/>
        <v>363</v>
      </c>
      <c r="L84" s="33">
        <v>9</v>
      </c>
      <c r="M84" s="33">
        <v>6.2</v>
      </c>
      <c r="N84" s="33">
        <v>2</v>
      </c>
      <c r="O84" s="33">
        <v>7</v>
      </c>
      <c r="P84" s="33">
        <f t="shared" si="51"/>
        <v>24.2</v>
      </c>
      <c r="Q84" s="37">
        <f t="shared" si="45"/>
        <v>1026</v>
      </c>
      <c r="R84" s="37">
        <f t="shared" si="46"/>
        <v>707</v>
      </c>
      <c r="S84" s="37">
        <f t="shared" si="42"/>
        <v>228</v>
      </c>
      <c r="T84" s="37">
        <f t="shared" si="47"/>
        <v>798</v>
      </c>
      <c r="U84" s="37">
        <f t="shared" si="49"/>
        <v>2759</v>
      </c>
    </row>
    <row r="85" customHeight="1" spans="1:21">
      <c r="A85" s="26">
        <v>80</v>
      </c>
      <c r="B85" s="26" t="s">
        <v>302</v>
      </c>
      <c r="C85" s="26" t="s">
        <v>196</v>
      </c>
      <c r="D85" s="26" t="s">
        <v>278</v>
      </c>
      <c r="E85" s="26">
        <v>27</v>
      </c>
      <c r="F85" s="26"/>
      <c r="G85" s="26">
        <v>120</v>
      </c>
      <c r="H85" s="26">
        <v>63</v>
      </c>
      <c r="I85" s="26">
        <v>54</v>
      </c>
      <c r="J85" s="26">
        <v>90</v>
      </c>
      <c r="K85" s="26">
        <f t="shared" si="44"/>
        <v>327</v>
      </c>
      <c r="L85" s="33">
        <v>8</v>
      </c>
      <c r="M85" s="33">
        <v>4.2</v>
      </c>
      <c r="N85" s="33">
        <v>3.6</v>
      </c>
      <c r="O85" s="33">
        <v>6</v>
      </c>
      <c r="P85" s="33">
        <f t="shared" si="51"/>
        <v>21.8</v>
      </c>
      <c r="Q85" s="37">
        <f t="shared" si="45"/>
        <v>912</v>
      </c>
      <c r="R85" s="37">
        <f t="shared" si="46"/>
        <v>479</v>
      </c>
      <c r="S85" s="37">
        <f t="shared" si="42"/>
        <v>410</v>
      </c>
      <c r="T85" s="37">
        <f t="shared" si="47"/>
        <v>684</v>
      </c>
      <c r="U85" s="37">
        <f t="shared" si="49"/>
        <v>2485</v>
      </c>
    </row>
    <row r="86" customHeight="1" spans="1:21">
      <c r="A86" s="26">
        <v>81</v>
      </c>
      <c r="B86" s="26" t="s">
        <v>302</v>
      </c>
      <c r="C86" s="26" t="s">
        <v>235</v>
      </c>
      <c r="D86" s="26" t="s">
        <v>307</v>
      </c>
      <c r="E86" s="26">
        <v>16</v>
      </c>
      <c r="F86" s="26"/>
      <c r="G86" s="26">
        <v>135</v>
      </c>
      <c r="H86" s="26">
        <v>84</v>
      </c>
      <c r="I86" s="26">
        <v>39</v>
      </c>
      <c r="J86" s="26">
        <v>120</v>
      </c>
      <c r="K86" s="26">
        <f t="shared" si="44"/>
        <v>378</v>
      </c>
      <c r="L86" s="33">
        <v>8</v>
      </c>
      <c r="M86" s="33">
        <v>5.6</v>
      </c>
      <c r="N86" s="33">
        <v>2.3</v>
      </c>
      <c r="O86" s="33">
        <v>8</v>
      </c>
      <c r="P86" s="33">
        <f t="shared" si="51"/>
        <v>23.9</v>
      </c>
      <c r="Q86" s="37">
        <f t="shared" si="45"/>
        <v>927</v>
      </c>
      <c r="R86" s="37">
        <f t="shared" si="46"/>
        <v>638</v>
      </c>
      <c r="S86" s="37">
        <f t="shared" si="42"/>
        <v>267</v>
      </c>
      <c r="T86" s="37">
        <f t="shared" si="47"/>
        <v>912</v>
      </c>
      <c r="U86" s="37">
        <f t="shared" si="49"/>
        <v>2744</v>
      </c>
    </row>
    <row r="87" customHeight="1" spans="1:21">
      <c r="A87" s="26">
        <v>82</v>
      </c>
      <c r="B87" s="26" t="s">
        <v>302</v>
      </c>
      <c r="C87" s="26" t="s">
        <v>203</v>
      </c>
      <c r="D87" s="26" t="s">
        <v>305</v>
      </c>
      <c r="E87" s="26">
        <v>45</v>
      </c>
      <c r="F87" s="26"/>
      <c r="G87" s="26">
        <v>135</v>
      </c>
      <c r="H87" s="26">
        <v>85</v>
      </c>
      <c r="I87" s="26">
        <v>34</v>
      </c>
      <c r="J87" s="26">
        <v>90</v>
      </c>
      <c r="K87" s="26">
        <f t="shared" si="44"/>
        <v>344</v>
      </c>
      <c r="L87" s="33">
        <v>9</v>
      </c>
      <c r="M87" s="33">
        <v>5.7</v>
      </c>
      <c r="N87" s="33">
        <v>2.3</v>
      </c>
      <c r="O87" s="33">
        <v>6</v>
      </c>
      <c r="P87" s="33">
        <f t="shared" si="51"/>
        <v>23</v>
      </c>
      <c r="Q87" s="37">
        <f t="shared" si="45"/>
        <v>1026</v>
      </c>
      <c r="R87" s="37">
        <f t="shared" si="46"/>
        <v>649</v>
      </c>
      <c r="S87" s="37">
        <f t="shared" si="42"/>
        <v>262</v>
      </c>
      <c r="T87" s="37">
        <f t="shared" si="47"/>
        <v>684</v>
      </c>
      <c r="U87" s="37">
        <f t="shared" si="49"/>
        <v>2621</v>
      </c>
    </row>
    <row r="88" customHeight="1" spans="1:21">
      <c r="A88" s="26">
        <v>83</v>
      </c>
      <c r="B88" s="26" t="s">
        <v>302</v>
      </c>
      <c r="C88" s="26" t="s">
        <v>221</v>
      </c>
      <c r="D88" s="26" t="s">
        <v>315</v>
      </c>
      <c r="E88" s="26">
        <v>10</v>
      </c>
      <c r="F88" s="26"/>
      <c r="G88" s="26">
        <v>150</v>
      </c>
      <c r="H88" s="26">
        <v>75</v>
      </c>
      <c r="I88" s="26">
        <v>46</v>
      </c>
      <c r="J88" s="26">
        <v>90</v>
      </c>
      <c r="K88" s="26">
        <f t="shared" si="44"/>
        <v>361</v>
      </c>
      <c r="L88" s="33">
        <v>10</v>
      </c>
      <c r="M88" s="33">
        <v>5</v>
      </c>
      <c r="N88" s="33">
        <v>3.1</v>
      </c>
      <c r="O88" s="33">
        <v>6</v>
      </c>
      <c r="P88" s="33">
        <f t="shared" si="51"/>
        <v>24.1</v>
      </c>
      <c r="Q88" s="37">
        <f t="shared" si="45"/>
        <v>1140</v>
      </c>
      <c r="R88" s="37">
        <f t="shared" si="46"/>
        <v>570</v>
      </c>
      <c r="S88" s="37">
        <f t="shared" si="42"/>
        <v>353</v>
      </c>
      <c r="T88" s="37">
        <f t="shared" si="47"/>
        <v>684</v>
      </c>
      <c r="U88" s="37">
        <f t="shared" si="49"/>
        <v>2747</v>
      </c>
    </row>
    <row r="89" customHeight="1" spans="1:21">
      <c r="A89" s="26">
        <v>84</v>
      </c>
      <c r="B89" s="26" t="s">
        <v>302</v>
      </c>
      <c r="C89" s="26" t="s">
        <v>205</v>
      </c>
      <c r="D89" s="26" t="s">
        <v>281</v>
      </c>
      <c r="E89" s="26">
        <v>16</v>
      </c>
      <c r="F89" s="26"/>
      <c r="G89" s="26">
        <v>120</v>
      </c>
      <c r="H89" s="26">
        <v>90</v>
      </c>
      <c r="I89" s="26">
        <v>90</v>
      </c>
      <c r="J89" s="26">
        <v>100</v>
      </c>
      <c r="K89" s="26">
        <f t="shared" si="44"/>
        <v>400</v>
      </c>
      <c r="L89" s="33">
        <v>8</v>
      </c>
      <c r="M89" s="33">
        <v>4.8</v>
      </c>
      <c r="N89" s="33">
        <v>4.8</v>
      </c>
      <c r="O89" s="33">
        <v>8</v>
      </c>
      <c r="P89" s="33">
        <f t="shared" si="51"/>
        <v>25.6</v>
      </c>
      <c r="Q89" s="37">
        <f t="shared" si="45"/>
        <v>912</v>
      </c>
      <c r="R89" s="37">
        <f t="shared" si="46"/>
        <v>565</v>
      </c>
      <c r="S89" s="37">
        <f t="shared" si="42"/>
        <v>565</v>
      </c>
      <c r="T89" s="37">
        <f t="shared" si="47"/>
        <v>892</v>
      </c>
      <c r="U89" s="37">
        <f t="shared" si="49"/>
        <v>2934</v>
      </c>
    </row>
    <row r="90" customHeight="1" spans="1:21">
      <c r="A90" s="26">
        <v>85</v>
      </c>
      <c r="B90" s="26" t="s">
        <v>302</v>
      </c>
      <c r="C90" s="26" t="s">
        <v>218</v>
      </c>
      <c r="D90" s="26" t="s">
        <v>281</v>
      </c>
      <c r="E90" s="26">
        <v>16</v>
      </c>
      <c r="F90" s="26"/>
      <c r="G90" s="26">
        <v>120</v>
      </c>
      <c r="H90" s="26">
        <v>100</v>
      </c>
      <c r="I90" s="26">
        <v>80</v>
      </c>
      <c r="J90" s="26">
        <v>100</v>
      </c>
      <c r="K90" s="26">
        <f t="shared" si="44"/>
        <v>400</v>
      </c>
      <c r="L90" s="33">
        <v>9</v>
      </c>
      <c r="M90" s="33">
        <v>5.1</v>
      </c>
      <c r="N90" s="33">
        <v>4.2</v>
      </c>
      <c r="O90" s="33">
        <v>7</v>
      </c>
      <c r="P90" s="33">
        <f t="shared" si="51"/>
        <v>25.3</v>
      </c>
      <c r="Q90" s="37">
        <f t="shared" si="45"/>
        <v>1011</v>
      </c>
      <c r="R90" s="37">
        <f t="shared" si="46"/>
        <v>605</v>
      </c>
      <c r="S90" s="37">
        <f t="shared" si="42"/>
        <v>496</v>
      </c>
      <c r="T90" s="37">
        <f t="shared" si="47"/>
        <v>793</v>
      </c>
      <c r="U90" s="37">
        <f t="shared" si="49"/>
        <v>2905</v>
      </c>
    </row>
    <row r="91" customHeight="1" spans="1:21">
      <c r="A91" s="26">
        <v>86</v>
      </c>
      <c r="B91" s="26" t="s">
        <v>302</v>
      </c>
      <c r="C91" s="26" t="s">
        <v>238</v>
      </c>
      <c r="D91" s="26" t="s">
        <v>315</v>
      </c>
      <c r="E91" s="26">
        <v>10</v>
      </c>
      <c r="F91" s="26"/>
      <c r="G91" s="26">
        <v>110</v>
      </c>
      <c r="H91" s="26">
        <v>80</v>
      </c>
      <c r="I91" s="26">
        <v>54</v>
      </c>
      <c r="J91" s="26">
        <v>120</v>
      </c>
      <c r="K91" s="26">
        <f t="shared" si="44"/>
        <v>364</v>
      </c>
      <c r="L91" s="33">
        <v>7</v>
      </c>
      <c r="M91" s="33">
        <v>4.2</v>
      </c>
      <c r="N91" s="33">
        <v>3.6</v>
      </c>
      <c r="O91" s="33">
        <v>7</v>
      </c>
      <c r="P91" s="33">
        <f t="shared" si="51"/>
        <v>21.8</v>
      </c>
      <c r="Q91" s="37">
        <f t="shared" si="45"/>
        <v>803</v>
      </c>
      <c r="R91" s="37">
        <f t="shared" si="46"/>
        <v>496</v>
      </c>
      <c r="S91" s="37">
        <f t="shared" si="42"/>
        <v>410</v>
      </c>
      <c r="T91" s="37">
        <f t="shared" si="47"/>
        <v>813</v>
      </c>
      <c r="U91" s="37">
        <f t="shared" si="49"/>
        <v>2522</v>
      </c>
    </row>
    <row r="92" customHeight="1" spans="1:21">
      <c r="A92" s="26">
        <v>87</v>
      </c>
      <c r="B92" s="26" t="s">
        <v>302</v>
      </c>
      <c r="C92" s="26" t="s">
        <v>228</v>
      </c>
      <c r="D92" s="26" t="s">
        <v>275</v>
      </c>
      <c r="E92" s="26">
        <v>7</v>
      </c>
      <c r="F92" s="26"/>
      <c r="G92" s="26">
        <v>150</v>
      </c>
      <c r="H92" s="26">
        <v>100</v>
      </c>
      <c r="I92" s="26">
        <v>110</v>
      </c>
      <c r="J92" s="26">
        <v>150</v>
      </c>
      <c r="K92" s="26">
        <f t="shared" si="44"/>
        <v>510</v>
      </c>
      <c r="L92" s="33">
        <v>7</v>
      </c>
      <c r="M92" s="33">
        <v>4.4</v>
      </c>
      <c r="N92" s="33">
        <v>3.9</v>
      </c>
      <c r="O92" s="33">
        <v>7</v>
      </c>
      <c r="P92" s="33">
        <f t="shared" si="51"/>
        <v>22.3</v>
      </c>
      <c r="Q92" s="37">
        <f t="shared" si="45"/>
        <v>843</v>
      </c>
      <c r="R92" s="37">
        <f t="shared" si="46"/>
        <v>536</v>
      </c>
      <c r="S92" s="37">
        <f t="shared" si="42"/>
        <v>496</v>
      </c>
      <c r="T92" s="37">
        <f t="shared" si="47"/>
        <v>843</v>
      </c>
      <c r="U92" s="37">
        <f t="shared" si="49"/>
        <v>2718</v>
      </c>
    </row>
    <row r="93" customHeight="1" spans="1:21">
      <c r="A93" s="26">
        <v>88</v>
      </c>
      <c r="B93" s="26" t="s">
        <v>302</v>
      </c>
      <c r="C93" s="26" t="s">
        <v>237</v>
      </c>
      <c r="D93" s="26" t="s">
        <v>312</v>
      </c>
      <c r="E93" s="26">
        <v>36</v>
      </c>
      <c r="F93" s="26"/>
      <c r="G93" s="26">
        <v>160</v>
      </c>
      <c r="H93" s="26">
        <v>80</v>
      </c>
      <c r="I93" s="26">
        <v>90</v>
      </c>
      <c r="J93" s="26">
        <v>100</v>
      </c>
      <c r="K93" s="26">
        <f t="shared" si="44"/>
        <v>430</v>
      </c>
      <c r="L93" s="33">
        <v>8</v>
      </c>
      <c r="M93" s="33">
        <v>5.1</v>
      </c>
      <c r="N93" s="33">
        <v>3.1</v>
      </c>
      <c r="O93" s="33">
        <v>7</v>
      </c>
      <c r="P93" s="33">
        <f t="shared" si="51"/>
        <v>23.2</v>
      </c>
      <c r="Q93" s="37">
        <f t="shared" si="45"/>
        <v>952</v>
      </c>
      <c r="R93" s="37">
        <f t="shared" si="46"/>
        <v>585</v>
      </c>
      <c r="S93" s="37">
        <f t="shared" si="42"/>
        <v>397</v>
      </c>
      <c r="T93" s="37">
        <f t="shared" si="47"/>
        <v>793</v>
      </c>
      <c r="U93" s="37">
        <f t="shared" si="49"/>
        <v>2727</v>
      </c>
    </row>
    <row r="94" customHeight="1" spans="1:21">
      <c r="A94" s="26">
        <v>89</v>
      </c>
      <c r="B94" s="26" t="s">
        <v>302</v>
      </c>
      <c r="C94" s="26" t="s">
        <v>227</v>
      </c>
      <c r="D94" s="26" t="s">
        <v>286</v>
      </c>
      <c r="E94" s="26">
        <v>3</v>
      </c>
      <c r="F94" s="26"/>
      <c r="G94" s="26">
        <v>120</v>
      </c>
      <c r="H94" s="26">
        <v>88</v>
      </c>
      <c r="I94" s="26">
        <v>40</v>
      </c>
      <c r="J94" s="26">
        <v>115</v>
      </c>
      <c r="K94" s="26">
        <f t="shared" si="44"/>
        <v>363</v>
      </c>
      <c r="L94" s="33">
        <v>8</v>
      </c>
      <c r="M94" s="33">
        <v>6.1</v>
      </c>
      <c r="N94" s="33">
        <v>2.1</v>
      </c>
      <c r="O94" s="33">
        <v>8</v>
      </c>
      <c r="P94" s="33">
        <f t="shared" si="51"/>
        <v>24.2</v>
      </c>
      <c r="Q94" s="37">
        <f t="shared" si="45"/>
        <v>912</v>
      </c>
      <c r="R94" s="37">
        <f t="shared" si="46"/>
        <v>692</v>
      </c>
      <c r="S94" s="37">
        <f t="shared" si="42"/>
        <v>248</v>
      </c>
      <c r="T94" s="37">
        <f t="shared" si="47"/>
        <v>907</v>
      </c>
      <c r="U94" s="37">
        <f t="shared" si="49"/>
        <v>2759</v>
      </c>
    </row>
    <row r="95" customHeight="1" spans="1:21">
      <c r="A95" s="26">
        <v>90</v>
      </c>
      <c r="B95" s="26" t="s">
        <v>302</v>
      </c>
      <c r="C95" s="26" t="s">
        <v>229</v>
      </c>
      <c r="D95" s="26" t="s">
        <v>315</v>
      </c>
      <c r="E95" s="26">
        <v>10</v>
      </c>
      <c r="F95" s="26"/>
      <c r="G95" s="26">
        <v>150</v>
      </c>
      <c r="H95" s="26">
        <v>105</v>
      </c>
      <c r="I95" s="26">
        <v>30</v>
      </c>
      <c r="J95" s="26">
        <v>180</v>
      </c>
      <c r="K95" s="26">
        <f t="shared" si="44"/>
        <v>465</v>
      </c>
      <c r="L95" s="33">
        <v>6</v>
      </c>
      <c r="M95" s="33">
        <v>6.3</v>
      </c>
      <c r="N95" s="33">
        <v>1.8</v>
      </c>
      <c r="O95" s="33">
        <v>9</v>
      </c>
      <c r="P95" s="33">
        <f t="shared" si="51"/>
        <v>23.1</v>
      </c>
      <c r="Q95" s="37">
        <f t="shared" si="45"/>
        <v>744</v>
      </c>
      <c r="R95" s="37">
        <f t="shared" si="46"/>
        <v>729</v>
      </c>
      <c r="S95" s="37">
        <f t="shared" si="42"/>
        <v>208</v>
      </c>
      <c r="T95" s="37">
        <f t="shared" si="47"/>
        <v>1071</v>
      </c>
      <c r="U95" s="37">
        <f t="shared" si="49"/>
        <v>2752</v>
      </c>
    </row>
    <row r="96" customHeight="1" spans="1:21">
      <c r="A96" s="26">
        <v>91</v>
      </c>
      <c r="B96" s="26" t="s">
        <v>302</v>
      </c>
      <c r="C96" s="26" t="s">
        <v>236</v>
      </c>
      <c r="D96" s="26" t="s">
        <v>284</v>
      </c>
      <c r="E96" s="26">
        <v>11</v>
      </c>
      <c r="F96" s="26"/>
      <c r="G96" s="26">
        <v>150</v>
      </c>
      <c r="H96" s="26">
        <v>75</v>
      </c>
      <c r="I96" s="26">
        <v>95</v>
      </c>
      <c r="J96" s="26">
        <v>150</v>
      </c>
      <c r="K96" s="26">
        <f t="shared" si="44"/>
        <v>470</v>
      </c>
      <c r="L96" s="33">
        <v>7</v>
      </c>
      <c r="M96" s="33">
        <v>4.8</v>
      </c>
      <c r="N96" s="33">
        <v>3.3</v>
      </c>
      <c r="O96" s="33">
        <v>7</v>
      </c>
      <c r="P96" s="33">
        <f t="shared" si="51"/>
        <v>22.1</v>
      </c>
      <c r="Q96" s="37">
        <f t="shared" si="45"/>
        <v>843</v>
      </c>
      <c r="R96" s="37">
        <f t="shared" si="46"/>
        <v>550</v>
      </c>
      <c r="S96" s="37">
        <f t="shared" si="42"/>
        <v>422</v>
      </c>
      <c r="T96" s="37">
        <f t="shared" si="47"/>
        <v>843</v>
      </c>
      <c r="U96" s="37">
        <f t="shared" si="49"/>
        <v>2658</v>
      </c>
    </row>
    <row r="97" customHeight="1" spans="1:21">
      <c r="A97" s="26">
        <v>92</v>
      </c>
      <c r="B97" s="26" t="s">
        <v>302</v>
      </c>
      <c r="C97" s="26" t="s">
        <v>234</v>
      </c>
      <c r="D97" s="26" t="s">
        <v>286</v>
      </c>
      <c r="E97" s="26">
        <v>3</v>
      </c>
      <c r="F97" s="26"/>
      <c r="G97" s="26">
        <v>1</v>
      </c>
      <c r="H97" s="26">
        <v>1</v>
      </c>
      <c r="I97" s="26">
        <v>1</v>
      </c>
      <c r="J97" s="26">
        <v>1</v>
      </c>
      <c r="K97" s="26">
        <f t="shared" si="44"/>
        <v>4</v>
      </c>
      <c r="L97" s="33">
        <v>9</v>
      </c>
      <c r="M97" s="33">
        <v>4.3</v>
      </c>
      <c r="N97" s="33">
        <v>2.8</v>
      </c>
      <c r="O97" s="33">
        <v>13</v>
      </c>
      <c r="P97" s="33">
        <f t="shared" si="51"/>
        <v>29.1</v>
      </c>
      <c r="Q97" s="37">
        <f t="shared" si="45"/>
        <v>892</v>
      </c>
      <c r="R97" s="37">
        <f t="shared" si="46"/>
        <v>427</v>
      </c>
      <c r="S97" s="37">
        <f t="shared" si="42"/>
        <v>278</v>
      </c>
      <c r="T97" s="37">
        <f t="shared" si="47"/>
        <v>1288</v>
      </c>
      <c r="U97" s="37">
        <f t="shared" si="49"/>
        <v>2885</v>
      </c>
    </row>
    <row r="98" customHeight="1" spans="1:21">
      <c r="A98" s="26">
        <v>93</v>
      </c>
      <c r="B98" s="26" t="s">
        <v>302</v>
      </c>
      <c r="C98" s="26" t="s">
        <v>197</v>
      </c>
      <c r="D98" s="26" t="s">
        <v>286</v>
      </c>
      <c r="E98" s="26">
        <v>3</v>
      </c>
      <c r="F98" s="26"/>
      <c r="G98" s="26">
        <v>150</v>
      </c>
      <c r="H98" s="26">
        <v>200</v>
      </c>
      <c r="I98" s="26">
        <v>1</v>
      </c>
      <c r="J98" s="26">
        <v>180</v>
      </c>
      <c r="K98" s="26">
        <f t="shared" si="44"/>
        <v>531</v>
      </c>
      <c r="L98" s="33">
        <v>6</v>
      </c>
      <c r="M98" s="33">
        <v>6.1</v>
      </c>
      <c r="N98" s="33">
        <v>0</v>
      </c>
      <c r="O98" s="33">
        <v>11</v>
      </c>
      <c r="P98" s="33">
        <f t="shared" si="51"/>
        <v>23.1</v>
      </c>
      <c r="Q98" s="37">
        <f t="shared" si="45"/>
        <v>744</v>
      </c>
      <c r="R98" s="37">
        <f t="shared" si="46"/>
        <v>804</v>
      </c>
      <c r="S98" s="37">
        <f t="shared" si="42"/>
        <v>1</v>
      </c>
      <c r="T98" s="37">
        <f t="shared" si="47"/>
        <v>1269</v>
      </c>
      <c r="U98" s="37">
        <f t="shared" si="49"/>
        <v>2818</v>
      </c>
    </row>
    <row r="99" customHeight="1" spans="1:21">
      <c r="A99" s="26">
        <v>94</v>
      </c>
      <c r="B99" s="26" t="s">
        <v>302</v>
      </c>
      <c r="C99" s="26" t="s">
        <v>232</v>
      </c>
      <c r="D99" s="26" t="s">
        <v>276</v>
      </c>
      <c r="E99" s="26">
        <v>20</v>
      </c>
      <c r="F99" s="26"/>
      <c r="G99" s="26">
        <v>80</v>
      </c>
      <c r="H99" s="26">
        <v>75</v>
      </c>
      <c r="I99" s="26">
        <v>105</v>
      </c>
      <c r="J99" s="26">
        <v>80</v>
      </c>
      <c r="K99" s="26">
        <f t="shared" si="44"/>
        <v>340</v>
      </c>
      <c r="L99" s="33">
        <v>8</v>
      </c>
      <c r="M99" s="33">
        <v>3.9</v>
      </c>
      <c r="N99" s="33">
        <v>5.1</v>
      </c>
      <c r="O99" s="33">
        <v>7</v>
      </c>
      <c r="P99" s="33">
        <f t="shared" si="51"/>
        <v>24</v>
      </c>
      <c r="Q99" s="37">
        <f t="shared" si="45"/>
        <v>872</v>
      </c>
      <c r="R99" s="37">
        <f t="shared" si="46"/>
        <v>461</v>
      </c>
      <c r="S99" s="37">
        <f t="shared" ref="S99" si="52">ROUND(I99+N99*($V$2-1),0)</f>
        <v>610</v>
      </c>
      <c r="T99" s="37">
        <f t="shared" si="47"/>
        <v>773</v>
      </c>
      <c r="U99" s="37">
        <f t="shared" si="49"/>
        <v>2716</v>
      </c>
    </row>
    <row r="100" customHeight="1" spans="1:21">
      <c r="A100" s="26">
        <v>95</v>
      </c>
      <c r="B100" s="26" t="s">
        <v>302</v>
      </c>
      <c r="C100" s="26" t="s">
        <v>217</v>
      </c>
      <c r="D100" s="26" t="s">
        <v>306</v>
      </c>
      <c r="E100" s="26">
        <v>13</v>
      </c>
      <c r="F100" s="26"/>
      <c r="G100" s="26">
        <v>110</v>
      </c>
      <c r="H100" s="26">
        <v>30</v>
      </c>
      <c r="I100" s="26">
        <v>150</v>
      </c>
      <c r="J100" s="26">
        <v>60</v>
      </c>
      <c r="K100" s="26">
        <f t="shared" si="44"/>
        <v>350</v>
      </c>
      <c r="L100" s="33">
        <v>9</v>
      </c>
      <c r="M100" s="33">
        <v>3.1</v>
      </c>
      <c r="N100" s="33">
        <v>5.5</v>
      </c>
      <c r="O100" s="33">
        <v>5</v>
      </c>
      <c r="P100" s="33">
        <f t="shared" si="51"/>
        <v>22.6</v>
      </c>
      <c r="Q100" s="37">
        <f t="shared" si="45"/>
        <v>1001</v>
      </c>
      <c r="R100" s="37">
        <f t="shared" si="46"/>
        <v>337</v>
      </c>
      <c r="S100" s="37">
        <f t="shared" ref="S100:S130" si="53">ROUND(I100+N100*($V$2-1),0)</f>
        <v>695</v>
      </c>
      <c r="T100" s="37">
        <f t="shared" ref="T100" si="54">ROUND(J100+O100*($V$2-1),0)</f>
        <v>555</v>
      </c>
      <c r="U100" s="37">
        <f t="shared" si="49"/>
        <v>2588</v>
      </c>
    </row>
    <row r="101" customHeight="1" spans="1:21">
      <c r="A101" s="26">
        <v>96</v>
      </c>
      <c r="B101" s="26" t="s">
        <v>302</v>
      </c>
      <c r="C101" s="26" t="s">
        <v>241</v>
      </c>
      <c r="D101" s="26" t="s">
        <v>284</v>
      </c>
      <c r="E101" s="26">
        <v>11</v>
      </c>
      <c r="F101" s="26"/>
      <c r="G101" s="26">
        <v>195</v>
      </c>
      <c r="H101" s="26">
        <v>70</v>
      </c>
      <c r="I101" s="26">
        <v>95</v>
      </c>
      <c r="J101" s="26">
        <v>95</v>
      </c>
      <c r="K101" s="26">
        <f t="shared" si="44"/>
        <v>455</v>
      </c>
      <c r="L101" s="33">
        <v>8</v>
      </c>
      <c r="M101" s="33">
        <v>3.5</v>
      </c>
      <c r="N101" s="33">
        <v>4.5</v>
      </c>
      <c r="O101" s="33">
        <v>5</v>
      </c>
      <c r="P101" s="33">
        <f t="shared" si="51"/>
        <v>21</v>
      </c>
      <c r="Q101" s="37">
        <f t="shared" si="45"/>
        <v>987</v>
      </c>
      <c r="R101" s="37">
        <f t="shared" si="46"/>
        <v>417</v>
      </c>
      <c r="S101" s="37">
        <f t="shared" si="53"/>
        <v>541</v>
      </c>
      <c r="T101" s="37">
        <f t="shared" ref="T101:T131" si="55">ROUND(J101+O101*($V$2-1),0)</f>
        <v>590</v>
      </c>
      <c r="U101" s="37">
        <f t="shared" si="49"/>
        <v>2535</v>
      </c>
    </row>
    <row r="102" customHeight="1" spans="1:21">
      <c r="A102" s="26">
        <v>97</v>
      </c>
      <c r="B102" s="26" t="s">
        <v>302</v>
      </c>
      <c r="C102" s="26" t="s">
        <v>253</v>
      </c>
      <c r="D102" s="26" t="s">
        <v>286</v>
      </c>
      <c r="E102" s="26">
        <v>3</v>
      </c>
      <c r="F102" s="26"/>
      <c r="G102" s="26">
        <v>110</v>
      </c>
      <c r="H102" s="26">
        <v>90</v>
      </c>
      <c r="I102" s="26">
        <v>90</v>
      </c>
      <c r="J102" s="26">
        <v>90</v>
      </c>
      <c r="K102" s="26">
        <f t="shared" si="44"/>
        <v>380</v>
      </c>
      <c r="L102" s="33">
        <v>7</v>
      </c>
      <c r="M102" s="33">
        <v>4</v>
      </c>
      <c r="N102" s="33">
        <v>3</v>
      </c>
      <c r="O102" s="33">
        <v>6</v>
      </c>
      <c r="P102" s="33">
        <f t="shared" si="51"/>
        <v>20</v>
      </c>
      <c r="Q102" s="37">
        <f t="shared" ref="Q102" si="56">ROUND(G102+L102*($V$2-1),0)</f>
        <v>803</v>
      </c>
      <c r="R102" s="37">
        <f t="shared" ref="R102" si="57">ROUND(H102+M102*($V$2-1),0)</f>
        <v>486</v>
      </c>
      <c r="S102" s="37">
        <f t="shared" si="53"/>
        <v>387</v>
      </c>
      <c r="T102" s="37">
        <f t="shared" si="55"/>
        <v>684</v>
      </c>
      <c r="U102" s="37">
        <f t="shared" ref="U102:U132" si="58">SUM(Q102:T102)</f>
        <v>2360</v>
      </c>
    </row>
    <row r="103" customHeight="1" spans="1:21">
      <c r="A103" s="26">
        <v>98</v>
      </c>
      <c r="B103" s="26" t="s">
        <v>302</v>
      </c>
      <c r="C103" s="26" t="s">
        <v>657</v>
      </c>
      <c r="D103" s="26" t="s">
        <v>281</v>
      </c>
      <c r="E103" s="26">
        <v>16</v>
      </c>
      <c r="F103" s="26"/>
      <c r="G103" s="26">
        <v>145</v>
      </c>
      <c r="H103" s="26">
        <v>95</v>
      </c>
      <c r="I103" s="26">
        <v>65</v>
      </c>
      <c r="J103" s="26">
        <v>95</v>
      </c>
      <c r="K103" s="26">
        <f t="shared" si="44"/>
        <v>400</v>
      </c>
      <c r="L103" s="33">
        <v>7</v>
      </c>
      <c r="M103" s="33">
        <v>4.5</v>
      </c>
      <c r="N103" s="33">
        <v>2.5</v>
      </c>
      <c r="O103" s="33">
        <v>6</v>
      </c>
      <c r="P103" s="33">
        <f t="shared" si="51"/>
        <v>20</v>
      </c>
      <c r="Q103" s="37">
        <f t="shared" ref="Q103:Q112" si="59">ROUND(G103+L103*($V$2-1),0)</f>
        <v>838</v>
      </c>
      <c r="R103" s="37">
        <f t="shared" ref="R103:R112" si="60">ROUND(H103+M103*($V$2-1),0)</f>
        <v>541</v>
      </c>
      <c r="S103" s="37">
        <f t="shared" si="53"/>
        <v>313</v>
      </c>
      <c r="T103" s="37">
        <f t="shared" si="55"/>
        <v>689</v>
      </c>
      <c r="U103" s="37">
        <f t="shared" si="58"/>
        <v>2381</v>
      </c>
    </row>
    <row r="104" customHeight="1" spans="1:21">
      <c r="A104" s="26">
        <v>99</v>
      </c>
      <c r="B104" s="26" t="s">
        <v>302</v>
      </c>
      <c r="C104" s="26" t="s">
        <v>658</v>
      </c>
      <c r="D104" s="26" t="s">
        <v>272</v>
      </c>
      <c r="E104" s="26">
        <v>26</v>
      </c>
      <c r="F104" s="26"/>
      <c r="G104" s="26">
        <v>145</v>
      </c>
      <c r="H104" s="26">
        <v>125</v>
      </c>
      <c r="I104" s="26">
        <v>75</v>
      </c>
      <c r="J104" s="26">
        <v>75</v>
      </c>
      <c r="K104" s="26">
        <f t="shared" si="44"/>
        <v>420</v>
      </c>
      <c r="L104" s="33">
        <v>7</v>
      </c>
      <c r="M104" s="33">
        <v>4.4</v>
      </c>
      <c r="N104" s="33">
        <v>2.9</v>
      </c>
      <c r="O104" s="33">
        <v>7</v>
      </c>
      <c r="P104" s="33">
        <f t="shared" si="51"/>
        <v>21.3</v>
      </c>
      <c r="Q104" s="37">
        <f t="shared" si="59"/>
        <v>838</v>
      </c>
      <c r="R104" s="37">
        <f t="shared" si="60"/>
        <v>561</v>
      </c>
      <c r="S104" s="37">
        <f t="shared" si="53"/>
        <v>362</v>
      </c>
      <c r="T104" s="37">
        <f t="shared" si="55"/>
        <v>768</v>
      </c>
      <c r="U104" s="37">
        <f t="shared" si="58"/>
        <v>2529</v>
      </c>
    </row>
    <row r="105" customHeight="1" spans="1:21">
      <c r="A105" s="26">
        <v>100</v>
      </c>
      <c r="B105" s="26" t="s">
        <v>302</v>
      </c>
      <c r="C105" s="26" t="s">
        <v>659</v>
      </c>
      <c r="D105" s="26" t="s">
        <v>288</v>
      </c>
      <c r="E105" s="26">
        <v>3</v>
      </c>
      <c r="F105" s="26"/>
      <c r="G105" s="26">
        <v>265</v>
      </c>
      <c r="H105" s="26">
        <v>40</v>
      </c>
      <c r="I105" s="26">
        <v>150</v>
      </c>
      <c r="J105" s="26">
        <v>65</v>
      </c>
      <c r="K105" s="26">
        <f t="shared" si="44"/>
        <v>520</v>
      </c>
      <c r="L105" s="33">
        <v>9</v>
      </c>
      <c r="M105" s="33">
        <v>3.4</v>
      </c>
      <c r="N105" s="33">
        <v>4</v>
      </c>
      <c r="O105" s="33">
        <v>5.6</v>
      </c>
      <c r="P105" s="33">
        <f t="shared" si="51"/>
        <v>22</v>
      </c>
      <c r="Q105" s="37">
        <f t="shared" si="59"/>
        <v>1156</v>
      </c>
      <c r="R105" s="37">
        <f t="shared" si="60"/>
        <v>377</v>
      </c>
      <c r="S105" s="37">
        <f t="shared" si="53"/>
        <v>546</v>
      </c>
      <c r="T105" s="37">
        <f t="shared" si="55"/>
        <v>619</v>
      </c>
      <c r="U105" s="37">
        <f t="shared" si="58"/>
        <v>2698</v>
      </c>
    </row>
    <row r="106" customHeight="1" spans="1:21">
      <c r="A106" s="26">
        <v>101</v>
      </c>
      <c r="B106" s="26" t="s">
        <v>302</v>
      </c>
      <c r="C106" s="26" t="s">
        <v>231</v>
      </c>
      <c r="D106" s="26" t="s">
        <v>289</v>
      </c>
      <c r="E106" s="26">
        <v>8</v>
      </c>
      <c r="F106" s="26"/>
      <c r="G106" s="26">
        <v>120</v>
      </c>
      <c r="H106" s="26">
        <v>75</v>
      </c>
      <c r="I106" s="26">
        <v>46</v>
      </c>
      <c r="J106" s="26">
        <v>90</v>
      </c>
      <c r="K106" s="26">
        <f t="shared" ref="K106" si="61">J106+I106+H106+G106</f>
        <v>331</v>
      </c>
      <c r="L106" s="33">
        <v>8</v>
      </c>
      <c r="M106" s="33">
        <v>5</v>
      </c>
      <c r="N106" s="33">
        <v>3.1</v>
      </c>
      <c r="O106" s="33">
        <v>6</v>
      </c>
      <c r="P106" s="33">
        <f t="shared" ref="P106" si="62">O106+N106+M106+L106</f>
        <v>22.1</v>
      </c>
      <c r="Q106" s="37">
        <f t="shared" si="59"/>
        <v>912</v>
      </c>
      <c r="R106" s="37">
        <f t="shared" si="60"/>
        <v>570</v>
      </c>
      <c r="S106" s="37">
        <f t="shared" si="53"/>
        <v>353</v>
      </c>
      <c r="T106" s="37">
        <f t="shared" si="55"/>
        <v>684</v>
      </c>
      <c r="U106" s="37">
        <f t="shared" si="58"/>
        <v>2519</v>
      </c>
    </row>
    <row r="107" customHeight="1" spans="1:21">
      <c r="A107" s="26">
        <v>102</v>
      </c>
      <c r="B107" s="26" t="s">
        <v>302</v>
      </c>
      <c r="C107" s="26" t="s">
        <v>251</v>
      </c>
      <c r="D107" s="26" t="s">
        <v>307</v>
      </c>
      <c r="E107" s="26">
        <v>16</v>
      </c>
      <c r="F107" s="26"/>
      <c r="G107" s="26">
        <v>160</v>
      </c>
      <c r="H107" s="26">
        <v>92</v>
      </c>
      <c r="I107" s="26">
        <v>62</v>
      </c>
      <c r="J107" s="26">
        <v>220</v>
      </c>
      <c r="K107" s="26">
        <f t="shared" ref="K107:K127" si="63">J107+I107+H107+G107</f>
        <v>534</v>
      </c>
      <c r="L107" s="33">
        <v>6</v>
      </c>
      <c r="M107" s="33">
        <v>4.1</v>
      </c>
      <c r="N107" s="33">
        <v>4.1</v>
      </c>
      <c r="O107" s="33">
        <v>7</v>
      </c>
      <c r="P107" s="33">
        <f t="shared" ref="P107:P116" si="64">O107+N107+M107+L107</f>
        <v>21.2</v>
      </c>
      <c r="Q107" s="37">
        <f t="shared" si="59"/>
        <v>754</v>
      </c>
      <c r="R107" s="37">
        <f t="shared" si="60"/>
        <v>498</v>
      </c>
      <c r="S107" s="37">
        <f t="shared" si="53"/>
        <v>468</v>
      </c>
      <c r="T107" s="37">
        <f t="shared" si="55"/>
        <v>913</v>
      </c>
      <c r="U107" s="37">
        <f t="shared" si="58"/>
        <v>2633</v>
      </c>
    </row>
    <row r="108" customHeight="1" spans="1:21">
      <c r="A108" s="26">
        <v>103</v>
      </c>
      <c r="B108" s="26" t="s">
        <v>302</v>
      </c>
      <c r="C108" s="26" t="s">
        <v>256</v>
      </c>
      <c r="D108" s="26" t="s">
        <v>307</v>
      </c>
      <c r="E108" s="26">
        <v>16</v>
      </c>
      <c r="F108" s="26"/>
      <c r="G108" s="26">
        <v>180</v>
      </c>
      <c r="H108" s="26">
        <v>112</v>
      </c>
      <c r="I108" s="26">
        <v>42</v>
      </c>
      <c r="J108" s="26">
        <v>200</v>
      </c>
      <c r="K108" s="26">
        <f t="shared" si="63"/>
        <v>534</v>
      </c>
      <c r="L108" s="33">
        <v>7</v>
      </c>
      <c r="M108" s="33">
        <v>6.1</v>
      </c>
      <c r="N108" s="33">
        <v>2.1</v>
      </c>
      <c r="O108" s="33">
        <v>6</v>
      </c>
      <c r="P108" s="33">
        <f t="shared" si="64"/>
        <v>21.2</v>
      </c>
      <c r="Q108" s="37">
        <f t="shared" si="59"/>
        <v>873</v>
      </c>
      <c r="R108" s="37">
        <f t="shared" si="60"/>
        <v>716</v>
      </c>
      <c r="S108" s="37">
        <f t="shared" si="53"/>
        <v>250</v>
      </c>
      <c r="T108" s="37">
        <f t="shared" si="55"/>
        <v>794</v>
      </c>
      <c r="U108" s="37">
        <f t="shared" si="58"/>
        <v>2633</v>
      </c>
    </row>
    <row r="109" customHeight="1" spans="1:21">
      <c r="A109" s="26">
        <v>104</v>
      </c>
      <c r="B109" s="26" t="s">
        <v>302</v>
      </c>
      <c r="C109" s="26" t="s">
        <v>660</v>
      </c>
      <c r="D109" s="26" t="s">
        <v>272</v>
      </c>
      <c r="E109" s="26">
        <v>26</v>
      </c>
      <c r="F109" s="26"/>
      <c r="G109" s="26">
        <v>250</v>
      </c>
      <c r="H109" s="26">
        <v>110</v>
      </c>
      <c r="I109" s="26">
        <v>110</v>
      </c>
      <c r="J109" s="26">
        <v>20</v>
      </c>
      <c r="K109" s="26">
        <f t="shared" si="63"/>
        <v>490</v>
      </c>
      <c r="L109" s="33">
        <v>12</v>
      </c>
      <c r="M109" s="33">
        <v>3.3</v>
      </c>
      <c r="N109" s="33">
        <v>5.3</v>
      </c>
      <c r="O109" s="33">
        <v>1</v>
      </c>
      <c r="P109" s="33">
        <f t="shared" si="64"/>
        <v>21.6</v>
      </c>
      <c r="Q109" s="37">
        <f t="shared" si="59"/>
        <v>1438</v>
      </c>
      <c r="R109" s="37">
        <f t="shared" si="60"/>
        <v>437</v>
      </c>
      <c r="S109" s="37">
        <f t="shared" si="53"/>
        <v>635</v>
      </c>
      <c r="T109" s="37">
        <f t="shared" si="55"/>
        <v>119</v>
      </c>
      <c r="U109" s="37">
        <f t="shared" si="58"/>
        <v>2629</v>
      </c>
    </row>
    <row r="110" customHeight="1" spans="1:21">
      <c r="A110" s="26">
        <v>105</v>
      </c>
      <c r="B110" s="26" t="s">
        <v>302</v>
      </c>
      <c r="C110" s="26" t="s">
        <v>661</v>
      </c>
      <c r="D110" s="26" t="s">
        <v>356</v>
      </c>
      <c r="E110" s="26"/>
      <c r="F110" s="26"/>
      <c r="G110" s="26">
        <v>100</v>
      </c>
      <c r="H110" s="26">
        <v>60</v>
      </c>
      <c r="I110" s="26">
        <v>150</v>
      </c>
      <c r="J110" s="26">
        <v>80</v>
      </c>
      <c r="K110" s="26">
        <f t="shared" si="63"/>
        <v>390</v>
      </c>
      <c r="L110" s="33">
        <v>8</v>
      </c>
      <c r="M110" s="33">
        <v>6.8</v>
      </c>
      <c r="N110" s="33">
        <v>3.4</v>
      </c>
      <c r="O110" s="33">
        <v>4</v>
      </c>
      <c r="P110" s="33">
        <f t="shared" si="64"/>
        <v>22.2</v>
      </c>
      <c r="Q110" s="37">
        <f t="shared" si="59"/>
        <v>892</v>
      </c>
      <c r="R110" s="37">
        <f t="shared" si="60"/>
        <v>733</v>
      </c>
      <c r="S110" s="37">
        <f t="shared" si="53"/>
        <v>487</v>
      </c>
      <c r="T110" s="37">
        <f t="shared" si="55"/>
        <v>476</v>
      </c>
      <c r="U110" s="37">
        <f t="shared" si="58"/>
        <v>2588</v>
      </c>
    </row>
    <row r="111" customHeight="1" spans="1:21">
      <c r="A111" s="26">
        <v>106</v>
      </c>
      <c r="B111" s="26" t="s">
        <v>302</v>
      </c>
      <c r="C111" s="26" t="s">
        <v>662</v>
      </c>
      <c r="D111" s="26" t="s">
        <v>275</v>
      </c>
      <c r="E111" s="26">
        <v>7</v>
      </c>
      <c r="F111" s="26"/>
      <c r="G111" s="26">
        <v>150</v>
      </c>
      <c r="H111" s="26">
        <v>110</v>
      </c>
      <c r="I111" s="26">
        <v>120</v>
      </c>
      <c r="J111" s="26">
        <v>40</v>
      </c>
      <c r="K111" s="26">
        <f t="shared" si="63"/>
        <v>420</v>
      </c>
      <c r="L111" s="33">
        <v>11</v>
      </c>
      <c r="M111" s="33">
        <v>2.1</v>
      </c>
      <c r="N111" s="33">
        <v>6.5</v>
      </c>
      <c r="O111" s="33">
        <v>2</v>
      </c>
      <c r="P111" s="33">
        <f t="shared" si="64"/>
        <v>21.6</v>
      </c>
      <c r="Q111" s="37">
        <f t="shared" si="59"/>
        <v>1239</v>
      </c>
      <c r="R111" s="37">
        <f t="shared" si="60"/>
        <v>318</v>
      </c>
      <c r="S111" s="37">
        <f t="shared" si="53"/>
        <v>764</v>
      </c>
      <c r="T111" s="37">
        <f t="shared" si="55"/>
        <v>238</v>
      </c>
      <c r="U111" s="37">
        <f t="shared" si="58"/>
        <v>2559</v>
      </c>
    </row>
    <row r="112" customHeight="1" spans="1:21">
      <c r="A112" s="26">
        <v>107</v>
      </c>
      <c r="B112" s="26" t="s">
        <v>302</v>
      </c>
      <c r="C112" s="26" t="s">
        <v>663</v>
      </c>
      <c r="D112" s="26" t="s">
        <v>286</v>
      </c>
      <c r="E112" s="26">
        <v>3</v>
      </c>
      <c r="F112" s="26"/>
      <c r="G112" s="26">
        <v>220</v>
      </c>
      <c r="H112" s="26">
        <v>110</v>
      </c>
      <c r="I112" s="26">
        <v>140</v>
      </c>
      <c r="J112" s="26">
        <v>0</v>
      </c>
      <c r="K112" s="26">
        <f t="shared" si="63"/>
        <v>470</v>
      </c>
      <c r="L112" s="33">
        <v>10</v>
      </c>
      <c r="M112" s="33">
        <v>4.3</v>
      </c>
      <c r="N112" s="33">
        <v>5.2</v>
      </c>
      <c r="O112" s="33">
        <v>0</v>
      </c>
      <c r="P112" s="33">
        <f t="shared" si="64"/>
        <v>19.5</v>
      </c>
      <c r="Q112" s="37">
        <f t="shared" si="59"/>
        <v>1210</v>
      </c>
      <c r="R112" s="37">
        <f t="shared" si="60"/>
        <v>536</v>
      </c>
      <c r="S112" s="37">
        <f t="shared" si="53"/>
        <v>655</v>
      </c>
      <c r="T112" s="37">
        <f t="shared" si="55"/>
        <v>0</v>
      </c>
      <c r="U112" s="37">
        <f t="shared" si="58"/>
        <v>2401</v>
      </c>
    </row>
    <row r="113" customHeight="1" spans="1:21">
      <c r="A113" s="26">
        <v>108</v>
      </c>
      <c r="B113" s="26" t="s">
        <v>302</v>
      </c>
      <c r="C113" s="26" t="s">
        <v>223</v>
      </c>
      <c r="D113" s="26" t="s">
        <v>289</v>
      </c>
      <c r="E113" s="26">
        <v>42</v>
      </c>
      <c r="F113" s="26"/>
      <c r="G113" s="26">
        <v>180</v>
      </c>
      <c r="H113" s="26">
        <v>125</v>
      </c>
      <c r="I113" s="26">
        <v>55</v>
      </c>
      <c r="J113" s="26">
        <v>145</v>
      </c>
      <c r="K113" s="26">
        <f t="shared" si="63"/>
        <v>505</v>
      </c>
      <c r="L113" s="33">
        <v>8</v>
      </c>
      <c r="M113" s="33">
        <v>6.3</v>
      </c>
      <c r="N113" s="33">
        <v>3.3</v>
      </c>
      <c r="O113" s="33">
        <v>7</v>
      </c>
      <c r="P113" s="33">
        <f t="shared" si="64"/>
        <v>24.6</v>
      </c>
      <c r="Q113" s="37">
        <f t="shared" ref="Q113" si="65">ROUND(G113+L113*($V$2-1),0)</f>
        <v>972</v>
      </c>
      <c r="R113" s="37">
        <f t="shared" ref="R113:R133" si="66">ROUND(H113+M113*($V$2-1),0)</f>
        <v>749</v>
      </c>
      <c r="S113" s="37">
        <f t="shared" si="53"/>
        <v>382</v>
      </c>
      <c r="T113" s="37">
        <f t="shared" si="55"/>
        <v>838</v>
      </c>
      <c r="U113" s="37">
        <f t="shared" si="58"/>
        <v>2941</v>
      </c>
    </row>
    <row r="114" customHeight="1" spans="1:21">
      <c r="A114" s="26">
        <v>109</v>
      </c>
      <c r="B114" s="26" t="s">
        <v>302</v>
      </c>
      <c r="C114" s="26" t="s">
        <v>204</v>
      </c>
      <c r="D114" s="26" t="s">
        <v>356</v>
      </c>
      <c r="E114" s="26"/>
      <c r="F114" s="26"/>
      <c r="G114" s="26">
        <v>195</v>
      </c>
      <c r="H114" s="26">
        <v>150</v>
      </c>
      <c r="I114" s="26">
        <v>54</v>
      </c>
      <c r="J114" s="26">
        <v>0</v>
      </c>
      <c r="K114" s="26">
        <f t="shared" si="63"/>
        <v>399</v>
      </c>
      <c r="L114" s="33">
        <v>12</v>
      </c>
      <c r="M114" s="33">
        <v>7.1</v>
      </c>
      <c r="N114" s="33">
        <v>2.1</v>
      </c>
      <c r="O114" s="33">
        <v>0</v>
      </c>
      <c r="P114" s="33">
        <f t="shared" si="64"/>
        <v>21.2</v>
      </c>
      <c r="Q114" s="37">
        <f t="shared" ref="Q114:Q154" si="67">ROUND(G114+L114*($V$2-1),0)</f>
        <v>1383</v>
      </c>
      <c r="R114" s="37">
        <f t="shared" si="66"/>
        <v>853</v>
      </c>
      <c r="S114" s="37">
        <f t="shared" si="53"/>
        <v>262</v>
      </c>
      <c r="T114" s="37">
        <f t="shared" si="55"/>
        <v>0</v>
      </c>
      <c r="U114" s="37">
        <f t="shared" si="58"/>
        <v>2498</v>
      </c>
    </row>
    <row r="115" customHeight="1" spans="1:21">
      <c r="A115" s="26">
        <v>110</v>
      </c>
      <c r="B115" s="26" t="s">
        <v>302</v>
      </c>
      <c r="C115" s="26" t="s">
        <v>664</v>
      </c>
      <c r="D115" s="26" t="s">
        <v>356</v>
      </c>
      <c r="E115" s="26"/>
      <c r="F115" s="26"/>
      <c r="G115" s="26">
        <v>195</v>
      </c>
      <c r="H115" s="26">
        <v>150</v>
      </c>
      <c r="I115" s="26">
        <v>54</v>
      </c>
      <c r="J115" s="26">
        <v>0</v>
      </c>
      <c r="K115" s="26">
        <f t="shared" si="63"/>
        <v>399</v>
      </c>
      <c r="L115" s="33">
        <v>12</v>
      </c>
      <c r="M115" s="33">
        <v>7.06</v>
      </c>
      <c r="N115" s="33">
        <v>2.1</v>
      </c>
      <c r="O115" s="33">
        <v>0</v>
      </c>
      <c r="P115" s="33">
        <f t="shared" si="64"/>
        <v>21.16</v>
      </c>
      <c r="Q115" s="37">
        <f t="shared" si="67"/>
        <v>1383</v>
      </c>
      <c r="R115" s="37">
        <f t="shared" si="66"/>
        <v>849</v>
      </c>
      <c r="S115" s="37">
        <f t="shared" si="53"/>
        <v>262</v>
      </c>
      <c r="T115" s="37">
        <f t="shared" si="55"/>
        <v>0</v>
      </c>
      <c r="U115" s="37">
        <f t="shared" si="58"/>
        <v>2494</v>
      </c>
    </row>
    <row r="116" customHeight="1" spans="1:21">
      <c r="A116" s="26">
        <v>111</v>
      </c>
      <c r="B116" s="26" t="s">
        <v>302</v>
      </c>
      <c r="C116" s="26" t="s">
        <v>665</v>
      </c>
      <c r="D116" s="26" t="s">
        <v>312</v>
      </c>
      <c r="E116" s="26">
        <v>36</v>
      </c>
      <c r="F116" s="26"/>
      <c r="G116" s="26">
        <v>200</v>
      </c>
      <c r="H116" s="26">
        <v>125</v>
      </c>
      <c r="I116" s="26">
        <v>100</v>
      </c>
      <c r="J116" s="26">
        <v>125</v>
      </c>
      <c r="K116" s="26">
        <f t="shared" si="63"/>
        <v>550</v>
      </c>
      <c r="L116" s="33">
        <v>7</v>
      </c>
      <c r="M116" s="33">
        <v>7.1</v>
      </c>
      <c r="N116" s="33">
        <v>3.6</v>
      </c>
      <c r="O116" s="33">
        <v>7</v>
      </c>
      <c r="P116" s="33">
        <f t="shared" si="64"/>
        <v>24.7</v>
      </c>
      <c r="Q116" s="37">
        <f t="shared" si="67"/>
        <v>893</v>
      </c>
      <c r="R116" s="37">
        <f t="shared" si="66"/>
        <v>828</v>
      </c>
      <c r="S116" s="37">
        <f t="shared" si="53"/>
        <v>456</v>
      </c>
      <c r="T116" s="37">
        <f t="shared" si="55"/>
        <v>818</v>
      </c>
      <c r="U116" s="37">
        <f t="shared" si="58"/>
        <v>2995</v>
      </c>
    </row>
    <row r="117" customHeight="1" spans="1:21">
      <c r="A117" s="26">
        <v>112</v>
      </c>
      <c r="B117" s="26" t="s">
        <v>302</v>
      </c>
      <c r="C117" s="26" t="s">
        <v>222</v>
      </c>
      <c r="D117" s="26" t="s">
        <v>315</v>
      </c>
      <c r="E117" s="26">
        <v>10</v>
      </c>
      <c r="F117" s="26"/>
      <c r="G117" s="26">
        <v>160</v>
      </c>
      <c r="H117" s="26">
        <v>92</v>
      </c>
      <c r="I117" s="26">
        <v>82</v>
      </c>
      <c r="J117" s="26">
        <v>170</v>
      </c>
      <c r="K117" s="26">
        <f t="shared" si="63"/>
        <v>504</v>
      </c>
      <c r="L117" s="33">
        <v>8</v>
      </c>
      <c r="M117" s="33">
        <v>4.5</v>
      </c>
      <c r="N117" s="33">
        <v>4.1</v>
      </c>
      <c r="O117" s="33">
        <v>8</v>
      </c>
      <c r="P117" s="33">
        <f t="shared" ref="P117" si="68">O117+N117+M117+L117</f>
        <v>24.6</v>
      </c>
      <c r="Q117" s="37">
        <f t="shared" si="67"/>
        <v>952</v>
      </c>
      <c r="R117" s="37">
        <f t="shared" si="66"/>
        <v>538</v>
      </c>
      <c r="S117" s="37">
        <f t="shared" si="53"/>
        <v>488</v>
      </c>
      <c r="T117" s="37">
        <f t="shared" si="55"/>
        <v>962</v>
      </c>
      <c r="U117" s="37">
        <f t="shared" si="58"/>
        <v>2940</v>
      </c>
    </row>
    <row r="118" customHeight="1" spans="1:21">
      <c r="A118" s="26">
        <v>113</v>
      </c>
      <c r="B118" s="26" t="s">
        <v>302</v>
      </c>
      <c r="C118" s="26" t="s">
        <v>226</v>
      </c>
      <c r="D118" s="26" t="s">
        <v>313</v>
      </c>
      <c r="E118" s="26">
        <v>42</v>
      </c>
      <c r="F118" s="26"/>
      <c r="G118" s="26">
        <v>180</v>
      </c>
      <c r="H118" s="26">
        <v>132</v>
      </c>
      <c r="I118" s="26">
        <v>42</v>
      </c>
      <c r="J118" s="26">
        <v>150</v>
      </c>
      <c r="K118" s="26">
        <f t="shared" si="63"/>
        <v>504</v>
      </c>
      <c r="L118" s="33">
        <v>9</v>
      </c>
      <c r="M118" s="33">
        <v>6.5</v>
      </c>
      <c r="N118" s="33">
        <v>2.1</v>
      </c>
      <c r="O118" s="33">
        <v>7</v>
      </c>
      <c r="P118" s="33">
        <f t="shared" ref="P118:P125" si="69">O118+N118+M118+L118</f>
        <v>24.6</v>
      </c>
      <c r="Q118" s="37">
        <f t="shared" si="67"/>
        <v>1071</v>
      </c>
      <c r="R118" s="37">
        <f t="shared" si="66"/>
        <v>776</v>
      </c>
      <c r="S118" s="37">
        <f t="shared" si="53"/>
        <v>250</v>
      </c>
      <c r="T118" s="37">
        <f t="shared" si="55"/>
        <v>843</v>
      </c>
      <c r="U118" s="37">
        <f t="shared" si="58"/>
        <v>2940</v>
      </c>
    </row>
    <row r="119" customHeight="1" spans="1:21">
      <c r="A119" s="26">
        <v>114</v>
      </c>
      <c r="B119" s="26" t="s">
        <v>302</v>
      </c>
      <c r="C119" s="26" t="s">
        <v>230</v>
      </c>
      <c r="D119" s="26" t="s">
        <v>666</v>
      </c>
      <c r="E119" s="26">
        <v>30</v>
      </c>
      <c r="F119" s="26"/>
      <c r="G119" s="26">
        <v>120</v>
      </c>
      <c r="H119" s="26">
        <v>112</v>
      </c>
      <c r="I119" s="26">
        <v>62</v>
      </c>
      <c r="J119" s="26">
        <v>210</v>
      </c>
      <c r="K119" s="26">
        <f t="shared" si="63"/>
        <v>504</v>
      </c>
      <c r="L119" s="33">
        <v>7</v>
      </c>
      <c r="M119" s="33">
        <v>5.5</v>
      </c>
      <c r="N119" s="33">
        <v>3.1</v>
      </c>
      <c r="O119" s="33">
        <v>9</v>
      </c>
      <c r="P119" s="33">
        <f t="shared" si="69"/>
        <v>24.6</v>
      </c>
      <c r="Q119" s="37">
        <f t="shared" si="67"/>
        <v>813</v>
      </c>
      <c r="R119" s="37">
        <f t="shared" si="66"/>
        <v>657</v>
      </c>
      <c r="S119" s="37">
        <f t="shared" si="53"/>
        <v>369</v>
      </c>
      <c r="T119" s="37">
        <f t="shared" si="55"/>
        <v>1101</v>
      </c>
      <c r="U119" s="37">
        <f t="shared" si="58"/>
        <v>2940</v>
      </c>
    </row>
    <row r="120" customHeight="1" spans="1:21">
      <c r="A120" s="26">
        <v>115</v>
      </c>
      <c r="B120" s="26" t="s">
        <v>302</v>
      </c>
      <c r="C120" s="26" t="s">
        <v>219</v>
      </c>
      <c r="D120" s="26" t="s">
        <v>353</v>
      </c>
      <c r="E120" s="26"/>
      <c r="F120" s="26"/>
      <c r="G120" s="26">
        <v>280</v>
      </c>
      <c r="H120" s="26">
        <v>52</v>
      </c>
      <c r="I120" s="26">
        <v>90</v>
      </c>
      <c r="J120" s="26">
        <v>0</v>
      </c>
      <c r="K120" s="26">
        <f t="shared" si="63"/>
        <v>422</v>
      </c>
      <c r="L120" s="33">
        <v>18</v>
      </c>
      <c r="M120" s="33">
        <v>0.5</v>
      </c>
      <c r="N120" s="33">
        <v>6</v>
      </c>
      <c r="O120" s="33">
        <v>0</v>
      </c>
      <c r="P120" s="33">
        <f t="shared" si="69"/>
        <v>24.5</v>
      </c>
      <c r="Q120" s="37">
        <f t="shared" si="67"/>
        <v>2062</v>
      </c>
      <c r="R120" s="37">
        <f t="shared" si="66"/>
        <v>102</v>
      </c>
      <c r="S120" s="37">
        <f t="shared" si="53"/>
        <v>684</v>
      </c>
      <c r="T120" s="37">
        <f t="shared" si="55"/>
        <v>0</v>
      </c>
      <c r="U120" s="37">
        <f t="shared" si="58"/>
        <v>2848</v>
      </c>
    </row>
    <row r="121" customHeight="1" spans="1:21">
      <c r="A121" s="26">
        <v>116</v>
      </c>
      <c r="B121" s="26" t="s">
        <v>302</v>
      </c>
      <c r="C121" s="26" t="s">
        <v>242</v>
      </c>
      <c r="D121" s="26" t="s">
        <v>286</v>
      </c>
      <c r="E121" s="26">
        <v>3</v>
      </c>
      <c r="F121" s="26"/>
      <c r="G121" s="26">
        <v>360</v>
      </c>
      <c r="H121" s="26">
        <v>280</v>
      </c>
      <c r="I121" s="26">
        <v>60</v>
      </c>
      <c r="J121" s="26">
        <v>0</v>
      </c>
      <c r="K121" s="26">
        <f t="shared" si="63"/>
        <v>700</v>
      </c>
      <c r="L121" s="33">
        <v>9</v>
      </c>
      <c r="M121" s="33">
        <v>6.8</v>
      </c>
      <c r="N121" s="33">
        <v>1.1</v>
      </c>
      <c r="O121" s="33">
        <v>0</v>
      </c>
      <c r="P121" s="33">
        <f t="shared" si="69"/>
        <v>16.9</v>
      </c>
      <c r="Q121" s="37">
        <f t="shared" si="67"/>
        <v>1251</v>
      </c>
      <c r="R121" s="37">
        <f t="shared" si="66"/>
        <v>953</v>
      </c>
      <c r="S121" s="37">
        <f t="shared" si="53"/>
        <v>169</v>
      </c>
      <c r="T121" s="37">
        <f t="shared" si="55"/>
        <v>0</v>
      </c>
      <c r="U121" s="37">
        <f t="shared" si="58"/>
        <v>2373</v>
      </c>
    </row>
    <row r="122" customHeight="1" spans="1:21">
      <c r="A122" s="26">
        <v>117</v>
      </c>
      <c r="B122" s="26" t="s">
        <v>302</v>
      </c>
      <c r="C122" s="26" t="s">
        <v>667</v>
      </c>
      <c r="D122" s="26" t="s">
        <v>309</v>
      </c>
      <c r="E122" s="26">
        <v>33</v>
      </c>
      <c r="F122" s="26"/>
      <c r="G122" s="26">
        <v>105</v>
      </c>
      <c r="H122" s="26">
        <v>69</v>
      </c>
      <c r="I122" s="26">
        <v>52</v>
      </c>
      <c r="J122" s="26">
        <v>90</v>
      </c>
      <c r="K122" s="26">
        <f t="shared" si="63"/>
        <v>316</v>
      </c>
      <c r="L122" s="33">
        <v>7</v>
      </c>
      <c r="M122" s="33">
        <v>4.6</v>
      </c>
      <c r="N122" s="33">
        <v>3.5</v>
      </c>
      <c r="O122" s="33">
        <v>6</v>
      </c>
      <c r="P122" s="33">
        <f t="shared" si="69"/>
        <v>21.1</v>
      </c>
      <c r="Q122" s="37">
        <f t="shared" si="67"/>
        <v>798</v>
      </c>
      <c r="R122" s="37">
        <f t="shared" si="66"/>
        <v>524</v>
      </c>
      <c r="S122" s="37">
        <f t="shared" si="53"/>
        <v>399</v>
      </c>
      <c r="T122" s="37">
        <f t="shared" si="55"/>
        <v>684</v>
      </c>
      <c r="U122" s="37">
        <f t="shared" si="58"/>
        <v>2405</v>
      </c>
    </row>
    <row r="123" customHeight="1" spans="1:21">
      <c r="A123" s="26">
        <v>118</v>
      </c>
      <c r="B123" s="26" t="s">
        <v>302</v>
      </c>
      <c r="C123" s="26" t="s">
        <v>668</v>
      </c>
      <c r="D123" s="26" t="s">
        <v>281</v>
      </c>
      <c r="E123" s="26">
        <v>16</v>
      </c>
      <c r="F123" s="26"/>
      <c r="G123" s="26">
        <v>140</v>
      </c>
      <c r="H123" s="26">
        <v>48</v>
      </c>
      <c r="I123" s="26">
        <v>80</v>
      </c>
      <c r="J123" s="26">
        <v>100</v>
      </c>
      <c r="K123" s="26">
        <f t="shared" si="63"/>
        <v>368</v>
      </c>
      <c r="L123" s="33">
        <v>9</v>
      </c>
      <c r="M123" s="33">
        <v>3.2</v>
      </c>
      <c r="N123" s="33">
        <v>4.1</v>
      </c>
      <c r="O123" s="33">
        <v>7</v>
      </c>
      <c r="P123" s="33">
        <f t="shared" si="69"/>
        <v>23.3</v>
      </c>
      <c r="Q123" s="37">
        <f t="shared" si="67"/>
        <v>1031</v>
      </c>
      <c r="R123" s="37">
        <f t="shared" si="66"/>
        <v>365</v>
      </c>
      <c r="S123" s="37">
        <f t="shared" si="53"/>
        <v>486</v>
      </c>
      <c r="T123" s="37">
        <f t="shared" si="55"/>
        <v>793</v>
      </c>
      <c r="U123" s="37">
        <f t="shared" si="58"/>
        <v>2675</v>
      </c>
    </row>
    <row r="124" customHeight="1" spans="1:21">
      <c r="A124" s="26">
        <v>119</v>
      </c>
      <c r="B124" s="26" t="s">
        <v>302</v>
      </c>
      <c r="C124" s="26" t="s">
        <v>669</v>
      </c>
      <c r="D124" s="26" t="s">
        <v>281</v>
      </c>
      <c r="E124" s="26">
        <v>16</v>
      </c>
      <c r="F124" s="26"/>
      <c r="G124" s="26">
        <v>150</v>
      </c>
      <c r="H124" s="26">
        <v>21</v>
      </c>
      <c r="I124" s="26">
        <v>100</v>
      </c>
      <c r="J124" s="26">
        <v>120</v>
      </c>
      <c r="K124" s="26">
        <f t="shared" si="63"/>
        <v>391</v>
      </c>
      <c r="L124" s="33">
        <v>9</v>
      </c>
      <c r="M124" s="33">
        <v>1.7</v>
      </c>
      <c r="N124" s="33">
        <v>6.1</v>
      </c>
      <c r="O124" s="33">
        <v>7</v>
      </c>
      <c r="P124" s="33">
        <f t="shared" si="69"/>
        <v>23.8</v>
      </c>
      <c r="Q124" s="37">
        <f t="shared" si="67"/>
        <v>1041</v>
      </c>
      <c r="R124" s="37">
        <f t="shared" si="66"/>
        <v>189</v>
      </c>
      <c r="S124" s="37">
        <f t="shared" si="53"/>
        <v>704</v>
      </c>
      <c r="T124" s="37">
        <f t="shared" si="55"/>
        <v>813</v>
      </c>
      <c r="U124" s="37">
        <f t="shared" si="58"/>
        <v>2747</v>
      </c>
    </row>
    <row r="125" customHeight="1" spans="1:21">
      <c r="A125" s="26">
        <v>120</v>
      </c>
      <c r="B125" s="26" t="s">
        <v>302</v>
      </c>
      <c r="C125" s="26" t="s">
        <v>670</v>
      </c>
      <c r="D125" s="26" t="s">
        <v>281</v>
      </c>
      <c r="E125" s="26">
        <v>16</v>
      </c>
      <c r="F125" s="26"/>
      <c r="G125" s="26">
        <v>130</v>
      </c>
      <c r="H125" s="26">
        <v>28</v>
      </c>
      <c r="I125" s="26">
        <v>90</v>
      </c>
      <c r="J125" s="26">
        <v>100</v>
      </c>
      <c r="K125" s="26">
        <f t="shared" si="63"/>
        <v>348</v>
      </c>
      <c r="L125" s="33">
        <v>9</v>
      </c>
      <c r="M125" s="33">
        <v>2.1</v>
      </c>
      <c r="N125" s="33">
        <v>5.6</v>
      </c>
      <c r="O125" s="33">
        <v>7</v>
      </c>
      <c r="P125" s="33">
        <f t="shared" si="69"/>
        <v>23.7</v>
      </c>
      <c r="Q125" s="37">
        <f t="shared" si="67"/>
        <v>1021</v>
      </c>
      <c r="R125" s="37">
        <f t="shared" si="66"/>
        <v>236</v>
      </c>
      <c r="S125" s="37">
        <f t="shared" si="53"/>
        <v>644</v>
      </c>
      <c r="T125" s="37">
        <f t="shared" si="55"/>
        <v>793</v>
      </c>
      <c r="U125" s="37">
        <f t="shared" si="58"/>
        <v>2694</v>
      </c>
    </row>
    <row r="126" customHeight="1" spans="1:21">
      <c r="A126" s="26">
        <v>121</v>
      </c>
      <c r="B126" s="26" t="s">
        <v>302</v>
      </c>
      <c r="C126" s="26" t="s">
        <v>671</v>
      </c>
      <c r="D126" s="26" t="s">
        <v>315</v>
      </c>
      <c r="E126" s="26">
        <v>10</v>
      </c>
      <c r="F126" s="26"/>
      <c r="G126" s="26">
        <v>150</v>
      </c>
      <c r="H126" s="26">
        <v>110</v>
      </c>
      <c r="I126" s="26">
        <v>110</v>
      </c>
      <c r="J126" s="26">
        <v>60</v>
      </c>
      <c r="K126" s="26">
        <f t="shared" si="63"/>
        <v>430</v>
      </c>
      <c r="L126" s="33"/>
      <c r="M126" s="33"/>
      <c r="N126" s="33"/>
      <c r="O126" s="33"/>
      <c r="P126" s="33"/>
      <c r="Q126" s="37">
        <f t="shared" si="67"/>
        <v>150</v>
      </c>
      <c r="R126" s="37">
        <f t="shared" si="66"/>
        <v>110</v>
      </c>
      <c r="S126" s="37">
        <f t="shared" si="53"/>
        <v>110</v>
      </c>
      <c r="T126" s="37">
        <f t="shared" si="55"/>
        <v>60</v>
      </c>
      <c r="U126" s="37">
        <f t="shared" si="58"/>
        <v>430</v>
      </c>
    </row>
    <row r="127" customHeight="1" spans="1:21">
      <c r="A127" s="26">
        <v>122</v>
      </c>
      <c r="B127" s="26" t="s">
        <v>302</v>
      </c>
      <c r="C127" s="26" t="s">
        <v>672</v>
      </c>
      <c r="D127" s="26" t="s">
        <v>275</v>
      </c>
      <c r="E127" s="26">
        <v>7</v>
      </c>
      <c r="F127" s="26"/>
      <c r="G127" s="26">
        <v>200</v>
      </c>
      <c r="H127" s="26">
        <v>130</v>
      </c>
      <c r="I127" s="26">
        <v>110</v>
      </c>
      <c r="J127" s="26">
        <v>60</v>
      </c>
      <c r="K127" s="26">
        <f t="shared" si="63"/>
        <v>500</v>
      </c>
      <c r="L127" s="33"/>
      <c r="M127" s="33"/>
      <c r="N127" s="33"/>
      <c r="O127" s="33"/>
      <c r="P127" s="33"/>
      <c r="Q127" s="37">
        <f t="shared" si="67"/>
        <v>200</v>
      </c>
      <c r="R127" s="37">
        <f t="shared" si="66"/>
        <v>130</v>
      </c>
      <c r="S127" s="37">
        <f t="shared" si="53"/>
        <v>110</v>
      </c>
      <c r="T127" s="37">
        <f t="shared" si="55"/>
        <v>60</v>
      </c>
      <c r="U127" s="37">
        <f t="shared" si="58"/>
        <v>500</v>
      </c>
    </row>
    <row r="128" customHeight="1" spans="1:21">
      <c r="A128" s="26">
        <v>123</v>
      </c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33"/>
      <c r="M128" s="33"/>
      <c r="N128" s="33"/>
      <c r="O128" s="33"/>
      <c r="P128" s="33"/>
      <c r="Q128" s="37">
        <f t="shared" si="67"/>
        <v>0</v>
      </c>
      <c r="R128" s="37">
        <f t="shared" si="66"/>
        <v>0</v>
      </c>
      <c r="S128" s="37">
        <f t="shared" si="53"/>
        <v>0</v>
      </c>
      <c r="T128" s="37">
        <f t="shared" si="55"/>
        <v>0</v>
      </c>
      <c r="U128" s="37">
        <f t="shared" si="58"/>
        <v>0</v>
      </c>
    </row>
    <row r="129" customHeight="1" spans="1:21">
      <c r="A129" s="26">
        <v>124</v>
      </c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33"/>
      <c r="M129" s="33"/>
      <c r="N129" s="33"/>
      <c r="O129" s="33"/>
      <c r="P129" s="33"/>
      <c r="Q129" s="37">
        <f t="shared" si="67"/>
        <v>0</v>
      </c>
      <c r="R129" s="37">
        <f t="shared" si="66"/>
        <v>0</v>
      </c>
      <c r="S129" s="37">
        <f t="shared" si="53"/>
        <v>0</v>
      </c>
      <c r="T129" s="37">
        <f t="shared" si="55"/>
        <v>0</v>
      </c>
      <c r="U129" s="37">
        <f t="shared" si="58"/>
        <v>0</v>
      </c>
    </row>
    <row r="130" customHeight="1" spans="1:21">
      <c r="A130" s="26">
        <v>125</v>
      </c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33"/>
      <c r="M130" s="33"/>
      <c r="N130" s="33"/>
      <c r="O130" s="33"/>
      <c r="P130" s="33"/>
      <c r="Q130" s="37">
        <f t="shared" si="67"/>
        <v>0</v>
      </c>
      <c r="R130" s="37">
        <f t="shared" si="66"/>
        <v>0</v>
      </c>
      <c r="S130" s="37">
        <f t="shared" si="53"/>
        <v>0</v>
      </c>
      <c r="T130" s="37">
        <f t="shared" si="55"/>
        <v>0</v>
      </c>
      <c r="U130" s="37">
        <f t="shared" si="58"/>
        <v>0</v>
      </c>
    </row>
    <row r="131" customHeight="1" spans="1:21">
      <c r="A131" s="26">
        <v>126</v>
      </c>
      <c r="B131" s="26" t="s">
        <v>273</v>
      </c>
      <c r="C131" s="26" t="s">
        <v>258</v>
      </c>
      <c r="D131" s="26" t="s">
        <v>308</v>
      </c>
      <c r="E131" s="26">
        <v>30</v>
      </c>
      <c r="F131" s="26"/>
      <c r="G131" s="26">
        <v>80</v>
      </c>
      <c r="H131" s="26">
        <v>59</v>
      </c>
      <c r="I131" s="26">
        <v>20</v>
      </c>
      <c r="J131" s="26">
        <v>80</v>
      </c>
      <c r="K131" s="26">
        <f t="shared" ref="K131" si="70">J131+I131+H131+G131</f>
        <v>239</v>
      </c>
      <c r="L131" s="33">
        <v>7</v>
      </c>
      <c r="M131" s="33">
        <v>4.9</v>
      </c>
      <c r="N131" s="33">
        <v>2</v>
      </c>
      <c r="O131" s="33">
        <v>6</v>
      </c>
      <c r="P131" s="33">
        <f t="shared" ref="P131" si="71">O131+N131+M131+L131</f>
        <v>19.9</v>
      </c>
      <c r="Q131" s="37">
        <f t="shared" si="67"/>
        <v>773</v>
      </c>
      <c r="R131" s="37">
        <f t="shared" si="66"/>
        <v>544</v>
      </c>
      <c r="S131" s="37">
        <f t="shared" ref="S131" si="72">ROUND(I131+N131*($V$2-1),0)</f>
        <v>218</v>
      </c>
      <c r="T131" s="37">
        <f t="shared" si="55"/>
        <v>674</v>
      </c>
      <c r="U131" s="37">
        <f t="shared" si="58"/>
        <v>2209</v>
      </c>
    </row>
    <row r="132" customHeight="1" spans="1:21">
      <c r="A132" s="26">
        <v>127</v>
      </c>
      <c r="B132" s="26" t="s">
        <v>273</v>
      </c>
      <c r="C132" s="26" t="s">
        <v>673</v>
      </c>
      <c r="D132" s="26" t="s">
        <v>315</v>
      </c>
      <c r="E132" s="26">
        <v>10</v>
      </c>
      <c r="F132" s="26"/>
      <c r="G132" s="26">
        <v>80</v>
      </c>
      <c r="H132" s="26">
        <v>60</v>
      </c>
      <c r="I132" s="26">
        <v>18</v>
      </c>
      <c r="J132" s="26">
        <v>80</v>
      </c>
      <c r="K132" s="26">
        <f t="shared" ref="K132:K142" si="73">J132+I132+H132+G132</f>
        <v>238</v>
      </c>
      <c r="L132" s="33">
        <v>7</v>
      </c>
      <c r="M132" s="33">
        <v>4.9</v>
      </c>
      <c r="N132" s="33">
        <v>2</v>
      </c>
      <c r="O132" s="33">
        <v>6</v>
      </c>
      <c r="P132" s="33">
        <f t="shared" ref="P132:P142" si="74">O132+N132+M132+L132</f>
        <v>19.9</v>
      </c>
      <c r="Q132" s="37">
        <f t="shared" si="67"/>
        <v>773</v>
      </c>
      <c r="R132" s="37">
        <f t="shared" si="66"/>
        <v>545</v>
      </c>
      <c r="S132" s="37">
        <f t="shared" ref="S132:S154" si="75">ROUND(I132+N132*($V$2-1),0)</f>
        <v>216</v>
      </c>
      <c r="T132" s="37">
        <f t="shared" ref="T132" si="76">ROUND(J132+O132*($V$2-1),0)</f>
        <v>674</v>
      </c>
      <c r="U132" s="37">
        <f t="shared" si="58"/>
        <v>2208</v>
      </c>
    </row>
    <row r="133" customHeight="1" spans="1:21">
      <c r="A133" s="26">
        <v>128</v>
      </c>
      <c r="B133" s="26" t="s">
        <v>273</v>
      </c>
      <c r="C133" s="26" t="s">
        <v>259</v>
      </c>
      <c r="D133" s="26" t="s">
        <v>288</v>
      </c>
      <c r="E133" s="26">
        <v>3</v>
      </c>
      <c r="F133" s="26"/>
      <c r="G133" s="26">
        <v>70</v>
      </c>
      <c r="H133" s="26">
        <v>36</v>
      </c>
      <c r="I133" s="26">
        <v>31</v>
      </c>
      <c r="J133" s="26">
        <v>60</v>
      </c>
      <c r="K133" s="26">
        <f t="shared" si="73"/>
        <v>197</v>
      </c>
      <c r="L133" s="33">
        <v>7</v>
      </c>
      <c r="M133" s="33">
        <v>3.6</v>
      </c>
      <c r="N133" s="33">
        <v>3</v>
      </c>
      <c r="O133" s="33">
        <v>6</v>
      </c>
      <c r="P133" s="33">
        <f t="shared" si="74"/>
        <v>19.6</v>
      </c>
      <c r="Q133" s="37">
        <f t="shared" si="67"/>
        <v>763</v>
      </c>
      <c r="R133" s="37">
        <f t="shared" si="66"/>
        <v>392</v>
      </c>
      <c r="S133" s="37">
        <f t="shared" si="75"/>
        <v>328</v>
      </c>
      <c r="T133" s="37">
        <f t="shared" ref="T133:T154" si="77">ROUND(J133+O133*($V$2-1),0)</f>
        <v>654</v>
      </c>
      <c r="U133" s="37">
        <f t="shared" ref="U133" si="78">SUM(Q133:T133)</f>
        <v>2137</v>
      </c>
    </row>
    <row r="134" customHeight="1" spans="1:21">
      <c r="A134" s="26">
        <v>129</v>
      </c>
      <c r="B134" s="26" t="s">
        <v>273</v>
      </c>
      <c r="C134" s="26" t="s">
        <v>674</v>
      </c>
      <c r="D134" s="26" t="s">
        <v>666</v>
      </c>
      <c r="E134" s="26">
        <v>30</v>
      </c>
      <c r="F134" s="26"/>
      <c r="G134" s="26">
        <v>80</v>
      </c>
      <c r="H134" s="26">
        <v>52</v>
      </c>
      <c r="I134" s="26">
        <v>16</v>
      </c>
      <c r="J134" s="26">
        <v>60</v>
      </c>
      <c r="K134" s="26">
        <f t="shared" si="73"/>
        <v>208</v>
      </c>
      <c r="L134" s="33">
        <v>8</v>
      </c>
      <c r="M134" s="33">
        <v>5.2</v>
      </c>
      <c r="N134" s="33">
        <v>1.6</v>
      </c>
      <c r="O134" s="33">
        <v>6</v>
      </c>
      <c r="P134" s="33">
        <f t="shared" si="74"/>
        <v>20.8</v>
      </c>
      <c r="Q134" s="37">
        <f t="shared" si="67"/>
        <v>872</v>
      </c>
      <c r="R134" s="37">
        <f t="shared" ref="R134" si="79">ROUND(H134+M134*($V$2-1),0)</f>
        <v>567</v>
      </c>
      <c r="S134" s="37">
        <f t="shared" si="75"/>
        <v>174</v>
      </c>
      <c r="T134" s="37">
        <f t="shared" si="77"/>
        <v>654</v>
      </c>
      <c r="U134" s="37">
        <f t="shared" ref="U134:U154" si="80">SUM(Q134:T134)</f>
        <v>2267</v>
      </c>
    </row>
    <row r="135" customHeight="1" spans="1:21">
      <c r="A135" s="26">
        <v>130</v>
      </c>
      <c r="B135" s="26" t="s">
        <v>273</v>
      </c>
      <c r="C135" s="26" t="s">
        <v>254</v>
      </c>
      <c r="D135" s="26" t="s">
        <v>288</v>
      </c>
      <c r="E135" s="26">
        <v>3</v>
      </c>
      <c r="F135" s="26"/>
      <c r="G135" s="26">
        <v>10</v>
      </c>
      <c r="H135" s="26">
        <v>10</v>
      </c>
      <c r="I135" s="26">
        <v>10</v>
      </c>
      <c r="J135" s="26">
        <v>10</v>
      </c>
      <c r="K135" s="26">
        <f t="shared" si="73"/>
        <v>40</v>
      </c>
      <c r="L135" s="33">
        <v>1</v>
      </c>
      <c r="M135" s="33">
        <v>1</v>
      </c>
      <c r="N135" s="33">
        <v>1</v>
      </c>
      <c r="O135" s="33">
        <v>1</v>
      </c>
      <c r="P135" s="33">
        <f t="shared" si="74"/>
        <v>4</v>
      </c>
      <c r="Q135" s="37">
        <f t="shared" si="67"/>
        <v>109</v>
      </c>
      <c r="R135" s="37">
        <f t="shared" ref="R135:R154" si="81">ROUND(H135+M135*($V$2-1),0)</f>
        <v>109</v>
      </c>
      <c r="S135" s="37">
        <f t="shared" si="75"/>
        <v>109</v>
      </c>
      <c r="T135" s="37">
        <f t="shared" si="77"/>
        <v>109</v>
      </c>
      <c r="U135" s="37">
        <f t="shared" si="80"/>
        <v>436</v>
      </c>
    </row>
    <row r="136" customHeight="1" spans="1:21">
      <c r="A136" s="26">
        <v>131</v>
      </c>
      <c r="B136" s="26" t="s">
        <v>273</v>
      </c>
      <c r="C136" s="26" t="s">
        <v>250</v>
      </c>
      <c r="D136" s="26" t="s">
        <v>289</v>
      </c>
      <c r="E136" s="26">
        <v>8</v>
      </c>
      <c r="F136" s="26"/>
      <c r="G136" s="26">
        <v>70</v>
      </c>
      <c r="H136" s="26">
        <v>32</v>
      </c>
      <c r="I136" s="26">
        <v>34</v>
      </c>
      <c r="J136" s="26">
        <v>60</v>
      </c>
      <c r="K136" s="26">
        <f t="shared" si="73"/>
        <v>196</v>
      </c>
      <c r="L136" s="33">
        <v>7</v>
      </c>
      <c r="M136" s="33">
        <v>3.2</v>
      </c>
      <c r="N136" s="33">
        <v>3.4</v>
      </c>
      <c r="O136" s="33">
        <v>6</v>
      </c>
      <c r="P136" s="33">
        <f t="shared" si="74"/>
        <v>19.6</v>
      </c>
      <c r="Q136" s="37">
        <f t="shared" si="67"/>
        <v>763</v>
      </c>
      <c r="R136" s="37">
        <f t="shared" si="81"/>
        <v>349</v>
      </c>
      <c r="S136" s="37">
        <f t="shared" si="75"/>
        <v>371</v>
      </c>
      <c r="T136" s="37">
        <f t="shared" si="77"/>
        <v>654</v>
      </c>
      <c r="U136" s="37">
        <f t="shared" si="80"/>
        <v>2137</v>
      </c>
    </row>
    <row r="137" customHeight="1" spans="1:21">
      <c r="A137" s="26">
        <v>132</v>
      </c>
      <c r="B137" s="26" t="s">
        <v>273</v>
      </c>
      <c r="C137" s="26" t="s">
        <v>675</v>
      </c>
      <c r="D137" s="26" t="s">
        <v>290</v>
      </c>
      <c r="E137" s="26">
        <v>8</v>
      </c>
      <c r="F137" s="26"/>
      <c r="G137" s="26">
        <v>80</v>
      </c>
      <c r="H137" s="26">
        <v>31</v>
      </c>
      <c r="I137" s="26">
        <v>35</v>
      </c>
      <c r="J137" s="26">
        <v>30</v>
      </c>
      <c r="K137" s="26">
        <f t="shared" si="73"/>
        <v>176</v>
      </c>
      <c r="L137" s="33">
        <v>8</v>
      </c>
      <c r="M137" s="33">
        <v>3.1</v>
      </c>
      <c r="N137" s="33">
        <v>3.5</v>
      </c>
      <c r="O137" s="33">
        <v>3</v>
      </c>
      <c r="P137" s="33">
        <f t="shared" si="74"/>
        <v>17.6</v>
      </c>
      <c r="Q137" s="37">
        <f t="shared" si="67"/>
        <v>872</v>
      </c>
      <c r="R137" s="37">
        <f t="shared" si="81"/>
        <v>338</v>
      </c>
      <c r="S137" s="37">
        <f t="shared" si="75"/>
        <v>382</v>
      </c>
      <c r="T137" s="37">
        <f t="shared" si="77"/>
        <v>327</v>
      </c>
      <c r="U137" s="37">
        <f t="shared" si="80"/>
        <v>1919</v>
      </c>
    </row>
    <row r="138" customHeight="1" spans="1:21">
      <c r="A138" s="26">
        <v>133</v>
      </c>
      <c r="B138" s="26" t="s">
        <v>273</v>
      </c>
      <c r="C138" s="26" t="s">
        <v>676</v>
      </c>
      <c r="D138" s="26" t="s">
        <v>280</v>
      </c>
      <c r="E138" s="26">
        <v>9</v>
      </c>
      <c r="F138" s="26"/>
      <c r="G138" s="26">
        <v>70</v>
      </c>
      <c r="H138" s="26">
        <v>33</v>
      </c>
      <c r="I138" s="26">
        <v>33</v>
      </c>
      <c r="J138" s="26">
        <v>40</v>
      </c>
      <c r="K138" s="26">
        <f t="shared" si="73"/>
        <v>176</v>
      </c>
      <c r="L138" s="33">
        <v>7</v>
      </c>
      <c r="M138" s="33">
        <v>3.3</v>
      </c>
      <c r="N138" s="33">
        <v>3.3</v>
      </c>
      <c r="O138" s="33">
        <v>4</v>
      </c>
      <c r="P138" s="33">
        <f t="shared" si="74"/>
        <v>17.6</v>
      </c>
      <c r="Q138" s="37">
        <f t="shared" si="67"/>
        <v>763</v>
      </c>
      <c r="R138" s="37">
        <f t="shared" si="81"/>
        <v>360</v>
      </c>
      <c r="S138" s="37">
        <f t="shared" si="75"/>
        <v>360</v>
      </c>
      <c r="T138" s="37">
        <f t="shared" si="77"/>
        <v>436</v>
      </c>
      <c r="U138" s="37">
        <f t="shared" si="80"/>
        <v>1919</v>
      </c>
    </row>
    <row r="139" customHeight="1" spans="1:21">
      <c r="A139" s="26">
        <v>134</v>
      </c>
      <c r="B139" s="26" t="s">
        <v>273</v>
      </c>
      <c r="C139" s="26" t="s">
        <v>677</v>
      </c>
      <c r="D139" s="26" t="s">
        <v>287</v>
      </c>
      <c r="E139" s="26">
        <v>3</v>
      </c>
      <c r="F139" s="26"/>
      <c r="G139" s="26">
        <v>80</v>
      </c>
      <c r="H139" s="26">
        <v>31</v>
      </c>
      <c r="I139" s="26">
        <v>36</v>
      </c>
      <c r="J139" s="26">
        <v>60</v>
      </c>
      <c r="K139" s="26">
        <f t="shared" si="73"/>
        <v>207</v>
      </c>
      <c r="L139" s="33">
        <v>8</v>
      </c>
      <c r="M139" s="33">
        <v>3.1</v>
      </c>
      <c r="N139" s="33">
        <v>3.6</v>
      </c>
      <c r="O139" s="33">
        <v>6</v>
      </c>
      <c r="P139" s="33">
        <f t="shared" si="74"/>
        <v>20.7</v>
      </c>
      <c r="Q139" s="37">
        <f t="shared" si="67"/>
        <v>872</v>
      </c>
      <c r="R139" s="37">
        <f t="shared" si="81"/>
        <v>338</v>
      </c>
      <c r="S139" s="37">
        <f t="shared" si="75"/>
        <v>392</v>
      </c>
      <c r="T139" s="37">
        <f t="shared" si="77"/>
        <v>654</v>
      </c>
      <c r="U139" s="37">
        <f t="shared" si="80"/>
        <v>2256</v>
      </c>
    </row>
    <row r="140" customHeight="1" spans="1:21">
      <c r="A140" s="26">
        <v>135</v>
      </c>
      <c r="B140" s="26" t="s">
        <v>273</v>
      </c>
      <c r="C140" s="26" t="s">
        <v>678</v>
      </c>
      <c r="D140" s="26" t="s">
        <v>287</v>
      </c>
      <c r="E140" s="26">
        <v>3</v>
      </c>
      <c r="F140" s="26"/>
      <c r="G140" s="26">
        <v>70</v>
      </c>
      <c r="H140" s="26">
        <v>41</v>
      </c>
      <c r="I140" s="26">
        <v>25</v>
      </c>
      <c r="J140" s="26">
        <v>40</v>
      </c>
      <c r="K140" s="26">
        <f t="shared" si="73"/>
        <v>176</v>
      </c>
      <c r="L140" s="33">
        <v>7</v>
      </c>
      <c r="M140" s="33">
        <v>4.1</v>
      </c>
      <c r="N140" s="33">
        <v>2.5</v>
      </c>
      <c r="O140" s="33">
        <v>4</v>
      </c>
      <c r="P140" s="33">
        <f t="shared" si="74"/>
        <v>17.6</v>
      </c>
      <c r="Q140" s="37">
        <f t="shared" si="67"/>
        <v>763</v>
      </c>
      <c r="R140" s="37">
        <f t="shared" si="81"/>
        <v>447</v>
      </c>
      <c r="S140" s="37">
        <f t="shared" si="75"/>
        <v>273</v>
      </c>
      <c r="T140" s="37">
        <f t="shared" si="77"/>
        <v>436</v>
      </c>
      <c r="U140" s="37">
        <f t="shared" si="80"/>
        <v>1919</v>
      </c>
    </row>
    <row r="141" customHeight="1" spans="1:21">
      <c r="A141" s="26">
        <v>136</v>
      </c>
      <c r="B141" s="26" t="s">
        <v>273</v>
      </c>
      <c r="C141" s="26" t="s">
        <v>679</v>
      </c>
      <c r="D141" s="26" t="s">
        <v>289</v>
      </c>
      <c r="E141" s="26">
        <v>8</v>
      </c>
      <c r="F141" s="26"/>
      <c r="G141" s="26">
        <v>70</v>
      </c>
      <c r="H141" s="26">
        <v>37</v>
      </c>
      <c r="I141" s="26">
        <v>29</v>
      </c>
      <c r="J141" s="26">
        <v>40</v>
      </c>
      <c r="K141" s="26">
        <f t="shared" si="73"/>
        <v>176</v>
      </c>
      <c r="L141" s="33">
        <v>7</v>
      </c>
      <c r="M141" s="33">
        <v>3.7</v>
      </c>
      <c r="N141" s="33">
        <v>2.9</v>
      </c>
      <c r="O141" s="33">
        <v>4</v>
      </c>
      <c r="P141" s="33">
        <f t="shared" si="74"/>
        <v>17.6</v>
      </c>
      <c r="Q141" s="37">
        <f t="shared" si="67"/>
        <v>763</v>
      </c>
      <c r="R141" s="37">
        <f t="shared" si="81"/>
        <v>403</v>
      </c>
      <c r="S141" s="37">
        <f t="shared" si="75"/>
        <v>316</v>
      </c>
      <c r="T141" s="37">
        <f t="shared" si="77"/>
        <v>436</v>
      </c>
      <c r="U141" s="37">
        <f t="shared" si="80"/>
        <v>1918</v>
      </c>
    </row>
    <row r="142" customHeight="1" spans="1:21">
      <c r="A142" s="26">
        <v>137</v>
      </c>
      <c r="B142" s="26" t="s">
        <v>273</v>
      </c>
      <c r="C142" s="26" t="s">
        <v>260</v>
      </c>
      <c r="D142" s="26"/>
      <c r="E142" s="26"/>
      <c r="F142" s="26"/>
      <c r="G142" s="26">
        <v>80</v>
      </c>
      <c r="H142" s="26">
        <v>54</v>
      </c>
      <c r="I142" s="26">
        <v>25</v>
      </c>
      <c r="J142" s="26">
        <v>80</v>
      </c>
      <c r="K142" s="26">
        <f t="shared" si="73"/>
        <v>239</v>
      </c>
      <c r="L142" s="33">
        <v>7</v>
      </c>
      <c r="M142" s="33">
        <v>4.4</v>
      </c>
      <c r="N142" s="33">
        <v>2.5</v>
      </c>
      <c r="O142" s="33">
        <v>6</v>
      </c>
      <c r="P142" s="33">
        <f t="shared" si="74"/>
        <v>19.9</v>
      </c>
      <c r="Q142" s="37">
        <f t="shared" si="67"/>
        <v>773</v>
      </c>
      <c r="R142" s="37">
        <f t="shared" si="81"/>
        <v>490</v>
      </c>
      <c r="S142" s="37">
        <f t="shared" si="75"/>
        <v>273</v>
      </c>
      <c r="T142" s="37">
        <f t="shared" si="77"/>
        <v>674</v>
      </c>
      <c r="U142" s="37">
        <f t="shared" si="80"/>
        <v>2210</v>
      </c>
    </row>
    <row r="143" customHeight="1" spans="1:21">
      <c r="A143" s="26">
        <v>138</v>
      </c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33"/>
      <c r="M143" s="33"/>
      <c r="N143" s="33"/>
      <c r="O143" s="33"/>
      <c r="P143" s="33"/>
      <c r="Q143" s="37">
        <f t="shared" si="67"/>
        <v>0</v>
      </c>
      <c r="R143" s="37">
        <f t="shared" si="81"/>
        <v>0</v>
      </c>
      <c r="S143" s="37">
        <f t="shared" si="75"/>
        <v>0</v>
      </c>
      <c r="T143" s="37">
        <f t="shared" si="77"/>
        <v>0</v>
      </c>
      <c r="U143" s="37">
        <f t="shared" si="80"/>
        <v>0</v>
      </c>
    </row>
    <row r="144" customHeight="1" spans="1:21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33"/>
      <c r="M144" s="33"/>
      <c r="N144" s="33"/>
      <c r="O144" s="33"/>
      <c r="P144" s="33"/>
      <c r="Q144" s="37">
        <f t="shared" si="67"/>
        <v>0</v>
      </c>
      <c r="R144" s="37">
        <f t="shared" si="81"/>
        <v>0</v>
      </c>
      <c r="S144" s="37">
        <f t="shared" si="75"/>
        <v>0</v>
      </c>
      <c r="T144" s="37">
        <f t="shared" si="77"/>
        <v>0</v>
      </c>
      <c r="U144" s="37">
        <f t="shared" si="80"/>
        <v>0</v>
      </c>
    </row>
    <row r="145" customHeight="1" spans="1:21">
      <c r="A145" s="26">
        <v>139</v>
      </c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33"/>
      <c r="M145" s="33"/>
      <c r="N145" s="33"/>
      <c r="O145" s="33"/>
      <c r="P145" s="33"/>
      <c r="Q145" s="37">
        <f t="shared" si="67"/>
        <v>0</v>
      </c>
      <c r="R145" s="37">
        <f t="shared" si="81"/>
        <v>0</v>
      </c>
      <c r="S145" s="37">
        <f t="shared" si="75"/>
        <v>0</v>
      </c>
      <c r="T145" s="37">
        <f t="shared" si="77"/>
        <v>0</v>
      </c>
      <c r="U145" s="37">
        <f t="shared" si="80"/>
        <v>0</v>
      </c>
    </row>
    <row r="146" customHeight="1" spans="1:21">
      <c r="A146" s="26">
        <v>140</v>
      </c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33"/>
      <c r="M146" s="33"/>
      <c r="N146" s="33"/>
      <c r="O146" s="33"/>
      <c r="P146" s="33"/>
      <c r="Q146" s="37">
        <f t="shared" si="67"/>
        <v>0</v>
      </c>
      <c r="R146" s="37">
        <f t="shared" si="81"/>
        <v>0</v>
      </c>
      <c r="S146" s="37">
        <f t="shared" si="75"/>
        <v>0</v>
      </c>
      <c r="T146" s="37">
        <f t="shared" si="77"/>
        <v>0</v>
      </c>
      <c r="U146" s="37">
        <f t="shared" si="80"/>
        <v>0</v>
      </c>
    </row>
    <row r="147" customHeight="1" spans="1:21">
      <c r="A147" s="26">
        <v>141</v>
      </c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33"/>
      <c r="M147" s="33"/>
      <c r="N147" s="33"/>
      <c r="O147" s="33"/>
      <c r="P147" s="33"/>
      <c r="Q147" s="37">
        <f t="shared" si="67"/>
        <v>0</v>
      </c>
      <c r="R147" s="37">
        <f t="shared" si="81"/>
        <v>0</v>
      </c>
      <c r="S147" s="37">
        <f t="shared" si="75"/>
        <v>0</v>
      </c>
      <c r="T147" s="37">
        <f t="shared" si="77"/>
        <v>0</v>
      </c>
      <c r="U147" s="37">
        <f t="shared" si="80"/>
        <v>0</v>
      </c>
    </row>
    <row r="148" customHeight="1" spans="1:21">
      <c r="A148" s="26">
        <v>142</v>
      </c>
      <c r="B148" s="26" t="s">
        <v>285</v>
      </c>
      <c r="C148" s="26" t="s">
        <v>255</v>
      </c>
      <c r="D148" s="26" t="s">
        <v>280</v>
      </c>
      <c r="E148" s="26">
        <v>9</v>
      </c>
      <c r="F148" s="26"/>
      <c r="G148" s="26">
        <v>70</v>
      </c>
      <c r="H148" s="26">
        <v>33</v>
      </c>
      <c r="I148" s="26">
        <v>34</v>
      </c>
      <c r="J148" s="26">
        <v>60</v>
      </c>
      <c r="K148" s="26">
        <f>J148+I148+H148+G148</f>
        <v>197</v>
      </c>
      <c r="L148" s="26">
        <v>7</v>
      </c>
      <c r="M148" s="26">
        <v>3.3</v>
      </c>
      <c r="N148" s="26">
        <v>3.4</v>
      </c>
      <c r="O148" s="26">
        <v>6</v>
      </c>
      <c r="P148" s="33">
        <f>O148+N148+M148+L148</f>
        <v>19.7</v>
      </c>
      <c r="Q148" s="37">
        <f t="shared" si="67"/>
        <v>763</v>
      </c>
      <c r="R148" s="37">
        <f t="shared" si="81"/>
        <v>360</v>
      </c>
      <c r="S148" s="37">
        <f t="shared" si="75"/>
        <v>371</v>
      </c>
      <c r="T148" s="37">
        <f t="shared" si="77"/>
        <v>654</v>
      </c>
      <c r="U148" s="37">
        <f t="shared" si="80"/>
        <v>2148</v>
      </c>
    </row>
    <row r="149" customHeight="1" spans="1:21">
      <c r="A149" s="26">
        <v>143</v>
      </c>
      <c r="B149" s="26" t="s">
        <v>285</v>
      </c>
      <c r="C149" s="26" t="s">
        <v>249</v>
      </c>
      <c r="D149" s="26" t="s">
        <v>288</v>
      </c>
      <c r="E149" s="26">
        <v>3</v>
      </c>
      <c r="F149" s="26"/>
      <c r="G149" s="26">
        <v>60</v>
      </c>
      <c r="H149" s="26">
        <v>10</v>
      </c>
      <c r="I149" s="26">
        <v>16</v>
      </c>
      <c r="J149" s="26">
        <v>10</v>
      </c>
      <c r="K149" s="26">
        <f>J149+I149+H149+G149</f>
        <v>96</v>
      </c>
      <c r="L149" s="33">
        <v>6</v>
      </c>
      <c r="M149" s="33">
        <v>1</v>
      </c>
      <c r="N149" s="33">
        <v>1.6</v>
      </c>
      <c r="O149" s="33">
        <v>1</v>
      </c>
      <c r="P149" s="33">
        <f>O149+N149+M149+L149</f>
        <v>9.6</v>
      </c>
      <c r="Q149" s="37">
        <f t="shared" si="67"/>
        <v>654</v>
      </c>
      <c r="R149" s="37">
        <f t="shared" si="81"/>
        <v>109</v>
      </c>
      <c r="S149" s="37">
        <f t="shared" si="75"/>
        <v>174</v>
      </c>
      <c r="T149" s="37">
        <f t="shared" si="77"/>
        <v>109</v>
      </c>
      <c r="U149" s="37">
        <f t="shared" si="80"/>
        <v>1046</v>
      </c>
    </row>
    <row r="150" customHeight="1" spans="1:21">
      <c r="A150" s="26">
        <v>144</v>
      </c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33"/>
      <c r="Q150" s="37">
        <f t="shared" si="67"/>
        <v>0</v>
      </c>
      <c r="R150" s="37">
        <f t="shared" si="81"/>
        <v>0</v>
      </c>
      <c r="S150" s="37">
        <f t="shared" si="75"/>
        <v>0</v>
      </c>
      <c r="T150" s="37">
        <f t="shared" si="77"/>
        <v>0</v>
      </c>
      <c r="U150" s="37">
        <f t="shared" si="80"/>
        <v>0</v>
      </c>
    </row>
    <row r="151" customHeight="1" spans="1:21">
      <c r="A151" s="26">
        <v>145</v>
      </c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33"/>
      <c r="Q151" s="37">
        <f t="shared" si="67"/>
        <v>0</v>
      </c>
      <c r="R151" s="37">
        <f t="shared" si="81"/>
        <v>0</v>
      </c>
      <c r="S151" s="37">
        <f t="shared" si="75"/>
        <v>0</v>
      </c>
      <c r="T151" s="37">
        <f t="shared" si="77"/>
        <v>0</v>
      </c>
      <c r="U151" s="37">
        <f t="shared" si="80"/>
        <v>0</v>
      </c>
    </row>
    <row r="152" customHeight="1" spans="1:21">
      <c r="A152" s="26">
        <v>146</v>
      </c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33"/>
      <c r="Q152" s="37">
        <f t="shared" si="67"/>
        <v>0</v>
      </c>
      <c r="R152" s="37">
        <f t="shared" si="81"/>
        <v>0</v>
      </c>
      <c r="S152" s="37">
        <f t="shared" si="75"/>
        <v>0</v>
      </c>
      <c r="T152" s="37">
        <f t="shared" si="77"/>
        <v>0</v>
      </c>
      <c r="U152" s="37">
        <f t="shared" si="80"/>
        <v>0</v>
      </c>
    </row>
    <row r="153" customHeight="1" spans="1:21">
      <c r="A153" s="26">
        <v>147</v>
      </c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33"/>
      <c r="Q153" s="37">
        <f t="shared" si="67"/>
        <v>0</v>
      </c>
      <c r="R153" s="37">
        <f t="shared" si="81"/>
        <v>0</v>
      </c>
      <c r="S153" s="37">
        <f t="shared" si="75"/>
        <v>0</v>
      </c>
      <c r="T153" s="37">
        <f t="shared" si="77"/>
        <v>0</v>
      </c>
      <c r="U153" s="37">
        <f t="shared" si="80"/>
        <v>0</v>
      </c>
    </row>
    <row r="154" customHeight="1" spans="1:21">
      <c r="A154" s="26">
        <v>148</v>
      </c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33"/>
      <c r="M154" s="33"/>
      <c r="N154" s="33"/>
      <c r="O154" s="33"/>
      <c r="P154" s="33"/>
      <c r="Q154" s="37">
        <f t="shared" si="67"/>
        <v>0</v>
      </c>
      <c r="R154" s="37">
        <f t="shared" si="81"/>
        <v>0</v>
      </c>
      <c r="S154" s="37">
        <f t="shared" si="75"/>
        <v>0</v>
      </c>
      <c r="T154" s="37">
        <f t="shared" si="77"/>
        <v>0</v>
      </c>
      <c r="U154" s="37">
        <f t="shared" si="80"/>
        <v>0</v>
      </c>
    </row>
    <row r="155" customHeight="1" spans="2:19">
      <c r="B155" s="41" t="s">
        <v>680</v>
      </c>
      <c r="D155" s="42" t="s">
        <v>681</v>
      </c>
      <c r="E155" s="47"/>
      <c r="F155" s="47"/>
      <c r="G155" s="47"/>
      <c r="H155" s="47"/>
      <c r="I155" s="47"/>
      <c r="J155" s="47"/>
      <c r="K155" s="47"/>
      <c r="L155" s="47"/>
      <c r="M155" s="47"/>
      <c r="N155" s="23"/>
      <c r="O155" s="23"/>
      <c r="P155" s="23"/>
      <c r="Q155" s="23"/>
      <c r="R155" s="23"/>
      <c r="S155" s="23"/>
    </row>
    <row r="156" customHeight="1" spans="12:16">
      <c r="L156" s="23"/>
      <c r="M156" s="23"/>
      <c r="N156" s="23"/>
      <c r="O156" s="23"/>
      <c r="P156" s="23"/>
    </row>
  </sheetData>
  <sheetProtection sheet="1" objects="1" scenarios="1"/>
  <mergeCells count="6">
    <mergeCell ref="B1:C1"/>
    <mergeCell ref="D1:E1"/>
    <mergeCell ref="F1:K1"/>
    <mergeCell ref="L1:P1"/>
    <mergeCell ref="Q1:U1"/>
    <mergeCell ref="D155:M155"/>
  </mergeCells>
  <conditionalFormatting sqref="L157:L65537 O157:O65537 L104:L134 O102:O134 O2:O100 L2:L100 L135:O147 L101:O101 K102:K103 N102:N103 L103:M103 L102 O154 L154 L149 O149">
    <cfRule type="cellIs" dxfId="52" priority="1" stopIfTrue="1" operator="greaterThan">
      <formula>10</formula>
    </cfRule>
  </conditionalFormatting>
  <conditionalFormatting sqref="P3:P67">
    <cfRule type="cellIs" dxfId="53" priority="2" stopIfTrue="1" operator="greaterThan">
      <formula>30</formula>
    </cfRule>
  </conditionalFormatting>
  <conditionalFormatting sqref="P105">
    <cfRule type="cellIs" dxfId="54" priority="3" stopIfTrue="1" operator="greaterThan">
      <formula>0.5</formula>
    </cfRule>
  </conditionalFormatting>
  <pageMargins left="0.699305555555556" right="0.699305555555556" top="0.75" bottom="0.75" header="0.3" footer="0.3"/>
  <pageSetup paperSize="9" orientation="portrait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313" name="Spinner 1049" r:id="rId4">
              <controlPr print="0" defaultSize="0">
                <anchor moveWithCells="1">
                  <from>
                    <xdr:col>21</xdr:col>
                    <xdr:colOff>419100</xdr:colOff>
                    <xdr:row>0</xdr:row>
                    <xdr:rowOff>9525</xdr:rowOff>
                  </from>
                  <to>
                    <xdr:col>22</xdr:col>
                    <xdr:colOff>466725</xdr:colOff>
                    <xdr:row>1</xdr:row>
                    <xdr:rowOff>180975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69"/>
  <sheetViews>
    <sheetView topLeftCell="B1" workbookViewId="0">
      <pane xSplit="2" ySplit="2" topLeftCell="D3" activePane="bottomRight" state="frozenSplit"/>
      <selection/>
      <selection pane="topRight"/>
      <selection pane="bottomLeft"/>
      <selection pane="bottomRight" activeCell="I19" sqref="I19"/>
    </sheetView>
  </sheetViews>
  <sheetFormatPr defaultColWidth="9" defaultRowHeight="15" customHeight="1"/>
  <cols>
    <col min="1" max="1" width="13.25" style="23" hidden="1" customWidth="1"/>
    <col min="2" max="2" width="4.75" style="23" customWidth="1"/>
    <col min="3" max="3" width="8.75" style="23" customWidth="1"/>
    <col min="4" max="7" width="9.125" style="23" customWidth="1"/>
    <col min="8" max="8" width="8" style="23" customWidth="1"/>
    <col min="9" max="12" width="10.125" style="24" customWidth="1"/>
    <col min="13" max="13" width="10" style="24" customWidth="1"/>
    <col min="14" max="14" width="8.625" style="25" customWidth="1"/>
    <col min="15" max="15" width="8.25" style="25" customWidth="1"/>
    <col min="16" max="16" width="7.25" style="25" customWidth="1"/>
    <col min="17" max="18" width="9" style="25" customWidth="1"/>
    <col min="19" max="19" width="5.875" style="23" customWidth="1"/>
    <col min="20" max="20" width="12.75" style="24" customWidth="1"/>
    <col min="21" max="21" width="9.5" style="24" customWidth="1"/>
    <col min="22" max="16384" width="9" style="23"/>
  </cols>
  <sheetData>
    <row r="1" customHeight="1" spans="1:19">
      <c r="A1" s="26"/>
      <c r="B1" s="27"/>
      <c r="C1" s="28"/>
      <c r="D1" s="29" t="s">
        <v>682</v>
      </c>
      <c r="E1" s="29"/>
      <c r="F1" s="29"/>
      <c r="G1" s="29"/>
      <c r="H1" s="30"/>
      <c r="I1" s="33" t="s">
        <v>683</v>
      </c>
      <c r="J1" s="33"/>
      <c r="K1" s="33"/>
      <c r="L1" s="33"/>
      <c r="M1" s="33"/>
      <c r="N1" s="34" t="s">
        <v>625</v>
      </c>
      <c r="O1" s="35"/>
      <c r="P1" s="35"/>
      <c r="Q1" s="35"/>
      <c r="R1" s="38"/>
      <c r="S1" s="39" t="s">
        <v>365</v>
      </c>
    </row>
    <row r="2" customHeight="1" spans="1:19">
      <c r="A2" s="31" t="s">
        <v>626</v>
      </c>
      <c r="B2" s="26" t="s">
        <v>264</v>
      </c>
      <c r="C2" s="26" t="s">
        <v>110</v>
      </c>
      <c r="D2" s="26" t="s">
        <v>630</v>
      </c>
      <c r="E2" s="26" t="s">
        <v>631</v>
      </c>
      <c r="F2" s="26" t="s">
        <v>632</v>
      </c>
      <c r="G2" s="26" t="s">
        <v>633</v>
      </c>
      <c r="H2" s="32" t="s">
        <v>634</v>
      </c>
      <c r="I2" s="32" t="s">
        <v>635</v>
      </c>
      <c r="J2" s="32" t="s">
        <v>636</v>
      </c>
      <c r="K2" s="32" t="s">
        <v>637</v>
      </c>
      <c r="L2" s="32" t="s">
        <v>638</v>
      </c>
      <c r="M2" s="33" t="s">
        <v>639</v>
      </c>
      <c r="N2" s="36" t="s">
        <v>46</v>
      </c>
      <c r="O2" s="36" t="s">
        <v>47</v>
      </c>
      <c r="P2" s="36" t="s">
        <v>48</v>
      </c>
      <c r="Q2" s="37" t="s">
        <v>53</v>
      </c>
      <c r="R2" s="37" t="s">
        <v>476</v>
      </c>
      <c r="S2" s="40">
        <v>100</v>
      </c>
    </row>
    <row r="3" ht="16.5" customHeight="1" spans="1:18">
      <c r="A3" s="26">
        <v>1</v>
      </c>
      <c r="B3" s="26" t="s">
        <v>292</v>
      </c>
      <c r="C3" s="26" t="s">
        <v>182</v>
      </c>
      <c r="D3" s="26"/>
      <c r="E3" s="26"/>
      <c r="F3" s="26"/>
      <c r="G3" s="26"/>
      <c r="H3" s="26">
        <f>D3+E3+F3+G3</f>
        <v>0</v>
      </c>
      <c r="I3" s="33"/>
      <c r="J3" s="33"/>
      <c r="K3" s="33"/>
      <c r="L3" s="33"/>
      <c r="M3" s="33">
        <f>I3+J3+K3+L3</f>
        <v>0</v>
      </c>
      <c r="N3" s="37">
        <f>D3+(S2-1)*I3</f>
        <v>0</v>
      </c>
      <c r="O3" s="37">
        <f>E3+(S2-1)*J3</f>
        <v>0</v>
      </c>
      <c r="P3" s="37">
        <f>F3+(S2-1)*K3</f>
        <v>0</v>
      </c>
      <c r="Q3" s="37">
        <f>G3+(S2-1)*L3</f>
        <v>0</v>
      </c>
      <c r="R3" s="37">
        <f>N3+O3+P3+Q3</f>
        <v>0</v>
      </c>
    </row>
    <row r="4" customHeight="1" spans="1:18">
      <c r="A4" s="26">
        <v>2</v>
      </c>
      <c r="B4" s="26" t="s">
        <v>292</v>
      </c>
      <c r="C4" s="26" t="s">
        <v>200</v>
      </c>
      <c r="D4" s="26"/>
      <c r="E4" s="26"/>
      <c r="F4" s="26"/>
      <c r="G4" s="26"/>
      <c r="H4" s="26">
        <f t="shared" ref="H4" si="0">D4+E4+F4+G4</f>
        <v>0</v>
      </c>
      <c r="I4" s="33"/>
      <c r="J4" s="33"/>
      <c r="K4" s="33"/>
      <c r="L4" s="33"/>
      <c r="M4" s="33">
        <f t="shared" ref="M4" si="1">I4+J4+K4+L4</f>
        <v>0</v>
      </c>
      <c r="N4" s="37">
        <f>D4+(S2-1)*I4</f>
        <v>0</v>
      </c>
      <c r="O4" s="37">
        <f>E4+(S2-1)*J4</f>
        <v>0</v>
      </c>
      <c r="P4" s="37">
        <f>F4+(S2-1)*K4</f>
        <v>0</v>
      </c>
      <c r="Q4" s="37">
        <f>G4+(S2-1)*L4</f>
        <v>0</v>
      </c>
      <c r="R4" s="37">
        <f t="shared" ref="R4" si="2">N4+O4+P4+Q4</f>
        <v>0</v>
      </c>
    </row>
    <row r="5" customHeight="1" spans="1:18">
      <c r="A5" s="26">
        <v>3</v>
      </c>
      <c r="B5" s="26" t="s">
        <v>292</v>
      </c>
      <c r="C5" s="26" t="s">
        <v>5</v>
      </c>
      <c r="D5" s="26">
        <v>280</v>
      </c>
      <c r="E5" s="26">
        <v>150</v>
      </c>
      <c r="F5" s="26">
        <v>160</v>
      </c>
      <c r="G5" s="26">
        <v>305</v>
      </c>
      <c r="H5" s="26">
        <f t="shared" ref="H5:H36" si="3">D5+E5+F5+G5</f>
        <v>895</v>
      </c>
      <c r="I5" s="33">
        <v>10.8</v>
      </c>
      <c r="J5" s="33">
        <v>7.2</v>
      </c>
      <c r="K5" s="33">
        <v>6.9</v>
      </c>
      <c r="L5" s="33">
        <v>9</v>
      </c>
      <c r="M5" s="33">
        <f t="shared" ref="M5:M36" si="4">I5+J5+K5+L5</f>
        <v>33.9</v>
      </c>
      <c r="N5" s="37">
        <f>D5+(S2-1)*I5</f>
        <v>1349.2</v>
      </c>
      <c r="O5" s="37">
        <f>E5+(S2-1)*J5</f>
        <v>862.8</v>
      </c>
      <c r="P5" s="37">
        <f>F5+(S2-1)*K5</f>
        <v>843.1</v>
      </c>
      <c r="Q5" s="37">
        <f>G5+(S2-1)*L5</f>
        <v>1196</v>
      </c>
      <c r="R5" s="37">
        <f t="shared" ref="R5:R36" si="5">N5+O5+P5+Q5</f>
        <v>4251.1</v>
      </c>
    </row>
    <row r="6" customHeight="1" spans="1:18">
      <c r="A6" s="26">
        <v>4</v>
      </c>
      <c r="B6" s="26" t="s">
        <v>292</v>
      </c>
      <c r="C6" s="26" t="s">
        <v>188</v>
      </c>
      <c r="D6" s="26"/>
      <c r="E6" s="26"/>
      <c r="F6" s="26"/>
      <c r="G6" s="26"/>
      <c r="H6" s="26">
        <f t="shared" si="3"/>
        <v>0</v>
      </c>
      <c r="I6" s="33"/>
      <c r="J6" s="33"/>
      <c r="K6" s="33"/>
      <c r="L6" s="33"/>
      <c r="M6" s="33">
        <f t="shared" si="4"/>
        <v>0</v>
      </c>
      <c r="N6" s="37">
        <f>D6+(S2-1)*I6</f>
        <v>0</v>
      </c>
      <c r="O6" s="37">
        <f>E6+(S2-1)*J6</f>
        <v>0</v>
      </c>
      <c r="P6" s="37">
        <f>F6+(S2-1)*K6</f>
        <v>0</v>
      </c>
      <c r="Q6" s="37">
        <f>G6+(S2-1)*L6</f>
        <v>0</v>
      </c>
      <c r="R6" s="37">
        <f t="shared" si="5"/>
        <v>0</v>
      </c>
    </row>
    <row r="7" customHeight="1" spans="1:18">
      <c r="A7" s="26">
        <v>5</v>
      </c>
      <c r="B7" s="26" t="s">
        <v>292</v>
      </c>
      <c r="C7" s="26" t="s">
        <v>2</v>
      </c>
      <c r="D7" s="26"/>
      <c r="E7" s="26"/>
      <c r="F7" s="26"/>
      <c r="G7" s="26"/>
      <c r="H7" s="26">
        <f t="shared" si="3"/>
        <v>0</v>
      </c>
      <c r="I7" s="33"/>
      <c r="J7" s="33"/>
      <c r="K7" s="33"/>
      <c r="L7" s="33"/>
      <c r="M7" s="33">
        <f t="shared" si="4"/>
        <v>0</v>
      </c>
      <c r="N7" s="37">
        <f>D7+(S2-1)*I7</f>
        <v>0</v>
      </c>
      <c r="O7" s="37">
        <f>E7+(S2-1)*J7</f>
        <v>0</v>
      </c>
      <c r="P7" s="37">
        <f>F7+(S2-1)*K7</f>
        <v>0</v>
      </c>
      <c r="Q7" s="37">
        <f>G7+(S2-1)*L7</f>
        <v>0</v>
      </c>
      <c r="R7" s="37">
        <f t="shared" si="5"/>
        <v>0</v>
      </c>
    </row>
    <row r="8" customHeight="1" spans="1:18">
      <c r="A8" s="26">
        <v>6</v>
      </c>
      <c r="B8" s="26" t="s">
        <v>292</v>
      </c>
      <c r="C8" s="26" t="s">
        <v>172</v>
      </c>
      <c r="D8" s="26">
        <v>140</v>
      </c>
      <c r="E8" s="26">
        <v>80</v>
      </c>
      <c r="F8" s="26">
        <v>190</v>
      </c>
      <c r="G8" s="26">
        <v>450</v>
      </c>
      <c r="H8" s="26">
        <f t="shared" si="3"/>
        <v>860</v>
      </c>
      <c r="I8" s="33">
        <v>5.1</v>
      </c>
      <c r="J8" s="33">
        <v>7.8</v>
      </c>
      <c r="K8" s="33">
        <v>8</v>
      </c>
      <c r="L8" s="33">
        <v>13</v>
      </c>
      <c r="M8" s="33">
        <f t="shared" si="4"/>
        <v>33.9</v>
      </c>
      <c r="N8" s="37">
        <f>D8+(S2-1)*I8</f>
        <v>644.9</v>
      </c>
      <c r="O8" s="37">
        <f>E8+(S2-1)*J8</f>
        <v>852.2</v>
      </c>
      <c r="P8" s="37">
        <f>F8+(S2-1)*K8</f>
        <v>982</v>
      </c>
      <c r="Q8" s="37">
        <f>G8+(S2-1)*L8</f>
        <v>1737</v>
      </c>
      <c r="R8" s="37">
        <f t="shared" si="5"/>
        <v>4216.1</v>
      </c>
    </row>
    <row r="9" customHeight="1" spans="1:18">
      <c r="A9" s="26">
        <v>7</v>
      </c>
      <c r="B9" s="26" t="s">
        <v>292</v>
      </c>
      <c r="C9" s="26" t="s">
        <v>257</v>
      </c>
      <c r="D9" s="26"/>
      <c r="E9" s="26"/>
      <c r="F9" s="26"/>
      <c r="G9" s="26"/>
      <c r="H9" s="26">
        <f t="shared" si="3"/>
        <v>0</v>
      </c>
      <c r="I9" s="33"/>
      <c r="J9" s="33"/>
      <c r="K9" s="33"/>
      <c r="L9" s="33"/>
      <c r="M9" s="33">
        <f t="shared" si="4"/>
        <v>0</v>
      </c>
      <c r="N9" s="37">
        <f>D9+(S2-1)*I9</f>
        <v>0</v>
      </c>
      <c r="O9" s="37">
        <f>E9+(S2-1)*J9</f>
        <v>0</v>
      </c>
      <c r="P9" s="37">
        <f>F9+(S2-1)*K9</f>
        <v>0</v>
      </c>
      <c r="Q9" s="37">
        <f>G9+(S2-1)*L9</f>
        <v>0</v>
      </c>
      <c r="R9" s="37">
        <f t="shared" si="5"/>
        <v>0</v>
      </c>
    </row>
    <row r="10" customHeight="1" spans="1:18">
      <c r="A10" s="26">
        <v>8</v>
      </c>
      <c r="B10" s="26" t="s">
        <v>292</v>
      </c>
      <c r="C10" s="26" t="s">
        <v>165</v>
      </c>
      <c r="D10" s="26">
        <v>240</v>
      </c>
      <c r="E10" s="26">
        <v>220</v>
      </c>
      <c r="F10" s="26">
        <v>231</v>
      </c>
      <c r="G10" s="26">
        <v>300</v>
      </c>
      <c r="H10" s="26">
        <f t="shared" si="3"/>
        <v>991</v>
      </c>
      <c r="I10" s="33">
        <v>12</v>
      </c>
      <c r="J10" s="33">
        <v>6.5</v>
      </c>
      <c r="K10" s="33">
        <v>6.5</v>
      </c>
      <c r="L10" s="33">
        <v>10</v>
      </c>
      <c r="M10" s="33">
        <f t="shared" si="4"/>
        <v>35</v>
      </c>
      <c r="N10" s="37">
        <f>D10+(S2-1)*I10</f>
        <v>1428</v>
      </c>
      <c r="O10" s="37">
        <f>E10+(S2-1)*J10</f>
        <v>863.5</v>
      </c>
      <c r="P10" s="37">
        <f>F10+(S2-1)*K10</f>
        <v>874.5</v>
      </c>
      <c r="Q10" s="37">
        <f>G10+(S2-1)*L10</f>
        <v>1290</v>
      </c>
      <c r="R10" s="37">
        <f t="shared" si="5"/>
        <v>4456</v>
      </c>
    </row>
    <row r="11" customHeight="1" spans="1:18">
      <c r="A11" s="26">
        <v>9</v>
      </c>
      <c r="B11" s="26" t="s">
        <v>292</v>
      </c>
      <c r="C11" s="26" t="s">
        <v>170</v>
      </c>
      <c r="D11" s="26"/>
      <c r="E11" s="26"/>
      <c r="F11" s="26"/>
      <c r="G11" s="26"/>
      <c r="H11" s="26">
        <f t="shared" si="3"/>
        <v>0</v>
      </c>
      <c r="I11" s="33"/>
      <c r="J11" s="33"/>
      <c r="K11" s="33"/>
      <c r="L11" s="33"/>
      <c r="M11" s="33">
        <f t="shared" si="4"/>
        <v>0</v>
      </c>
      <c r="N11" s="37">
        <f>D11+(S2-1)*I11</f>
        <v>0</v>
      </c>
      <c r="O11" s="37">
        <f>E11+(S2-1)*J11</f>
        <v>0</v>
      </c>
      <c r="P11" s="37">
        <f>F11+(S2-1)*K11</f>
        <v>0</v>
      </c>
      <c r="Q11" s="37">
        <f>G11+(S2-1)*L11</f>
        <v>0</v>
      </c>
      <c r="R11" s="37">
        <f t="shared" si="5"/>
        <v>0</v>
      </c>
    </row>
    <row r="12" customHeight="1" spans="1:18">
      <c r="A12" s="26">
        <v>10</v>
      </c>
      <c r="B12" s="26" t="s">
        <v>292</v>
      </c>
      <c r="C12" s="26" t="s">
        <v>177</v>
      </c>
      <c r="D12" s="26">
        <v>200</v>
      </c>
      <c r="E12" s="26">
        <v>136</v>
      </c>
      <c r="F12" s="26">
        <v>146</v>
      </c>
      <c r="G12" s="26">
        <v>380</v>
      </c>
      <c r="H12" s="26">
        <f t="shared" si="3"/>
        <v>862</v>
      </c>
      <c r="I12" s="33">
        <v>12</v>
      </c>
      <c r="J12" s="33">
        <v>5.8</v>
      </c>
      <c r="K12" s="33">
        <v>6.8</v>
      </c>
      <c r="L12" s="33">
        <v>10</v>
      </c>
      <c r="M12" s="33">
        <f t="shared" si="4"/>
        <v>34.6</v>
      </c>
      <c r="N12" s="37">
        <f>D12+(S2-1)*I12</f>
        <v>1388</v>
      </c>
      <c r="O12" s="37">
        <f>E12+(S2-1)*J12</f>
        <v>710.2</v>
      </c>
      <c r="P12" s="37">
        <f>F12+(S2-1)*K12</f>
        <v>819.2</v>
      </c>
      <c r="Q12" s="37">
        <f>G12+(S2-1)*L12</f>
        <v>1370</v>
      </c>
      <c r="R12" s="37">
        <f t="shared" si="5"/>
        <v>4287.4</v>
      </c>
    </row>
    <row r="13" customHeight="1" spans="1:18">
      <c r="A13" s="26">
        <v>11</v>
      </c>
      <c r="B13" s="26" t="s">
        <v>292</v>
      </c>
      <c r="C13" s="26" t="s">
        <v>174</v>
      </c>
      <c r="D13" s="26"/>
      <c r="E13" s="26"/>
      <c r="F13" s="26"/>
      <c r="G13" s="26"/>
      <c r="H13" s="26">
        <f t="shared" si="3"/>
        <v>0</v>
      </c>
      <c r="I13" s="33"/>
      <c r="J13" s="33"/>
      <c r="K13" s="33"/>
      <c r="L13" s="33"/>
      <c r="M13" s="33">
        <f t="shared" si="4"/>
        <v>0</v>
      </c>
      <c r="N13" s="37">
        <f>D13+(S2-1)*I13</f>
        <v>0</v>
      </c>
      <c r="O13" s="37">
        <f>E13+(S2-1)*J13</f>
        <v>0</v>
      </c>
      <c r="P13" s="37">
        <f>F13+(S2-1)*K13</f>
        <v>0</v>
      </c>
      <c r="Q13" s="37">
        <f>G13+(S2-1)*L13</f>
        <v>0</v>
      </c>
      <c r="R13" s="37">
        <f t="shared" si="5"/>
        <v>0</v>
      </c>
    </row>
    <row r="14" customHeight="1" spans="1:18">
      <c r="A14" s="26">
        <v>12</v>
      </c>
      <c r="B14" s="26" t="s">
        <v>292</v>
      </c>
      <c r="C14" s="26" t="s">
        <v>244</v>
      </c>
      <c r="D14" s="26"/>
      <c r="E14" s="26"/>
      <c r="F14" s="26"/>
      <c r="G14" s="26"/>
      <c r="H14" s="26">
        <f t="shared" si="3"/>
        <v>0</v>
      </c>
      <c r="I14" s="33"/>
      <c r="J14" s="33"/>
      <c r="K14" s="33"/>
      <c r="L14" s="33"/>
      <c r="M14" s="33">
        <f t="shared" si="4"/>
        <v>0</v>
      </c>
      <c r="N14" s="37">
        <f>D14+(S2-1)*I14</f>
        <v>0</v>
      </c>
      <c r="O14" s="37">
        <f>E14+(S2-1)*J14</f>
        <v>0</v>
      </c>
      <c r="P14" s="37">
        <f>F14+(S2-1)*K14</f>
        <v>0</v>
      </c>
      <c r="Q14" s="37">
        <f>G14+(S2-1)*L14</f>
        <v>0</v>
      </c>
      <c r="R14" s="37">
        <f t="shared" si="5"/>
        <v>0</v>
      </c>
    </row>
    <row r="15" customHeight="1" spans="1:18">
      <c r="A15" s="26">
        <v>13</v>
      </c>
      <c r="B15" s="26" t="s">
        <v>292</v>
      </c>
      <c r="C15" s="26" t="s">
        <v>185</v>
      </c>
      <c r="D15" s="26"/>
      <c r="E15" s="26"/>
      <c r="F15" s="26"/>
      <c r="G15" s="26"/>
      <c r="H15" s="26">
        <f t="shared" si="3"/>
        <v>0</v>
      </c>
      <c r="I15" s="33"/>
      <c r="J15" s="33"/>
      <c r="K15" s="33"/>
      <c r="L15" s="33"/>
      <c r="M15" s="33">
        <f t="shared" si="4"/>
        <v>0</v>
      </c>
      <c r="N15" s="37">
        <f>D15+(S2-1)*I15</f>
        <v>0</v>
      </c>
      <c r="O15" s="37">
        <f>E15+(S2-1)*J15</f>
        <v>0</v>
      </c>
      <c r="P15" s="37">
        <f>F15+(S2-1)*K15</f>
        <v>0</v>
      </c>
      <c r="Q15" s="37">
        <f>G15+(S2-1)*L15</f>
        <v>0</v>
      </c>
      <c r="R15" s="37">
        <f t="shared" si="5"/>
        <v>0</v>
      </c>
    </row>
    <row r="16" customHeight="1" spans="1:18">
      <c r="A16" s="26">
        <v>14</v>
      </c>
      <c r="B16" s="26" t="s">
        <v>292</v>
      </c>
      <c r="C16" s="26" t="s">
        <v>641</v>
      </c>
      <c r="D16" s="26"/>
      <c r="E16" s="26"/>
      <c r="F16" s="26"/>
      <c r="G16" s="26"/>
      <c r="H16" s="26">
        <f t="shared" si="3"/>
        <v>0</v>
      </c>
      <c r="I16" s="33"/>
      <c r="J16" s="33"/>
      <c r="K16" s="33"/>
      <c r="L16" s="33"/>
      <c r="M16" s="33">
        <f t="shared" si="4"/>
        <v>0</v>
      </c>
      <c r="N16" s="37">
        <f>D16+(S2-1)*I16</f>
        <v>0</v>
      </c>
      <c r="O16" s="37">
        <f>E16+(S2-1)*J16</f>
        <v>0</v>
      </c>
      <c r="P16" s="37">
        <f>F16+(S2-1)*K16</f>
        <v>0</v>
      </c>
      <c r="Q16" s="37">
        <f>G16+(S2-1)*L16</f>
        <v>0</v>
      </c>
      <c r="R16" s="37">
        <f t="shared" si="5"/>
        <v>0</v>
      </c>
    </row>
    <row r="17" customHeight="1" spans="1:18">
      <c r="A17" s="26">
        <v>15</v>
      </c>
      <c r="B17" s="26" t="s">
        <v>292</v>
      </c>
      <c r="C17" s="26" t="s">
        <v>190</v>
      </c>
      <c r="D17" s="26"/>
      <c r="E17" s="26"/>
      <c r="F17" s="26"/>
      <c r="G17" s="26"/>
      <c r="H17" s="26">
        <f t="shared" si="3"/>
        <v>0</v>
      </c>
      <c r="I17" s="33"/>
      <c r="J17" s="33"/>
      <c r="K17" s="33"/>
      <c r="L17" s="33"/>
      <c r="M17" s="33">
        <f t="shared" si="4"/>
        <v>0</v>
      </c>
      <c r="N17" s="37">
        <f>D17+(S2-1)*I17</f>
        <v>0</v>
      </c>
      <c r="O17" s="37">
        <f>E17+(S2-1)*J17</f>
        <v>0</v>
      </c>
      <c r="P17" s="37">
        <f>F17+(S2-1)*K17</f>
        <v>0</v>
      </c>
      <c r="Q17" s="37">
        <f>G17+(S2-1)*L17</f>
        <v>0</v>
      </c>
      <c r="R17" s="37">
        <f t="shared" si="5"/>
        <v>0</v>
      </c>
    </row>
    <row r="18" customHeight="1" spans="1:18">
      <c r="A18" s="26">
        <v>16</v>
      </c>
      <c r="B18" s="26" t="s">
        <v>292</v>
      </c>
      <c r="C18" s="26" t="s">
        <v>198</v>
      </c>
      <c r="D18" s="26"/>
      <c r="E18" s="26"/>
      <c r="F18" s="26"/>
      <c r="G18" s="26"/>
      <c r="H18" s="26">
        <f t="shared" si="3"/>
        <v>0</v>
      </c>
      <c r="I18" s="33"/>
      <c r="J18" s="33"/>
      <c r="K18" s="33"/>
      <c r="L18" s="33"/>
      <c r="M18" s="33">
        <f t="shared" si="4"/>
        <v>0</v>
      </c>
      <c r="N18" s="37">
        <f>D18+(S2-1)*I18</f>
        <v>0</v>
      </c>
      <c r="O18" s="37">
        <f>E18+(S2-1)*J18</f>
        <v>0</v>
      </c>
      <c r="P18" s="37">
        <f>F18+(S2-1)*K18</f>
        <v>0</v>
      </c>
      <c r="Q18" s="37">
        <f>G18+(S2-1)*L18</f>
        <v>0</v>
      </c>
      <c r="R18" s="37">
        <f t="shared" si="5"/>
        <v>0</v>
      </c>
    </row>
    <row r="19" customHeight="1" spans="1:18">
      <c r="A19" s="26">
        <v>17</v>
      </c>
      <c r="B19" s="26" t="s">
        <v>292</v>
      </c>
      <c r="C19" s="26" t="s">
        <v>173</v>
      </c>
      <c r="D19" s="26"/>
      <c r="E19" s="26"/>
      <c r="F19" s="26"/>
      <c r="G19" s="26"/>
      <c r="H19" s="26">
        <f t="shared" si="3"/>
        <v>0</v>
      </c>
      <c r="I19" s="33"/>
      <c r="J19" s="33"/>
      <c r="K19" s="33"/>
      <c r="L19" s="33"/>
      <c r="M19" s="33">
        <f t="shared" si="4"/>
        <v>0</v>
      </c>
      <c r="N19" s="37">
        <f>D19+(S2-1)*I19</f>
        <v>0</v>
      </c>
      <c r="O19" s="37">
        <f>E19+(S2-1)*J19</f>
        <v>0</v>
      </c>
      <c r="P19" s="37">
        <f>F19+(S2-1)*K19</f>
        <v>0</v>
      </c>
      <c r="Q19" s="37">
        <f>G19+(S2-1)*L19</f>
        <v>0</v>
      </c>
      <c r="R19" s="37">
        <f t="shared" si="5"/>
        <v>0</v>
      </c>
    </row>
    <row r="20" customHeight="1" spans="1:18">
      <c r="A20" s="26">
        <v>18</v>
      </c>
      <c r="B20" s="26" t="s">
        <v>292</v>
      </c>
      <c r="C20" s="26" t="s">
        <v>9</v>
      </c>
      <c r="D20" s="26">
        <v>260</v>
      </c>
      <c r="E20" s="26">
        <v>250</v>
      </c>
      <c r="F20" s="26">
        <v>120</v>
      </c>
      <c r="G20" s="26">
        <v>300</v>
      </c>
      <c r="H20" s="26">
        <f t="shared" si="3"/>
        <v>930</v>
      </c>
      <c r="I20" s="33">
        <v>9</v>
      </c>
      <c r="J20" s="33">
        <v>8</v>
      </c>
      <c r="K20" s="33">
        <v>4.5</v>
      </c>
      <c r="L20" s="33">
        <v>12</v>
      </c>
      <c r="M20" s="33">
        <f t="shared" si="4"/>
        <v>33.5</v>
      </c>
      <c r="N20" s="37">
        <f>D20+(S2-1)*I20</f>
        <v>1151</v>
      </c>
      <c r="O20" s="37">
        <f>E20+(S2-1)*J20</f>
        <v>1042</v>
      </c>
      <c r="P20" s="37">
        <f>F20+(S2-1)*K20</f>
        <v>565.5</v>
      </c>
      <c r="Q20" s="37">
        <f>G20+(S2-1)*L20</f>
        <v>1488</v>
      </c>
      <c r="R20" s="37">
        <f t="shared" si="5"/>
        <v>4246.5</v>
      </c>
    </row>
    <row r="21" customHeight="1" spans="1:18">
      <c r="A21" s="26">
        <v>19</v>
      </c>
      <c r="B21" s="26" t="s">
        <v>292</v>
      </c>
      <c r="C21" s="26" t="s">
        <v>3</v>
      </c>
      <c r="D21" s="26">
        <v>305</v>
      </c>
      <c r="E21" s="26">
        <v>265</v>
      </c>
      <c r="F21" s="26">
        <v>195</v>
      </c>
      <c r="G21" s="26">
        <v>225</v>
      </c>
      <c r="H21" s="26">
        <f t="shared" si="3"/>
        <v>990</v>
      </c>
      <c r="I21" s="33">
        <v>11.3</v>
      </c>
      <c r="J21" s="33">
        <v>7.9</v>
      </c>
      <c r="K21" s="33">
        <v>7.7</v>
      </c>
      <c r="L21" s="33">
        <v>7</v>
      </c>
      <c r="M21" s="33">
        <f t="shared" si="4"/>
        <v>33.9</v>
      </c>
      <c r="N21" s="37">
        <f>D21+(S2-1)*I21</f>
        <v>1423.7</v>
      </c>
      <c r="O21" s="37">
        <f>E21+(S2-1)*J21</f>
        <v>1047.1</v>
      </c>
      <c r="P21" s="37">
        <f>F21+(S2-1)*K21</f>
        <v>957.3</v>
      </c>
      <c r="Q21" s="37">
        <f>G21+(S2-1)*L21</f>
        <v>918</v>
      </c>
      <c r="R21" s="37">
        <f t="shared" si="5"/>
        <v>4346.1</v>
      </c>
    </row>
    <row r="22" customHeight="1" spans="1:18">
      <c r="A22" s="26">
        <v>20</v>
      </c>
      <c r="B22" s="26" t="s">
        <v>292</v>
      </c>
      <c r="C22" s="26" t="s">
        <v>186</v>
      </c>
      <c r="D22" s="26">
        <v>200</v>
      </c>
      <c r="E22" s="26">
        <v>128</v>
      </c>
      <c r="F22" s="26">
        <v>144</v>
      </c>
      <c r="G22" s="26">
        <v>380</v>
      </c>
      <c r="H22" s="26">
        <f t="shared" si="3"/>
        <v>852</v>
      </c>
      <c r="I22" s="33">
        <v>11.3</v>
      </c>
      <c r="J22" s="33">
        <v>6.4</v>
      </c>
      <c r="K22" s="33">
        <v>5.2</v>
      </c>
      <c r="L22" s="33">
        <v>11.5</v>
      </c>
      <c r="M22" s="33">
        <f t="shared" si="4"/>
        <v>34.4</v>
      </c>
      <c r="N22" s="37">
        <f>D22+(S2-1)*I22</f>
        <v>1318.7</v>
      </c>
      <c r="O22" s="37">
        <f>E22+(S2-1)*J22</f>
        <v>761.6</v>
      </c>
      <c r="P22" s="37">
        <f>F22+(S2-1)*K22</f>
        <v>658.8</v>
      </c>
      <c r="Q22" s="37">
        <f>G22+(S2-1)*L22</f>
        <v>1518.5</v>
      </c>
      <c r="R22" s="37">
        <f t="shared" si="5"/>
        <v>4257.6</v>
      </c>
    </row>
    <row r="23" customHeight="1" spans="1:18">
      <c r="A23" s="26">
        <v>21</v>
      </c>
      <c r="B23" s="26" t="s">
        <v>292</v>
      </c>
      <c r="C23" s="26" t="s">
        <v>202</v>
      </c>
      <c r="D23" s="26">
        <v>260</v>
      </c>
      <c r="E23" s="26">
        <v>200</v>
      </c>
      <c r="F23" s="26">
        <v>180</v>
      </c>
      <c r="G23" s="26">
        <v>400</v>
      </c>
      <c r="H23" s="26">
        <f t="shared" si="3"/>
        <v>1040</v>
      </c>
      <c r="I23" s="33">
        <v>8</v>
      </c>
      <c r="J23" s="33">
        <v>6.6</v>
      </c>
      <c r="K23" s="33">
        <v>5.6</v>
      </c>
      <c r="L23" s="33">
        <v>15</v>
      </c>
      <c r="M23" s="33">
        <f t="shared" si="4"/>
        <v>35.2</v>
      </c>
      <c r="N23" s="37">
        <f>D23+(S2-1)*I23</f>
        <v>1052</v>
      </c>
      <c r="O23" s="37">
        <f>E23+(S2-1)*J23</f>
        <v>853.4</v>
      </c>
      <c r="P23" s="37">
        <f>F23+(S2-1)*K23</f>
        <v>734.4</v>
      </c>
      <c r="Q23" s="37">
        <f>G23+(S2-1)*L23</f>
        <v>1885</v>
      </c>
      <c r="R23" s="37">
        <f t="shared" si="5"/>
        <v>4524.8</v>
      </c>
    </row>
    <row r="24" customHeight="1" spans="1:18">
      <c r="A24" s="26">
        <v>22</v>
      </c>
      <c r="B24" s="26" t="s">
        <v>292</v>
      </c>
      <c r="C24" s="26" t="s">
        <v>189</v>
      </c>
      <c r="D24" s="26"/>
      <c r="E24" s="26"/>
      <c r="F24" s="26"/>
      <c r="G24" s="26"/>
      <c r="H24" s="26">
        <f t="shared" si="3"/>
        <v>0</v>
      </c>
      <c r="I24" s="33"/>
      <c r="J24" s="33"/>
      <c r="K24" s="33"/>
      <c r="L24" s="33"/>
      <c r="M24" s="33">
        <f t="shared" si="4"/>
        <v>0</v>
      </c>
      <c r="N24" s="37">
        <f>D24+(S2-1)*I24</f>
        <v>0</v>
      </c>
      <c r="O24" s="37">
        <f>E24+(S2-1)*J24</f>
        <v>0</v>
      </c>
      <c r="P24" s="37">
        <f>F24+(S2-1)*K24</f>
        <v>0</v>
      </c>
      <c r="Q24" s="37">
        <f>G24+(S2-1)*L24</f>
        <v>0</v>
      </c>
      <c r="R24" s="37">
        <f t="shared" si="5"/>
        <v>0</v>
      </c>
    </row>
    <row r="25" customHeight="1" spans="1:18">
      <c r="A25" s="26">
        <v>24</v>
      </c>
      <c r="B25" s="26" t="s">
        <v>292</v>
      </c>
      <c r="C25" s="26" t="s">
        <v>169</v>
      </c>
      <c r="D25" s="26"/>
      <c r="E25" s="26"/>
      <c r="F25" s="26"/>
      <c r="G25" s="26"/>
      <c r="H25" s="26">
        <f t="shared" si="3"/>
        <v>0</v>
      </c>
      <c r="I25" s="33"/>
      <c r="J25" s="33"/>
      <c r="K25" s="33"/>
      <c r="L25" s="33"/>
      <c r="M25" s="33">
        <f t="shared" si="4"/>
        <v>0</v>
      </c>
      <c r="N25" s="37">
        <f>D25+(S2-1)*I25</f>
        <v>0</v>
      </c>
      <c r="O25" s="37">
        <f>E25+(S2-1)*J25</f>
        <v>0</v>
      </c>
      <c r="P25" s="37">
        <f>F25+(S2-1)*K25</f>
        <v>0</v>
      </c>
      <c r="Q25" s="37">
        <f>G25+(S2-1)*L25</f>
        <v>0</v>
      </c>
      <c r="R25" s="37">
        <f t="shared" si="5"/>
        <v>0</v>
      </c>
    </row>
    <row r="26" customHeight="1" spans="1:18">
      <c r="A26" s="26">
        <v>25</v>
      </c>
      <c r="B26" s="26" t="s">
        <v>292</v>
      </c>
      <c r="C26" s="26" t="s">
        <v>7</v>
      </c>
      <c r="D26" s="26"/>
      <c r="E26" s="26"/>
      <c r="F26" s="26"/>
      <c r="G26" s="26"/>
      <c r="H26" s="26">
        <f t="shared" si="3"/>
        <v>0</v>
      </c>
      <c r="I26" s="33"/>
      <c r="J26" s="33"/>
      <c r="K26" s="33"/>
      <c r="L26" s="33"/>
      <c r="M26" s="33">
        <f t="shared" si="4"/>
        <v>0</v>
      </c>
      <c r="N26" s="37">
        <f>D26+(S2-1)*I26</f>
        <v>0</v>
      </c>
      <c r="O26" s="37">
        <f>E26+(S2-1)*J26</f>
        <v>0</v>
      </c>
      <c r="P26" s="37">
        <f>F26+(S2-1)*K26</f>
        <v>0</v>
      </c>
      <c r="Q26" s="37">
        <f>G26+(S2-1)*L26</f>
        <v>0</v>
      </c>
      <c r="R26" s="37">
        <f t="shared" si="5"/>
        <v>0</v>
      </c>
    </row>
    <row r="27" customHeight="1" spans="1:18">
      <c r="A27" s="26">
        <v>26</v>
      </c>
      <c r="B27" s="26" t="s">
        <v>292</v>
      </c>
      <c r="C27" s="26" t="s">
        <v>247</v>
      </c>
      <c r="D27" s="26"/>
      <c r="E27" s="26"/>
      <c r="F27" s="26"/>
      <c r="G27" s="26"/>
      <c r="H27" s="26">
        <f t="shared" si="3"/>
        <v>0</v>
      </c>
      <c r="I27" s="33"/>
      <c r="J27" s="33"/>
      <c r="K27" s="33"/>
      <c r="L27" s="33"/>
      <c r="M27" s="33">
        <f t="shared" si="4"/>
        <v>0</v>
      </c>
      <c r="N27" s="37">
        <f>D27+(S2-1)*I27</f>
        <v>0</v>
      </c>
      <c r="O27" s="37">
        <f>E27+(S2-1)*J27</f>
        <v>0</v>
      </c>
      <c r="P27" s="37">
        <f>F27+(S2-1)*K27</f>
        <v>0</v>
      </c>
      <c r="Q27" s="37">
        <f>G27+(S2-1)*L27</f>
        <v>0</v>
      </c>
      <c r="R27" s="37">
        <f t="shared" si="5"/>
        <v>0</v>
      </c>
    </row>
    <row r="28" customHeight="1" spans="1:18">
      <c r="A28" s="26">
        <v>27</v>
      </c>
      <c r="B28" s="26" t="s">
        <v>292</v>
      </c>
      <c r="C28" s="26" t="s">
        <v>191</v>
      </c>
      <c r="D28" s="26"/>
      <c r="E28" s="26"/>
      <c r="F28" s="26"/>
      <c r="G28" s="26"/>
      <c r="H28" s="26">
        <f t="shared" si="3"/>
        <v>0</v>
      </c>
      <c r="I28" s="33"/>
      <c r="J28" s="33"/>
      <c r="K28" s="33"/>
      <c r="L28" s="33"/>
      <c r="M28" s="33">
        <f t="shared" si="4"/>
        <v>0</v>
      </c>
      <c r="N28" s="37">
        <f>D28+(S2-1)*I28</f>
        <v>0</v>
      </c>
      <c r="O28" s="37">
        <f>E28+(S2-1)*J28</f>
        <v>0</v>
      </c>
      <c r="P28" s="37">
        <f>F28+(S2-1)*K28</f>
        <v>0</v>
      </c>
      <c r="Q28" s="37">
        <f>G28+(S2-1)*L28</f>
        <v>0</v>
      </c>
      <c r="R28" s="37">
        <f t="shared" si="5"/>
        <v>0</v>
      </c>
    </row>
    <row r="29" customHeight="1" spans="1:18">
      <c r="A29" s="26">
        <v>28</v>
      </c>
      <c r="B29" s="26" t="s">
        <v>292</v>
      </c>
      <c r="C29" s="26" t="s">
        <v>183</v>
      </c>
      <c r="D29" s="26"/>
      <c r="E29" s="26"/>
      <c r="F29" s="26"/>
      <c r="G29" s="26"/>
      <c r="H29" s="26">
        <f t="shared" si="3"/>
        <v>0</v>
      </c>
      <c r="I29" s="33"/>
      <c r="J29" s="33"/>
      <c r="K29" s="33"/>
      <c r="L29" s="33"/>
      <c r="M29" s="33">
        <f t="shared" si="4"/>
        <v>0</v>
      </c>
      <c r="N29" s="37">
        <f>D29+(S2-1)*I29</f>
        <v>0</v>
      </c>
      <c r="O29" s="37">
        <f>E29+(S2-1)*J29</f>
        <v>0</v>
      </c>
      <c r="P29" s="37">
        <f>F29+(S2-1)*K29</f>
        <v>0</v>
      </c>
      <c r="Q29" s="37">
        <f>G29+(S2-1)*L29</f>
        <v>0</v>
      </c>
      <c r="R29" s="37">
        <f t="shared" si="5"/>
        <v>0</v>
      </c>
    </row>
    <row r="30" customHeight="1" spans="1:18">
      <c r="A30" s="26">
        <v>29</v>
      </c>
      <c r="B30" s="26" t="s">
        <v>292</v>
      </c>
      <c r="C30" s="26" t="s">
        <v>175</v>
      </c>
      <c r="D30" s="26">
        <v>300</v>
      </c>
      <c r="E30" s="26">
        <v>188</v>
      </c>
      <c r="F30" s="26">
        <v>70</v>
      </c>
      <c r="G30" s="26">
        <v>380</v>
      </c>
      <c r="H30" s="26">
        <f t="shared" si="3"/>
        <v>938</v>
      </c>
      <c r="I30" s="33">
        <v>9</v>
      </c>
      <c r="J30" s="33">
        <v>9.3</v>
      </c>
      <c r="K30" s="33">
        <v>4.6</v>
      </c>
      <c r="L30" s="33">
        <v>12</v>
      </c>
      <c r="M30" s="33">
        <f t="shared" si="4"/>
        <v>34.9</v>
      </c>
      <c r="N30" s="37">
        <f>D30+(S2-1)*I30</f>
        <v>1191</v>
      </c>
      <c r="O30" s="37">
        <f>E30+(S2-1)*J30</f>
        <v>1108.7</v>
      </c>
      <c r="P30" s="37">
        <f>F30+(S2-1)*K30</f>
        <v>525.4</v>
      </c>
      <c r="Q30" s="37">
        <f>G30+(S2-1)*L30</f>
        <v>1568</v>
      </c>
      <c r="R30" s="37">
        <f t="shared" si="5"/>
        <v>4393.1</v>
      </c>
    </row>
    <row r="31" customHeight="1" spans="1:18">
      <c r="A31" s="26">
        <v>30</v>
      </c>
      <c r="B31" s="26" t="s">
        <v>292</v>
      </c>
      <c r="C31" s="26" t="s">
        <v>181</v>
      </c>
      <c r="D31" s="26">
        <v>500</v>
      </c>
      <c r="E31" s="26">
        <v>200</v>
      </c>
      <c r="F31" s="26">
        <v>180</v>
      </c>
      <c r="G31" s="26">
        <v>680</v>
      </c>
      <c r="H31" s="26">
        <f t="shared" si="3"/>
        <v>1560</v>
      </c>
      <c r="I31" s="33">
        <v>10</v>
      </c>
      <c r="J31" s="33">
        <v>5.1</v>
      </c>
      <c r="K31" s="33">
        <v>3.5</v>
      </c>
      <c r="L31" s="33">
        <v>11.4</v>
      </c>
      <c r="M31" s="33">
        <f t="shared" si="4"/>
        <v>30</v>
      </c>
      <c r="N31" s="37">
        <f>D31+(S2-1)*I31</f>
        <v>1490</v>
      </c>
      <c r="O31" s="37">
        <f>E31+(S2-1)*J31</f>
        <v>704.9</v>
      </c>
      <c r="P31" s="37">
        <f>F31+(S2-1)*K31</f>
        <v>526.5</v>
      </c>
      <c r="Q31" s="37">
        <f>G31+(S2-1)*L31</f>
        <v>1808.6</v>
      </c>
      <c r="R31" s="37">
        <f t="shared" si="5"/>
        <v>4530</v>
      </c>
    </row>
    <row r="32" customHeight="1" spans="1:18">
      <c r="A32" s="26">
        <v>31</v>
      </c>
      <c r="B32" s="26" t="s">
        <v>292</v>
      </c>
      <c r="C32" s="26" t="s">
        <v>10</v>
      </c>
      <c r="D32" s="26"/>
      <c r="E32" s="26"/>
      <c r="F32" s="26"/>
      <c r="G32" s="26"/>
      <c r="H32" s="26">
        <f t="shared" si="3"/>
        <v>0</v>
      </c>
      <c r="I32" s="33"/>
      <c r="J32" s="33"/>
      <c r="K32" s="33"/>
      <c r="L32" s="33"/>
      <c r="M32" s="33">
        <f t="shared" si="4"/>
        <v>0</v>
      </c>
      <c r="N32" s="37">
        <f>D32+(S2-1)*I32</f>
        <v>0</v>
      </c>
      <c r="O32" s="37">
        <f>E32+(S2-1)*J32</f>
        <v>0</v>
      </c>
      <c r="P32" s="37">
        <f>F32+(S2-1)*K32</f>
        <v>0</v>
      </c>
      <c r="Q32" s="37">
        <f>G32+(S2-1)*L32</f>
        <v>0</v>
      </c>
      <c r="R32" s="37">
        <f t="shared" si="5"/>
        <v>0</v>
      </c>
    </row>
    <row r="33" customHeight="1" spans="1:18">
      <c r="A33" s="26">
        <v>32</v>
      </c>
      <c r="B33" s="26" t="s">
        <v>292</v>
      </c>
      <c r="C33" s="26" t="s">
        <v>164</v>
      </c>
      <c r="D33" s="26">
        <v>240</v>
      </c>
      <c r="E33" s="26">
        <v>300</v>
      </c>
      <c r="F33" s="26">
        <v>92</v>
      </c>
      <c r="G33" s="26">
        <v>420</v>
      </c>
      <c r="H33" s="26">
        <f t="shared" si="3"/>
        <v>1052</v>
      </c>
      <c r="I33" s="33">
        <v>11</v>
      </c>
      <c r="J33" s="33">
        <v>5.1</v>
      </c>
      <c r="K33" s="33">
        <v>4.1</v>
      </c>
      <c r="L33" s="33">
        <v>15</v>
      </c>
      <c r="M33" s="33">
        <f t="shared" si="4"/>
        <v>35.2</v>
      </c>
      <c r="N33" s="37">
        <f>D33+(S2-1)*I33</f>
        <v>1329</v>
      </c>
      <c r="O33" s="37">
        <f>E33+(S2-1)*J33</f>
        <v>804.9</v>
      </c>
      <c r="P33" s="37">
        <f>F33+(S2-1)*K33</f>
        <v>497.9</v>
      </c>
      <c r="Q33" s="37">
        <f>G33+(S2-1)*L33</f>
        <v>1905</v>
      </c>
      <c r="R33" s="37">
        <f t="shared" si="5"/>
        <v>4536.8</v>
      </c>
    </row>
    <row r="34" customHeight="1" spans="1:18">
      <c r="A34" s="26">
        <v>33</v>
      </c>
      <c r="B34" s="26" t="s">
        <v>292</v>
      </c>
      <c r="C34" s="26" t="s">
        <v>31</v>
      </c>
      <c r="D34" s="26"/>
      <c r="E34" s="26"/>
      <c r="F34" s="26"/>
      <c r="G34" s="26"/>
      <c r="H34" s="26">
        <f t="shared" si="3"/>
        <v>0</v>
      </c>
      <c r="I34" s="33"/>
      <c r="J34" s="33"/>
      <c r="K34" s="33"/>
      <c r="L34" s="33"/>
      <c r="M34" s="33">
        <f t="shared" si="4"/>
        <v>0</v>
      </c>
      <c r="N34" s="37">
        <f>D34+(S2-1)*I34</f>
        <v>0</v>
      </c>
      <c r="O34" s="37">
        <f>E34+(S2-1)*J34</f>
        <v>0</v>
      </c>
      <c r="P34" s="37">
        <f>F34+(S2-1)*K34</f>
        <v>0</v>
      </c>
      <c r="Q34" s="37">
        <f>G34+(S2-1)*L34</f>
        <v>0</v>
      </c>
      <c r="R34" s="37">
        <f t="shared" si="5"/>
        <v>0</v>
      </c>
    </row>
    <row r="35" customHeight="1" spans="1:18">
      <c r="A35" s="26">
        <v>34</v>
      </c>
      <c r="B35" s="26" t="s">
        <v>292</v>
      </c>
      <c r="C35" s="26" t="s">
        <v>178</v>
      </c>
      <c r="D35" s="26"/>
      <c r="E35" s="26"/>
      <c r="F35" s="26"/>
      <c r="G35" s="26"/>
      <c r="H35" s="26">
        <f t="shared" si="3"/>
        <v>0</v>
      </c>
      <c r="I35" s="33"/>
      <c r="J35" s="33"/>
      <c r="K35" s="33"/>
      <c r="L35" s="33"/>
      <c r="M35" s="33">
        <f t="shared" si="4"/>
        <v>0</v>
      </c>
      <c r="N35" s="37">
        <f>D35+(S2-1)*I35</f>
        <v>0</v>
      </c>
      <c r="O35" s="37">
        <f>E35+(S2-1)*J35</f>
        <v>0</v>
      </c>
      <c r="P35" s="37">
        <f>F35+(S2-1)*K35</f>
        <v>0</v>
      </c>
      <c r="Q35" s="37">
        <f>G35+(S2-1)*L35</f>
        <v>0</v>
      </c>
      <c r="R35" s="37">
        <f t="shared" si="5"/>
        <v>0</v>
      </c>
    </row>
    <row r="36" customHeight="1" spans="1:18">
      <c r="A36" s="26">
        <v>35</v>
      </c>
      <c r="B36" s="26" t="s">
        <v>292</v>
      </c>
      <c r="C36" s="26" t="s">
        <v>644</v>
      </c>
      <c r="D36" s="26"/>
      <c r="E36" s="26"/>
      <c r="F36" s="26"/>
      <c r="G36" s="26"/>
      <c r="H36" s="26">
        <f t="shared" si="3"/>
        <v>0</v>
      </c>
      <c r="I36" s="33"/>
      <c r="J36" s="33"/>
      <c r="K36" s="33"/>
      <c r="L36" s="33"/>
      <c r="M36" s="33">
        <f t="shared" si="4"/>
        <v>0</v>
      </c>
      <c r="N36" s="37">
        <f>D36+(S2-1)*I36</f>
        <v>0</v>
      </c>
      <c r="O36" s="37">
        <f>E36+(S2-1)*J36</f>
        <v>0</v>
      </c>
      <c r="P36" s="37">
        <f>F36+(S2-1)*K36</f>
        <v>0</v>
      </c>
      <c r="Q36" s="37">
        <f>G36+(S2-1)*L36</f>
        <v>0</v>
      </c>
      <c r="R36" s="37">
        <f t="shared" si="5"/>
        <v>0</v>
      </c>
    </row>
    <row r="37" customHeight="1" spans="1:18">
      <c r="A37" s="26">
        <v>36</v>
      </c>
      <c r="B37" s="26" t="s">
        <v>292</v>
      </c>
      <c r="C37" s="26" t="s">
        <v>4</v>
      </c>
      <c r="D37" s="26"/>
      <c r="E37" s="26"/>
      <c r="F37" s="26"/>
      <c r="G37" s="26"/>
      <c r="H37" s="26">
        <f t="shared" ref="H37:H67" si="6">D37+E37+F37+G37</f>
        <v>0</v>
      </c>
      <c r="I37" s="33"/>
      <c r="J37" s="33"/>
      <c r="K37" s="33"/>
      <c r="L37" s="33"/>
      <c r="M37" s="33">
        <f t="shared" ref="M37:M67" si="7">I37+J37+K37+L37</f>
        <v>0</v>
      </c>
      <c r="N37" s="37">
        <f>D37+(S2-1)*I37</f>
        <v>0</v>
      </c>
      <c r="O37" s="37">
        <f>E37+(S2-1)*J37</f>
        <v>0</v>
      </c>
      <c r="P37" s="37">
        <f>F37+(S2-1)*K37</f>
        <v>0</v>
      </c>
      <c r="Q37" s="37">
        <f>G37+(S2-1)*L37</f>
        <v>0</v>
      </c>
      <c r="R37" s="37">
        <f t="shared" ref="R37:R67" si="8">N37+O37+P37+Q37</f>
        <v>0</v>
      </c>
    </row>
    <row r="38" customHeight="1" spans="1:18">
      <c r="A38" s="26">
        <v>37</v>
      </c>
      <c r="B38" s="26" t="s">
        <v>292</v>
      </c>
      <c r="C38" s="26" t="s">
        <v>184</v>
      </c>
      <c r="D38" s="26">
        <v>160</v>
      </c>
      <c r="E38" s="26">
        <v>96</v>
      </c>
      <c r="F38" s="26">
        <v>153</v>
      </c>
      <c r="G38" s="26">
        <v>480</v>
      </c>
      <c r="H38" s="26">
        <f t="shared" si="6"/>
        <v>889</v>
      </c>
      <c r="I38" s="33">
        <v>11</v>
      </c>
      <c r="J38" s="33">
        <v>4.5</v>
      </c>
      <c r="K38" s="33">
        <v>7.1</v>
      </c>
      <c r="L38" s="33">
        <v>12</v>
      </c>
      <c r="M38" s="33">
        <f t="shared" si="7"/>
        <v>34.6</v>
      </c>
      <c r="N38" s="37">
        <f>D38+(S2-1)*I38</f>
        <v>1249</v>
      </c>
      <c r="O38" s="37">
        <f>E38+(S2-1)*J38</f>
        <v>541.5</v>
      </c>
      <c r="P38" s="37">
        <f>F38+(S2-1)*K38</f>
        <v>855.9</v>
      </c>
      <c r="Q38" s="37">
        <f>G38+(S2-1)*L38</f>
        <v>1668</v>
      </c>
      <c r="R38" s="37">
        <f t="shared" si="8"/>
        <v>4314.4</v>
      </c>
    </row>
    <row r="39" customHeight="1" spans="1:18">
      <c r="A39" s="26">
        <v>38</v>
      </c>
      <c r="B39" s="26" t="s">
        <v>292</v>
      </c>
      <c r="C39" s="26" t="s">
        <v>166</v>
      </c>
      <c r="D39" s="26">
        <v>180</v>
      </c>
      <c r="E39" s="26">
        <v>242</v>
      </c>
      <c r="F39" s="26">
        <v>218</v>
      </c>
      <c r="G39" s="26">
        <v>360</v>
      </c>
      <c r="H39" s="26">
        <f t="shared" si="6"/>
        <v>1000</v>
      </c>
      <c r="I39" s="33">
        <v>10</v>
      </c>
      <c r="J39" s="33">
        <v>7.1</v>
      </c>
      <c r="K39" s="33">
        <v>5.9</v>
      </c>
      <c r="L39" s="33">
        <v>12</v>
      </c>
      <c r="M39" s="33">
        <f t="shared" si="7"/>
        <v>35</v>
      </c>
      <c r="N39" s="37">
        <f>D39+(S2-1)*I39</f>
        <v>1170</v>
      </c>
      <c r="O39" s="37">
        <f>E39+(S2-1)*J39</f>
        <v>944.9</v>
      </c>
      <c r="P39" s="37">
        <f>F39+(S2-1)*K39</f>
        <v>802.1</v>
      </c>
      <c r="Q39" s="37">
        <f>G39+(S2-1)*L39</f>
        <v>1548</v>
      </c>
      <c r="R39" s="37">
        <f t="shared" si="8"/>
        <v>4465</v>
      </c>
    </row>
    <row r="40" customHeight="1" spans="1:18">
      <c r="A40" s="26">
        <v>39</v>
      </c>
      <c r="B40" s="26" t="s">
        <v>292</v>
      </c>
      <c r="C40" s="26" t="s">
        <v>179</v>
      </c>
      <c r="D40" s="26"/>
      <c r="E40" s="26"/>
      <c r="F40" s="26"/>
      <c r="G40" s="26"/>
      <c r="H40" s="26">
        <f t="shared" si="6"/>
        <v>0</v>
      </c>
      <c r="I40" s="33"/>
      <c r="J40" s="33"/>
      <c r="K40" s="33"/>
      <c r="L40" s="33"/>
      <c r="M40" s="33">
        <f t="shared" si="7"/>
        <v>0</v>
      </c>
      <c r="N40" s="37">
        <f>D40+(S2-1)*I40</f>
        <v>0</v>
      </c>
      <c r="O40" s="37">
        <f>E40+(S2-1)*J40</f>
        <v>0</v>
      </c>
      <c r="P40" s="37">
        <f>F40+(S2-1)*K40</f>
        <v>0</v>
      </c>
      <c r="Q40" s="37">
        <f>G40+(S2-1)*L40</f>
        <v>0</v>
      </c>
      <c r="R40" s="37">
        <f t="shared" si="8"/>
        <v>0</v>
      </c>
    </row>
    <row r="41" customHeight="1" spans="1:18">
      <c r="A41" s="26">
        <v>40</v>
      </c>
      <c r="B41" s="26" t="s">
        <v>292</v>
      </c>
      <c r="C41" s="26" t="s">
        <v>168</v>
      </c>
      <c r="D41" s="26"/>
      <c r="E41" s="26"/>
      <c r="F41" s="26"/>
      <c r="G41" s="26"/>
      <c r="H41" s="26">
        <f t="shared" si="6"/>
        <v>0</v>
      </c>
      <c r="I41" s="33"/>
      <c r="J41" s="33"/>
      <c r="K41" s="33"/>
      <c r="L41" s="33"/>
      <c r="M41" s="33">
        <f t="shared" si="7"/>
        <v>0</v>
      </c>
      <c r="N41" s="37">
        <f>D41+(S2-1)*I41</f>
        <v>0</v>
      </c>
      <c r="O41" s="37">
        <f>E41+(S2-1)*J41</f>
        <v>0</v>
      </c>
      <c r="P41" s="37">
        <f>F41+(S2-1)*K41</f>
        <v>0</v>
      </c>
      <c r="Q41" s="37">
        <f>G41+(S2-1)*L41</f>
        <v>0</v>
      </c>
      <c r="R41" s="37">
        <f t="shared" si="8"/>
        <v>0</v>
      </c>
    </row>
    <row r="42" customHeight="1" spans="1:18">
      <c r="A42" s="26">
        <v>41</v>
      </c>
      <c r="B42" s="26" t="s">
        <v>292</v>
      </c>
      <c r="C42" s="26" t="s">
        <v>199</v>
      </c>
      <c r="D42" s="26">
        <v>288</v>
      </c>
      <c r="E42" s="26">
        <v>220</v>
      </c>
      <c r="F42" s="26">
        <v>100</v>
      </c>
      <c r="G42" s="26">
        <v>235</v>
      </c>
      <c r="H42" s="26">
        <f t="shared" si="6"/>
        <v>843</v>
      </c>
      <c r="I42" s="33">
        <v>14.9</v>
      </c>
      <c r="J42" s="33">
        <v>10</v>
      </c>
      <c r="K42" s="33">
        <v>4.6</v>
      </c>
      <c r="L42" s="33">
        <v>5</v>
      </c>
      <c r="M42" s="33">
        <f t="shared" si="7"/>
        <v>34.5</v>
      </c>
      <c r="N42" s="37">
        <f>D42+(S2-1)*I42</f>
        <v>1763.1</v>
      </c>
      <c r="O42" s="37">
        <f>E42+(S2-1)*J42</f>
        <v>1210</v>
      </c>
      <c r="P42" s="37">
        <f>F42+(S2-1)*K42</f>
        <v>555.4</v>
      </c>
      <c r="Q42" s="37">
        <f>G42+(S2-1)*L42</f>
        <v>730</v>
      </c>
      <c r="R42" s="37">
        <f t="shared" si="8"/>
        <v>4258.5</v>
      </c>
    </row>
    <row r="43" customHeight="1" spans="1:18">
      <c r="A43" s="26">
        <v>42</v>
      </c>
      <c r="B43" s="26" t="s">
        <v>292</v>
      </c>
      <c r="C43" s="26" t="s">
        <v>176</v>
      </c>
      <c r="D43" s="26"/>
      <c r="E43" s="26"/>
      <c r="F43" s="26"/>
      <c r="G43" s="26"/>
      <c r="H43" s="26">
        <f t="shared" si="6"/>
        <v>0</v>
      </c>
      <c r="I43" s="33"/>
      <c r="J43" s="33"/>
      <c r="K43" s="33"/>
      <c r="L43" s="33"/>
      <c r="M43" s="33">
        <f t="shared" si="7"/>
        <v>0</v>
      </c>
      <c r="N43" s="37">
        <f>D43+(S2-1)*I43</f>
        <v>0</v>
      </c>
      <c r="O43" s="37">
        <f>E43+(S2-1)*J43</f>
        <v>0</v>
      </c>
      <c r="P43" s="37">
        <f>F43+(S2-1)*K43</f>
        <v>0</v>
      </c>
      <c r="Q43" s="37">
        <f>G43+(S2-1)*L43</f>
        <v>0</v>
      </c>
      <c r="R43" s="37">
        <f t="shared" si="8"/>
        <v>0</v>
      </c>
    </row>
    <row r="44" customHeight="1" spans="1:18">
      <c r="A44" s="26">
        <v>43</v>
      </c>
      <c r="B44" s="26" t="s">
        <v>292</v>
      </c>
      <c r="C44" s="26" t="s">
        <v>646</v>
      </c>
      <c r="D44" s="26"/>
      <c r="E44" s="26"/>
      <c r="F44" s="26"/>
      <c r="G44" s="26"/>
      <c r="H44" s="26">
        <f t="shared" si="6"/>
        <v>0</v>
      </c>
      <c r="I44" s="33"/>
      <c r="J44" s="33"/>
      <c r="K44" s="33"/>
      <c r="L44" s="33"/>
      <c r="M44" s="33">
        <f t="shared" si="7"/>
        <v>0</v>
      </c>
      <c r="N44" s="37">
        <f>D44+(S2-1)*I44</f>
        <v>0</v>
      </c>
      <c r="O44" s="37">
        <f>E44+(S2-1)*J44</f>
        <v>0</v>
      </c>
      <c r="P44" s="37">
        <f>F44+(S2-1)*K44</f>
        <v>0</v>
      </c>
      <c r="Q44" s="37">
        <f>G44+(S2-1)*L44</f>
        <v>0</v>
      </c>
      <c r="R44" s="37">
        <f t="shared" si="8"/>
        <v>0</v>
      </c>
    </row>
    <row r="45" customHeight="1" spans="1:18">
      <c r="A45" s="26">
        <v>44</v>
      </c>
      <c r="B45" s="26" t="s">
        <v>292</v>
      </c>
      <c r="C45" s="26" t="s">
        <v>180</v>
      </c>
      <c r="D45" s="26"/>
      <c r="E45" s="26"/>
      <c r="F45" s="26"/>
      <c r="G45" s="26"/>
      <c r="H45" s="26">
        <f t="shared" si="6"/>
        <v>0</v>
      </c>
      <c r="I45" s="33"/>
      <c r="J45" s="33"/>
      <c r="K45" s="33"/>
      <c r="L45" s="33"/>
      <c r="M45" s="33">
        <f t="shared" si="7"/>
        <v>0</v>
      </c>
      <c r="N45" s="37">
        <f>D45+(S2-1)*I45</f>
        <v>0</v>
      </c>
      <c r="O45" s="37">
        <f>E45+(S2-1)*J45</f>
        <v>0</v>
      </c>
      <c r="P45" s="37">
        <f>F45+(S2-1)*K45</f>
        <v>0</v>
      </c>
      <c r="Q45" s="37">
        <f>G45+(S2-1)*L45</f>
        <v>0</v>
      </c>
      <c r="R45" s="37">
        <f t="shared" si="8"/>
        <v>0</v>
      </c>
    </row>
    <row r="46" customHeight="1" spans="1:18">
      <c r="A46" s="26">
        <v>45</v>
      </c>
      <c r="B46" s="26" t="s">
        <v>292</v>
      </c>
      <c r="C46" s="26" t="s">
        <v>167</v>
      </c>
      <c r="D46" s="26"/>
      <c r="E46" s="26"/>
      <c r="F46" s="26"/>
      <c r="G46" s="26"/>
      <c r="H46" s="26">
        <f t="shared" si="6"/>
        <v>0</v>
      </c>
      <c r="I46" s="33"/>
      <c r="J46" s="33"/>
      <c r="K46" s="33"/>
      <c r="L46" s="33"/>
      <c r="M46" s="33">
        <f t="shared" si="7"/>
        <v>0</v>
      </c>
      <c r="N46" s="37">
        <f>D46+(S2-1)*I46</f>
        <v>0</v>
      </c>
      <c r="O46" s="37">
        <f>E46+(S2-1)*J46</f>
        <v>0</v>
      </c>
      <c r="P46" s="37">
        <f>F46+(S2-1)*K46</f>
        <v>0</v>
      </c>
      <c r="Q46" s="37">
        <f>G46+(S2-1)*L46</f>
        <v>0</v>
      </c>
      <c r="R46" s="37">
        <f t="shared" si="8"/>
        <v>0</v>
      </c>
    </row>
    <row r="47" customHeight="1" spans="1:18">
      <c r="A47" s="26">
        <v>46</v>
      </c>
      <c r="B47" s="26" t="s">
        <v>292</v>
      </c>
      <c r="C47" s="26" t="s">
        <v>187</v>
      </c>
      <c r="D47" s="26"/>
      <c r="E47" s="26"/>
      <c r="F47" s="26"/>
      <c r="G47" s="26"/>
      <c r="H47" s="26">
        <f t="shared" si="6"/>
        <v>0</v>
      </c>
      <c r="I47" s="33"/>
      <c r="J47" s="33"/>
      <c r="K47" s="33"/>
      <c r="L47" s="33"/>
      <c r="M47" s="33">
        <f t="shared" si="7"/>
        <v>0</v>
      </c>
      <c r="N47" s="37">
        <f>D47+(S2-1)*I47</f>
        <v>0</v>
      </c>
      <c r="O47" s="37">
        <f>E47+(S2-1)*J47</f>
        <v>0</v>
      </c>
      <c r="P47" s="37">
        <f>F47+(S2-1)*K47</f>
        <v>0</v>
      </c>
      <c r="Q47" s="37">
        <f>G47+(S2-1)*L47</f>
        <v>0</v>
      </c>
      <c r="R47" s="37">
        <f t="shared" si="8"/>
        <v>0</v>
      </c>
    </row>
    <row r="48" customHeight="1" spans="1:18">
      <c r="A48" s="26">
        <v>47</v>
      </c>
      <c r="B48" s="26" t="s">
        <v>292</v>
      </c>
      <c r="C48" s="26" t="s">
        <v>261</v>
      </c>
      <c r="D48" s="26">
        <v>300</v>
      </c>
      <c r="E48" s="26">
        <v>240</v>
      </c>
      <c r="F48" s="26">
        <v>120</v>
      </c>
      <c r="G48" s="26">
        <v>180</v>
      </c>
      <c r="H48" s="26">
        <f t="shared" si="6"/>
        <v>840</v>
      </c>
      <c r="I48" s="33">
        <v>10.9</v>
      </c>
      <c r="J48" s="33">
        <v>9.1</v>
      </c>
      <c r="K48" s="33">
        <v>3</v>
      </c>
      <c r="L48" s="33">
        <v>9.6</v>
      </c>
      <c r="M48" s="33">
        <f t="shared" si="7"/>
        <v>32.6</v>
      </c>
      <c r="N48" s="37">
        <f>D48+(S2-1)*I48</f>
        <v>1379.1</v>
      </c>
      <c r="O48" s="37">
        <f>E48+(S2-1)*J48</f>
        <v>1140.9</v>
      </c>
      <c r="P48" s="37">
        <f>F48+(S2-1)*K48</f>
        <v>417</v>
      </c>
      <c r="Q48" s="37">
        <f>G48+(S2-1)*L48</f>
        <v>1130.4</v>
      </c>
      <c r="R48" s="37">
        <f t="shared" si="8"/>
        <v>4067.4</v>
      </c>
    </row>
    <row r="49" customHeight="1" spans="1:18">
      <c r="A49" s="26">
        <v>48</v>
      </c>
      <c r="B49" s="32" t="s">
        <v>292</v>
      </c>
      <c r="C49" s="32" t="s">
        <v>240</v>
      </c>
      <c r="D49" s="26"/>
      <c r="E49" s="26"/>
      <c r="F49" s="26"/>
      <c r="G49" s="26"/>
      <c r="H49" s="26">
        <f t="shared" si="6"/>
        <v>0</v>
      </c>
      <c r="I49" s="33"/>
      <c r="J49" s="33"/>
      <c r="K49" s="33"/>
      <c r="L49" s="33"/>
      <c r="M49" s="33">
        <f t="shared" si="7"/>
        <v>0</v>
      </c>
      <c r="N49" s="37">
        <f>D49+(S2-1)*I49</f>
        <v>0</v>
      </c>
      <c r="O49" s="37">
        <f>E49+(S2-1)*J49</f>
        <v>0</v>
      </c>
      <c r="P49" s="37">
        <f>F49+(S2-1)*K49</f>
        <v>0</v>
      </c>
      <c r="Q49" s="37">
        <f>G49+(S2-1)*L49</f>
        <v>0</v>
      </c>
      <c r="R49" s="37">
        <f t="shared" si="8"/>
        <v>0</v>
      </c>
    </row>
    <row r="50" customHeight="1" spans="1:18">
      <c r="A50" s="26">
        <v>49</v>
      </c>
      <c r="B50" s="32" t="s">
        <v>292</v>
      </c>
      <c r="C50" s="32" t="s">
        <v>201</v>
      </c>
      <c r="D50" s="26"/>
      <c r="E50" s="26"/>
      <c r="F50" s="26"/>
      <c r="G50" s="26"/>
      <c r="H50" s="26">
        <f t="shared" si="6"/>
        <v>0</v>
      </c>
      <c r="I50" s="33"/>
      <c r="J50" s="33"/>
      <c r="K50" s="33"/>
      <c r="L50" s="33"/>
      <c r="M50" s="33">
        <f t="shared" si="7"/>
        <v>0</v>
      </c>
      <c r="N50" s="37">
        <f>D50+(S2-1)*I50</f>
        <v>0</v>
      </c>
      <c r="O50" s="37">
        <f>E50+(S2-1)*J50</f>
        <v>0</v>
      </c>
      <c r="P50" s="37">
        <f>F50+(S2-1)*K50</f>
        <v>0</v>
      </c>
      <c r="Q50" s="37">
        <f>G50+(S2-1)*L50</f>
        <v>0</v>
      </c>
      <c r="R50" s="37">
        <f t="shared" si="8"/>
        <v>0</v>
      </c>
    </row>
    <row r="51" customHeight="1" spans="1:18">
      <c r="A51" s="26">
        <v>48</v>
      </c>
      <c r="B51" s="32" t="s">
        <v>292</v>
      </c>
      <c r="C51" s="32" t="s">
        <v>252</v>
      </c>
      <c r="D51" s="26"/>
      <c r="E51" s="26"/>
      <c r="F51" s="26"/>
      <c r="G51" s="26"/>
      <c r="H51" s="26">
        <f t="shared" si="6"/>
        <v>0</v>
      </c>
      <c r="I51" s="33"/>
      <c r="J51" s="33"/>
      <c r="K51" s="33"/>
      <c r="L51" s="33"/>
      <c r="M51" s="33">
        <f t="shared" si="7"/>
        <v>0</v>
      </c>
      <c r="N51" s="37">
        <f>D51+(S2-1)*I51</f>
        <v>0</v>
      </c>
      <c r="O51" s="37">
        <f>E51+(S2-1)*J51</f>
        <v>0</v>
      </c>
      <c r="P51" s="37">
        <f>F51+(S2-1)*K51</f>
        <v>0</v>
      </c>
      <c r="Q51" s="37">
        <f>G51+(S2-1)*L51</f>
        <v>0</v>
      </c>
      <c r="R51" s="37">
        <f t="shared" si="8"/>
        <v>0</v>
      </c>
    </row>
    <row r="52" ht="15.75" customHeight="1" spans="1:18">
      <c r="A52" s="26">
        <v>23</v>
      </c>
      <c r="B52" s="26" t="s">
        <v>292</v>
      </c>
      <c r="C52" s="26" t="s">
        <v>220</v>
      </c>
      <c r="D52" s="26"/>
      <c r="E52" s="26"/>
      <c r="F52" s="26"/>
      <c r="G52" s="26"/>
      <c r="H52" s="26">
        <f t="shared" si="6"/>
        <v>0</v>
      </c>
      <c r="I52" s="33"/>
      <c r="J52" s="33"/>
      <c r="K52" s="33"/>
      <c r="L52" s="33"/>
      <c r="M52" s="33">
        <f t="shared" si="7"/>
        <v>0</v>
      </c>
      <c r="N52" s="37">
        <f>D52+(S2-1)*I52</f>
        <v>0</v>
      </c>
      <c r="O52" s="37">
        <f>E52+(S2-1)*J52</f>
        <v>0</v>
      </c>
      <c r="P52" s="37">
        <f>F52+(S2-1)*K52</f>
        <v>0</v>
      </c>
      <c r="Q52" s="37">
        <f>G52+(S2-1)*L52</f>
        <v>0</v>
      </c>
      <c r="R52" s="37">
        <f t="shared" si="8"/>
        <v>0</v>
      </c>
    </row>
    <row r="53" ht="15.75" customHeight="1" spans="1:18">
      <c r="A53" s="26">
        <v>23</v>
      </c>
      <c r="B53" s="26" t="s">
        <v>292</v>
      </c>
      <c r="C53" s="32" t="s">
        <v>233</v>
      </c>
      <c r="D53" s="26"/>
      <c r="E53" s="26"/>
      <c r="F53" s="26"/>
      <c r="G53" s="26"/>
      <c r="H53" s="26">
        <f t="shared" si="6"/>
        <v>0</v>
      </c>
      <c r="I53" s="33"/>
      <c r="J53" s="33"/>
      <c r="K53" s="33"/>
      <c r="L53" s="33"/>
      <c r="M53" s="33">
        <f t="shared" si="7"/>
        <v>0</v>
      </c>
      <c r="N53" s="37">
        <f>D53+(S2-1)*I53</f>
        <v>0</v>
      </c>
      <c r="O53" s="37">
        <f>E53+(S2-1)*J53</f>
        <v>0</v>
      </c>
      <c r="P53" s="37">
        <f>F53+(S2-1)*K53</f>
        <v>0</v>
      </c>
      <c r="Q53" s="37">
        <f>G53+(S2-1)*L53</f>
        <v>0</v>
      </c>
      <c r="R53" s="37">
        <f t="shared" si="8"/>
        <v>0</v>
      </c>
    </row>
    <row r="54" ht="15.75" customHeight="1" spans="1:18">
      <c r="A54" s="26">
        <v>23</v>
      </c>
      <c r="B54" s="26" t="s">
        <v>292</v>
      </c>
      <c r="C54" s="32" t="s">
        <v>239</v>
      </c>
      <c r="D54" s="26"/>
      <c r="E54" s="26"/>
      <c r="F54" s="26"/>
      <c r="G54" s="26"/>
      <c r="H54" s="26">
        <f t="shared" si="6"/>
        <v>0</v>
      </c>
      <c r="I54" s="33"/>
      <c r="J54" s="33"/>
      <c r="K54" s="33"/>
      <c r="L54" s="33"/>
      <c r="M54" s="33">
        <f t="shared" si="7"/>
        <v>0</v>
      </c>
      <c r="N54" s="37">
        <f>D54+(S2-1)*I54</f>
        <v>0</v>
      </c>
      <c r="O54" s="37">
        <f>E54+(S2-1)*J54</f>
        <v>0</v>
      </c>
      <c r="P54" s="37">
        <f>F54+(S2-1)*K54</f>
        <v>0</v>
      </c>
      <c r="Q54" s="37">
        <f>G54+(S2-1)*L54</f>
        <v>0</v>
      </c>
      <c r="R54" s="37">
        <f t="shared" si="8"/>
        <v>0</v>
      </c>
    </row>
    <row r="55" ht="15.75" customHeight="1" spans="1:18">
      <c r="A55" s="26">
        <v>23</v>
      </c>
      <c r="B55" s="26" t="s">
        <v>292</v>
      </c>
      <c r="C55" s="32" t="s">
        <v>243</v>
      </c>
      <c r="D55" s="26"/>
      <c r="E55" s="26"/>
      <c r="F55" s="26"/>
      <c r="G55" s="26"/>
      <c r="H55" s="26">
        <f t="shared" si="6"/>
        <v>0</v>
      </c>
      <c r="I55" s="33"/>
      <c r="J55" s="33"/>
      <c r="K55" s="33"/>
      <c r="L55" s="33"/>
      <c r="M55" s="33">
        <f t="shared" si="7"/>
        <v>0</v>
      </c>
      <c r="N55" s="37">
        <f>D55+(S2-1)*I55</f>
        <v>0</v>
      </c>
      <c r="O55" s="37">
        <f>E55+(S2-1)*J55</f>
        <v>0</v>
      </c>
      <c r="P55" s="37">
        <f>F55+(S2-1)*K55</f>
        <v>0</v>
      </c>
      <c r="Q55" s="37">
        <f>G55+(S2-1)*L55</f>
        <v>0</v>
      </c>
      <c r="R55" s="37">
        <f t="shared" si="8"/>
        <v>0</v>
      </c>
    </row>
    <row r="56" customHeight="1" spans="1:18">
      <c r="A56" s="26">
        <v>55</v>
      </c>
      <c r="B56" s="32" t="s">
        <v>292</v>
      </c>
      <c r="C56" s="32" t="s">
        <v>262</v>
      </c>
      <c r="D56" s="26"/>
      <c r="E56" s="26"/>
      <c r="F56" s="26"/>
      <c r="G56" s="26"/>
      <c r="H56" s="26">
        <f t="shared" si="6"/>
        <v>0</v>
      </c>
      <c r="I56" s="33"/>
      <c r="J56" s="33"/>
      <c r="K56" s="33"/>
      <c r="L56" s="33"/>
      <c r="M56" s="33">
        <f t="shared" si="7"/>
        <v>0</v>
      </c>
      <c r="N56" s="37">
        <f>D56+(S2-1)*I56</f>
        <v>0</v>
      </c>
      <c r="O56" s="37">
        <f>E56+(S2-1)*J56</f>
        <v>0</v>
      </c>
      <c r="P56" s="37">
        <f>F56+(S2-1)*K56</f>
        <v>0</v>
      </c>
      <c r="Q56" s="37">
        <f>G56+(S2-1)*L56</f>
        <v>0</v>
      </c>
      <c r="R56" s="37">
        <f t="shared" si="8"/>
        <v>0</v>
      </c>
    </row>
    <row r="57" customHeight="1" spans="1:18">
      <c r="A57" s="26">
        <v>56</v>
      </c>
      <c r="B57" s="32" t="s">
        <v>292</v>
      </c>
      <c r="C57" s="32" t="s">
        <v>206</v>
      </c>
      <c r="D57" s="26"/>
      <c r="E57" s="26"/>
      <c r="F57" s="26"/>
      <c r="G57" s="26"/>
      <c r="H57" s="26">
        <f t="shared" si="6"/>
        <v>0</v>
      </c>
      <c r="I57" s="33"/>
      <c r="J57" s="33"/>
      <c r="K57" s="33"/>
      <c r="L57" s="33"/>
      <c r="M57" s="33">
        <f t="shared" si="7"/>
        <v>0</v>
      </c>
      <c r="N57" s="37">
        <f>D57+(S2-1)*I57</f>
        <v>0</v>
      </c>
      <c r="O57" s="37">
        <f>E57+(S2-1)*J57</f>
        <v>0</v>
      </c>
      <c r="P57" s="37">
        <f>F57+(S2-1)*K57</f>
        <v>0</v>
      </c>
      <c r="Q57" s="37">
        <f>G57+(S2-1)*L57</f>
        <v>0</v>
      </c>
      <c r="R57" s="37">
        <f t="shared" si="8"/>
        <v>0</v>
      </c>
    </row>
    <row r="58" customHeight="1" spans="1:18">
      <c r="A58" s="26">
        <v>57</v>
      </c>
      <c r="B58" s="32" t="s">
        <v>292</v>
      </c>
      <c r="C58" s="32" t="s">
        <v>171</v>
      </c>
      <c r="D58" s="26"/>
      <c r="E58" s="26"/>
      <c r="F58" s="26"/>
      <c r="G58" s="26"/>
      <c r="H58" s="26">
        <f t="shared" si="6"/>
        <v>0</v>
      </c>
      <c r="I58" s="33"/>
      <c r="J58" s="33"/>
      <c r="K58" s="33"/>
      <c r="L58" s="33"/>
      <c r="M58" s="33">
        <f t="shared" si="7"/>
        <v>0</v>
      </c>
      <c r="N58" s="37">
        <f>D58+(S2-1)*I58</f>
        <v>0</v>
      </c>
      <c r="O58" s="37">
        <f>E58+(S2-1)*J58</f>
        <v>0</v>
      </c>
      <c r="P58" s="37">
        <f>F58+(S2-1)*K58</f>
        <v>0</v>
      </c>
      <c r="Q58" s="37">
        <f>G58+(S2-1)*L58</f>
        <v>0</v>
      </c>
      <c r="R58" s="37">
        <f t="shared" si="8"/>
        <v>0</v>
      </c>
    </row>
    <row r="59" customHeight="1" spans="1:18">
      <c r="A59" s="26">
        <v>58</v>
      </c>
      <c r="B59" s="32" t="s">
        <v>292</v>
      </c>
      <c r="C59" s="32" t="s">
        <v>246</v>
      </c>
      <c r="D59" s="26"/>
      <c r="E59" s="26"/>
      <c r="F59" s="26"/>
      <c r="G59" s="26"/>
      <c r="H59" s="26">
        <f t="shared" si="6"/>
        <v>0</v>
      </c>
      <c r="I59" s="33"/>
      <c r="J59" s="33"/>
      <c r="K59" s="33"/>
      <c r="L59" s="33"/>
      <c r="M59" s="33">
        <f t="shared" si="7"/>
        <v>0</v>
      </c>
      <c r="N59" s="37">
        <f>D59+(S2-1)*I59</f>
        <v>0</v>
      </c>
      <c r="O59" s="37">
        <f>E59+(S2-1)*J59</f>
        <v>0</v>
      </c>
      <c r="P59" s="37">
        <f>F59+(S2-1)*K59</f>
        <v>0</v>
      </c>
      <c r="Q59" s="37">
        <f>G59+(S2-1)*L59</f>
        <v>0</v>
      </c>
      <c r="R59" s="37">
        <f t="shared" si="8"/>
        <v>0</v>
      </c>
    </row>
    <row r="60" customHeight="1" spans="1:18">
      <c r="A60" s="26">
        <v>59</v>
      </c>
      <c r="B60" s="32" t="s">
        <v>292</v>
      </c>
      <c r="C60" s="32" t="s">
        <v>224</v>
      </c>
      <c r="D60" s="26"/>
      <c r="E60" s="26"/>
      <c r="F60" s="26"/>
      <c r="G60" s="26"/>
      <c r="H60" s="26">
        <f t="shared" si="6"/>
        <v>0</v>
      </c>
      <c r="I60" s="33"/>
      <c r="J60" s="33"/>
      <c r="K60" s="33"/>
      <c r="L60" s="33"/>
      <c r="M60" s="33">
        <f t="shared" si="7"/>
        <v>0</v>
      </c>
      <c r="N60" s="37">
        <f>D60+(S2-1)*I60</f>
        <v>0</v>
      </c>
      <c r="O60" s="37">
        <f>E60+(S2-1)*J60</f>
        <v>0</v>
      </c>
      <c r="P60" s="37">
        <f>F60+(S2-1)*K60</f>
        <v>0</v>
      </c>
      <c r="Q60" s="37">
        <f>G60+(S2-1)*L60</f>
        <v>0</v>
      </c>
      <c r="R60" s="37">
        <f t="shared" si="8"/>
        <v>0</v>
      </c>
    </row>
    <row r="61" customHeight="1" spans="1:18">
      <c r="A61" s="26">
        <v>60</v>
      </c>
      <c r="B61" s="32" t="s">
        <v>292</v>
      </c>
      <c r="C61" s="32" t="s">
        <v>8</v>
      </c>
      <c r="D61" s="26"/>
      <c r="E61" s="26"/>
      <c r="F61" s="26"/>
      <c r="G61" s="26"/>
      <c r="H61" s="26">
        <f t="shared" si="6"/>
        <v>0</v>
      </c>
      <c r="I61" s="33"/>
      <c r="J61" s="33"/>
      <c r="K61" s="33"/>
      <c r="L61" s="33"/>
      <c r="M61" s="33">
        <f t="shared" si="7"/>
        <v>0</v>
      </c>
      <c r="N61" s="37">
        <f>D61+(S2-1)*I61</f>
        <v>0</v>
      </c>
      <c r="O61" s="37">
        <f>E61+(S2-1)*J61</f>
        <v>0</v>
      </c>
      <c r="P61" s="37">
        <f>F61+(S2-1)*K61</f>
        <v>0</v>
      </c>
      <c r="Q61" s="37">
        <f>G61+(S2-1)*L61</f>
        <v>0</v>
      </c>
      <c r="R61" s="37">
        <f t="shared" si="8"/>
        <v>0</v>
      </c>
    </row>
    <row r="62" customHeight="1" spans="1:18">
      <c r="A62" s="26"/>
      <c r="B62" s="32" t="s">
        <v>292</v>
      </c>
      <c r="C62" s="32" t="s">
        <v>649</v>
      </c>
      <c r="D62" s="26"/>
      <c r="E62" s="26"/>
      <c r="F62" s="26"/>
      <c r="G62" s="26"/>
      <c r="H62" s="26">
        <f t="shared" si="6"/>
        <v>0</v>
      </c>
      <c r="I62" s="33"/>
      <c r="J62" s="33"/>
      <c r="K62" s="33"/>
      <c r="L62" s="33"/>
      <c r="M62" s="33">
        <f t="shared" si="7"/>
        <v>0</v>
      </c>
      <c r="N62" s="37">
        <f>D62+(S2-1)*I62</f>
        <v>0</v>
      </c>
      <c r="O62" s="37">
        <f>E62+(S2-1)*J62</f>
        <v>0</v>
      </c>
      <c r="P62" s="37">
        <f>F62+(S2-1)*K62</f>
        <v>0</v>
      </c>
      <c r="Q62" s="37">
        <f>G62+(S2-1)*L62</f>
        <v>0</v>
      </c>
      <c r="R62" s="37">
        <f t="shared" si="8"/>
        <v>0</v>
      </c>
    </row>
    <row r="63" customHeight="1" spans="1:18">
      <c r="A63" s="26"/>
      <c r="B63" s="32" t="s">
        <v>292</v>
      </c>
      <c r="C63" s="32" t="s">
        <v>6</v>
      </c>
      <c r="D63" s="26"/>
      <c r="E63" s="26"/>
      <c r="F63" s="26"/>
      <c r="G63" s="26"/>
      <c r="H63" s="26">
        <f t="shared" si="6"/>
        <v>0</v>
      </c>
      <c r="I63" s="33"/>
      <c r="J63" s="33"/>
      <c r="K63" s="33"/>
      <c r="L63" s="33"/>
      <c r="M63" s="33">
        <f t="shared" si="7"/>
        <v>0</v>
      </c>
      <c r="N63" s="37">
        <f>D63+(S2-1)*I63</f>
        <v>0</v>
      </c>
      <c r="O63" s="37">
        <f>E63+(S2-1)*J63</f>
        <v>0</v>
      </c>
      <c r="P63" s="37">
        <f>F63+(S2-1)*K63</f>
        <v>0</v>
      </c>
      <c r="Q63" s="37">
        <f>G63+(S2-1)*L63</f>
        <v>0</v>
      </c>
      <c r="R63" s="37">
        <f t="shared" si="8"/>
        <v>0</v>
      </c>
    </row>
    <row r="64" customHeight="1" spans="1:18">
      <c r="A64" s="26"/>
      <c r="B64" s="32" t="s">
        <v>292</v>
      </c>
      <c r="C64" s="32" t="s">
        <v>651</v>
      </c>
      <c r="D64" s="26"/>
      <c r="E64" s="26"/>
      <c r="F64" s="26"/>
      <c r="G64" s="26"/>
      <c r="H64" s="26">
        <f t="shared" si="6"/>
        <v>0</v>
      </c>
      <c r="I64" s="33"/>
      <c r="J64" s="33"/>
      <c r="K64" s="33"/>
      <c r="L64" s="33"/>
      <c r="M64" s="33">
        <f t="shared" si="7"/>
        <v>0</v>
      </c>
      <c r="N64" s="37">
        <f>D64+(S2-1)*I64</f>
        <v>0</v>
      </c>
      <c r="O64" s="37">
        <f>E64+(S2-1)*J64</f>
        <v>0</v>
      </c>
      <c r="P64" s="37">
        <f>F64+(S2-1)*K64</f>
        <v>0</v>
      </c>
      <c r="Q64" s="37">
        <f>G64+(S2-1)*L64</f>
        <v>0</v>
      </c>
      <c r="R64" s="37">
        <f t="shared" si="8"/>
        <v>0</v>
      </c>
    </row>
    <row r="65" customHeight="1" spans="1:18">
      <c r="A65" s="26">
        <v>61</v>
      </c>
      <c r="B65" s="26" t="s">
        <v>292</v>
      </c>
      <c r="C65" s="26" t="s">
        <v>653</v>
      </c>
      <c r="D65" s="26"/>
      <c r="E65" s="26"/>
      <c r="F65" s="26"/>
      <c r="G65" s="26"/>
      <c r="H65" s="26">
        <f t="shared" si="6"/>
        <v>0</v>
      </c>
      <c r="I65" s="33"/>
      <c r="J65" s="33"/>
      <c r="K65" s="33"/>
      <c r="L65" s="33"/>
      <c r="M65" s="33">
        <f t="shared" si="7"/>
        <v>0</v>
      </c>
      <c r="N65" s="37">
        <f>D65+(S2-1)*I65</f>
        <v>0</v>
      </c>
      <c r="O65" s="37">
        <f>E65+(S2-1)*J65</f>
        <v>0</v>
      </c>
      <c r="P65" s="37">
        <f>F65+(S2-1)*K65</f>
        <v>0</v>
      </c>
      <c r="Q65" s="37">
        <f>G65+(S2-1)*L65</f>
        <v>0</v>
      </c>
      <c r="R65" s="37">
        <f t="shared" si="8"/>
        <v>0</v>
      </c>
    </row>
    <row r="66" customHeight="1" spans="1:18">
      <c r="A66" s="26"/>
      <c r="B66" s="26" t="s">
        <v>292</v>
      </c>
      <c r="C66" s="26" t="s">
        <v>655</v>
      </c>
      <c r="D66" s="26"/>
      <c r="E66" s="26"/>
      <c r="F66" s="26"/>
      <c r="G66" s="26"/>
      <c r="H66" s="26">
        <f t="shared" si="6"/>
        <v>0</v>
      </c>
      <c r="I66" s="33"/>
      <c r="J66" s="33"/>
      <c r="K66" s="33"/>
      <c r="L66" s="33"/>
      <c r="M66" s="33">
        <f t="shared" si="7"/>
        <v>0</v>
      </c>
      <c r="N66" s="37">
        <f>D66+(S2-1)*I66</f>
        <v>0</v>
      </c>
      <c r="O66" s="37">
        <f>E66+(S2-1)*J66</f>
        <v>0</v>
      </c>
      <c r="P66" s="37">
        <f>F66+(S2-1)*K66</f>
        <v>0</v>
      </c>
      <c r="Q66" s="37">
        <f>G66+(S2-1)*L66</f>
        <v>0</v>
      </c>
      <c r="R66" s="37">
        <f t="shared" si="8"/>
        <v>0</v>
      </c>
    </row>
    <row r="67" customHeight="1" spans="1:18">
      <c r="A67" s="26">
        <v>62</v>
      </c>
      <c r="B67" s="26"/>
      <c r="C67" s="26"/>
      <c r="D67" s="26"/>
      <c r="E67" s="26"/>
      <c r="F67" s="26"/>
      <c r="G67" s="26"/>
      <c r="H67" s="26">
        <f t="shared" si="6"/>
        <v>0</v>
      </c>
      <c r="I67" s="33"/>
      <c r="J67" s="33"/>
      <c r="K67" s="33"/>
      <c r="L67" s="33"/>
      <c r="M67" s="33">
        <f t="shared" si="7"/>
        <v>0</v>
      </c>
      <c r="N67" s="37">
        <f>D67+(S2-1)*I67</f>
        <v>0</v>
      </c>
      <c r="O67" s="37">
        <f>E67+(S2-1)*J67</f>
        <v>0</v>
      </c>
      <c r="P67" s="37">
        <f>F67+(S2-1)*K67</f>
        <v>0</v>
      </c>
      <c r="Q67" s="37">
        <f>G67+(S2-1)*L67</f>
        <v>0</v>
      </c>
      <c r="R67" s="37">
        <f t="shared" si="8"/>
        <v>0</v>
      </c>
    </row>
    <row r="68" customHeight="1" spans="2:16">
      <c r="B68" s="41" t="s">
        <v>684</v>
      </c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23"/>
    </row>
    <row r="69" customHeight="1" spans="9:13">
      <c r="I69" s="23"/>
      <c r="J69" s="23"/>
      <c r="K69" s="23"/>
      <c r="L69" s="23"/>
      <c r="M69" s="23"/>
    </row>
  </sheetData>
  <mergeCells count="5">
    <mergeCell ref="B1:C1"/>
    <mergeCell ref="D1:H1"/>
    <mergeCell ref="I1:M1"/>
    <mergeCell ref="N1:R1"/>
    <mergeCell ref="D68:O68"/>
  </mergeCells>
  <conditionalFormatting sqref="L3:L67 I3:I67 I70:I65450 L70:L65450">
    <cfRule type="cellIs" dxfId="55" priority="1" stopIfTrue="1" operator="greaterThan">
      <formula>10</formula>
    </cfRule>
  </conditionalFormatting>
  <conditionalFormatting sqref="K70:K65450 K3:K67">
    <cfRule type="cellIs" dxfId="56" priority="2" stopIfTrue="1" operator="greaterThanOrEqual">
      <formula>4</formula>
    </cfRule>
  </conditionalFormatting>
  <conditionalFormatting sqref="J70:J65450 J3:J67">
    <cfRule type="cellIs" dxfId="57" priority="3" stopIfTrue="1" operator="greaterThanOrEqual">
      <formula>6</formula>
    </cfRule>
  </conditionalFormatting>
  <conditionalFormatting sqref="M3:M67">
    <cfRule type="cellIs" dxfId="58" priority="4" stopIfTrue="1" operator="greaterThan">
      <formula>30</formula>
    </cfRule>
  </conditionalFormatting>
  <pageMargins left="0.699305555555556" right="0.699305555555556" top="0.75" bottom="0.75" header="0.3" footer="0.3"/>
  <headerFooter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8913" name="Spinner 10" r:id="rId4">
              <controlPr print="0" defaultSize="0">
                <anchor moveWithCells="1">
                  <from>
                    <xdr:col>19</xdr:col>
                    <xdr:colOff>9525</xdr:colOff>
                    <xdr:row>0</xdr:row>
                    <xdr:rowOff>0</xdr:rowOff>
                  </from>
                  <to>
                    <xdr:col>19</xdr:col>
                    <xdr:colOff>504825</xdr:colOff>
                    <xdr:row>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221"/>
  <sheetViews>
    <sheetView workbookViewId="0">
      <pane ySplit="1" topLeftCell="A60" activePane="bottomLeft" state="frozen"/>
      <selection/>
      <selection pane="bottomLeft" activeCell="B11" sqref="B11"/>
    </sheetView>
  </sheetViews>
  <sheetFormatPr defaultColWidth="8.875" defaultRowHeight="15" customHeight="1"/>
  <cols>
    <col min="1" max="1" width="9.625" style="4" customWidth="1"/>
    <col min="2" max="5" width="16.875" style="5" customWidth="1"/>
    <col min="6" max="9" width="16.875" style="6" customWidth="1"/>
    <col min="10" max="10" width="8.875" style="7" customWidth="1"/>
    <col min="11" max="11" width="8.875" style="7"/>
    <col min="12" max="12" width="10.25" style="7" customWidth="1"/>
    <col min="13" max="16384" width="8.875" style="7"/>
  </cols>
  <sheetData>
    <row r="1" customHeight="1" spans="1:13">
      <c r="A1" s="8" t="s">
        <v>685</v>
      </c>
      <c r="B1" s="9" t="s">
        <v>686</v>
      </c>
      <c r="C1" s="9" t="s">
        <v>687</v>
      </c>
      <c r="D1" s="9" t="s">
        <v>688</v>
      </c>
      <c r="E1" s="10" t="s">
        <v>689</v>
      </c>
      <c r="F1" s="9" t="s">
        <v>690</v>
      </c>
      <c r="G1" s="9" t="s">
        <v>691</v>
      </c>
      <c r="H1" s="9" t="s">
        <v>692</v>
      </c>
      <c r="I1" s="9" t="s">
        <v>693</v>
      </c>
      <c r="L1" s="12"/>
      <c r="M1" s="13"/>
    </row>
    <row r="2" customHeight="1" spans="1:13">
      <c r="A2" s="8">
        <v>1</v>
      </c>
      <c r="B2" s="8">
        <v>20</v>
      </c>
      <c r="C2" s="8">
        <v>40</v>
      </c>
      <c r="D2" s="8">
        <v>60</v>
      </c>
      <c r="E2" s="11">
        <v>80</v>
      </c>
      <c r="F2" s="8">
        <v>930</v>
      </c>
      <c r="G2" s="8">
        <v>1130</v>
      </c>
      <c r="H2" s="8">
        <v>1470</v>
      </c>
      <c r="I2" s="8">
        <v>3780</v>
      </c>
      <c r="L2" s="14" t="s">
        <v>694</v>
      </c>
      <c r="M2" s="15"/>
    </row>
    <row r="3" customHeight="1" spans="1:9">
      <c r="A3" s="8">
        <v>2</v>
      </c>
      <c r="B3" s="8">
        <v>20</v>
      </c>
      <c r="C3" s="8">
        <v>41</v>
      </c>
      <c r="D3" s="8">
        <v>61</v>
      </c>
      <c r="E3" s="11">
        <v>82</v>
      </c>
      <c r="F3" s="8">
        <v>990</v>
      </c>
      <c r="G3" s="8">
        <v>1210</v>
      </c>
      <c r="H3" s="8">
        <v>1550</v>
      </c>
      <c r="I3" s="8">
        <v>3900</v>
      </c>
    </row>
    <row r="4" customHeight="1" spans="1:13">
      <c r="A4" s="8">
        <v>3</v>
      </c>
      <c r="B4" s="8">
        <v>21</v>
      </c>
      <c r="C4" s="8">
        <v>42</v>
      </c>
      <c r="D4" s="8">
        <v>63</v>
      </c>
      <c r="E4" s="11">
        <v>84</v>
      </c>
      <c r="F4" s="8">
        <v>1057</v>
      </c>
      <c r="G4" s="8">
        <v>1297</v>
      </c>
      <c r="H4" s="8">
        <v>1636</v>
      </c>
      <c r="I4" s="8">
        <v>4033</v>
      </c>
      <c r="M4" s="16">
        <f>IF(血战计算器!A16=1,M5,M6)</f>
        <v>28546</v>
      </c>
    </row>
    <row r="5" customHeight="1" spans="1:13">
      <c r="A5" s="8">
        <v>4</v>
      </c>
      <c r="B5" s="8">
        <v>22</v>
      </c>
      <c r="C5" s="8">
        <v>43</v>
      </c>
      <c r="D5" s="8">
        <v>64</v>
      </c>
      <c r="E5" s="11">
        <v>86</v>
      </c>
      <c r="F5" s="8">
        <v>1083</v>
      </c>
      <c r="G5" s="8">
        <v>1329</v>
      </c>
      <c r="H5" s="8">
        <v>1676</v>
      </c>
      <c r="I5" s="8">
        <v>4133</v>
      </c>
      <c r="K5" s="17" t="s">
        <v>695</v>
      </c>
      <c r="L5" s="18" t="s">
        <v>696</v>
      </c>
      <c r="M5" s="19">
        <f>IF(血战计算器!A17=5,VLOOKUP(血战计算器!C7,A:E,2,FALSE),IF(血战计算器!A17=6,VLOOKUP(血战计算器!C7,A:E,3,FALSE),IF(血战计算器!A17=7,VLOOKUP(血战计算器!C7,A:E,4,FALSE),IF(血战计算器!A17=8,VLOOKUP(血战计算器!C7,A:E,5,0)))))</f>
        <v>28546</v>
      </c>
    </row>
    <row r="6" customHeight="1" spans="1:13">
      <c r="A6" s="8">
        <v>5</v>
      </c>
      <c r="B6" s="8">
        <v>23</v>
      </c>
      <c r="C6" s="8">
        <v>45</v>
      </c>
      <c r="D6" s="8">
        <v>67</v>
      </c>
      <c r="E6" s="11">
        <v>89</v>
      </c>
      <c r="F6" s="8">
        <v>1109</v>
      </c>
      <c r="G6" s="8">
        <v>1361</v>
      </c>
      <c r="H6" s="8">
        <v>1716</v>
      </c>
      <c r="I6" s="8">
        <v>4233</v>
      </c>
      <c r="K6" s="17" t="s">
        <v>697</v>
      </c>
      <c r="L6" s="20" t="s">
        <v>696</v>
      </c>
      <c r="M6" s="16">
        <f>IF(血战计算器!A17=5,VLOOKUP(血战计算器!C7,A:I,6,FALSE),IF(血战计算器!A17=6,VLOOKUP(血战计算器!C7,A:I,7,FALSE),IF(血战计算器!A17=7,VLOOKUP(血战计算器!C7,A:I,8,FALSE),IF(血战计算器!A17=8,VLOOKUP(血战计算器!C7,A:I,9,0)))))</f>
        <v>0</v>
      </c>
    </row>
    <row r="7" customHeight="1" spans="1:9">
      <c r="A7" s="8">
        <v>6</v>
      </c>
      <c r="B7" s="8">
        <v>24</v>
      </c>
      <c r="C7" s="8">
        <v>46</v>
      </c>
      <c r="D7" s="8">
        <v>69</v>
      </c>
      <c r="E7" s="11">
        <v>92</v>
      </c>
      <c r="F7" s="8">
        <v>1135</v>
      </c>
      <c r="G7" s="8">
        <v>1393</v>
      </c>
      <c r="H7" s="8">
        <f>H6+40</f>
        <v>1756</v>
      </c>
      <c r="I7" s="8">
        <v>4333</v>
      </c>
    </row>
    <row r="8" customHeight="1" spans="1:9">
      <c r="A8" s="8">
        <v>7</v>
      </c>
      <c r="B8" s="8">
        <v>25</v>
      </c>
      <c r="C8" s="8">
        <v>48</v>
      </c>
      <c r="D8" s="8">
        <v>72</v>
      </c>
      <c r="E8" s="11">
        <v>95</v>
      </c>
      <c r="F8" s="8">
        <v>1161</v>
      </c>
      <c r="G8" s="8">
        <v>1425</v>
      </c>
      <c r="H8" s="8">
        <f t="shared" ref="H8" si="0">H7+40</f>
        <v>1796</v>
      </c>
      <c r="I8" s="8">
        <v>4433</v>
      </c>
    </row>
    <row r="9" customHeight="1" spans="1:9">
      <c r="A9" s="8">
        <v>8</v>
      </c>
      <c r="B9" s="8">
        <v>26</v>
      </c>
      <c r="C9" s="8">
        <v>51</v>
      </c>
      <c r="D9" s="8">
        <v>75</v>
      </c>
      <c r="E9" s="11">
        <v>99</v>
      </c>
      <c r="F9" s="8">
        <v>1187</v>
      </c>
      <c r="G9" s="8">
        <v>1457</v>
      </c>
      <c r="H9" s="8">
        <f t="shared" ref="H9:H31" si="1">H8+40</f>
        <v>1836</v>
      </c>
      <c r="I9" s="8">
        <v>4533</v>
      </c>
    </row>
    <row r="10" customHeight="1" spans="1:9">
      <c r="A10" s="8">
        <v>9</v>
      </c>
      <c r="B10" s="8">
        <v>28</v>
      </c>
      <c r="C10" s="8">
        <v>53</v>
      </c>
      <c r="D10" s="8">
        <v>78</v>
      </c>
      <c r="E10" s="11">
        <v>104</v>
      </c>
      <c r="F10" s="8">
        <v>1213</v>
      </c>
      <c r="G10" s="8">
        <v>1489</v>
      </c>
      <c r="H10" s="8">
        <f t="shared" si="1"/>
        <v>1876</v>
      </c>
      <c r="I10" s="8">
        <v>4633</v>
      </c>
    </row>
    <row r="11" customHeight="1" spans="1:9">
      <c r="A11" s="8">
        <v>10</v>
      </c>
      <c r="B11" s="8">
        <v>29</v>
      </c>
      <c r="C11" s="8">
        <v>56</v>
      </c>
      <c r="D11" s="8">
        <v>82</v>
      </c>
      <c r="E11" s="11">
        <v>109</v>
      </c>
      <c r="F11" s="8">
        <v>1239</v>
      </c>
      <c r="G11" s="8">
        <v>1521</v>
      </c>
      <c r="H11" s="8">
        <f t="shared" si="1"/>
        <v>1916</v>
      </c>
      <c r="I11" s="8">
        <v>4733</v>
      </c>
    </row>
    <row r="12" customHeight="1" spans="1:9">
      <c r="A12" s="8">
        <v>11</v>
      </c>
      <c r="B12" s="8">
        <v>31</v>
      </c>
      <c r="C12" s="8">
        <v>59</v>
      </c>
      <c r="D12" s="8">
        <v>86</v>
      </c>
      <c r="E12" s="11">
        <v>118</v>
      </c>
      <c r="F12" s="8">
        <v>1265</v>
      </c>
      <c r="G12" s="8">
        <v>1553</v>
      </c>
      <c r="H12" s="8">
        <f t="shared" si="1"/>
        <v>1956</v>
      </c>
      <c r="I12" s="8">
        <v>4833</v>
      </c>
    </row>
    <row r="13" customHeight="1" spans="1:11">
      <c r="A13" s="8">
        <v>12</v>
      </c>
      <c r="B13" s="8">
        <v>33</v>
      </c>
      <c r="C13" s="8">
        <v>62</v>
      </c>
      <c r="D13" s="8">
        <v>91</v>
      </c>
      <c r="E13" s="11">
        <v>127</v>
      </c>
      <c r="F13" s="8">
        <v>1291</v>
      </c>
      <c r="G13" s="8">
        <v>1585</v>
      </c>
      <c r="H13" s="8">
        <f t="shared" si="1"/>
        <v>1996</v>
      </c>
      <c r="I13" s="8">
        <v>4933</v>
      </c>
      <c r="K13" s="12"/>
    </row>
    <row r="14" customHeight="1" spans="1:14">
      <c r="A14" s="8">
        <v>13</v>
      </c>
      <c r="B14" s="8">
        <v>35</v>
      </c>
      <c r="C14" s="8">
        <v>66</v>
      </c>
      <c r="D14" s="8">
        <v>96</v>
      </c>
      <c r="E14" s="11">
        <v>138</v>
      </c>
      <c r="F14" s="8">
        <v>1317</v>
      </c>
      <c r="G14" s="8">
        <v>1617</v>
      </c>
      <c r="H14" s="8">
        <f t="shared" si="1"/>
        <v>2036</v>
      </c>
      <c r="I14" s="8">
        <v>5033</v>
      </c>
      <c r="K14" s="21"/>
      <c r="L14" s="21"/>
      <c r="M14" s="21"/>
      <c r="N14" s="21"/>
    </row>
    <row r="15" customHeight="1" spans="1:14">
      <c r="A15" s="8">
        <v>14</v>
      </c>
      <c r="B15" s="8">
        <v>37</v>
      </c>
      <c r="C15" s="8">
        <v>69</v>
      </c>
      <c r="D15" s="8">
        <v>101</v>
      </c>
      <c r="E15" s="11">
        <v>149</v>
      </c>
      <c r="F15" s="8">
        <v>1343</v>
      </c>
      <c r="G15" s="8">
        <v>1649</v>
      </c>
      <c r="H15" s="8">
        <f t="shared" si="1"/>
        <v>2076</v>
      </c>
      <c r="I15" s="8">
        <v>5133</v>
      </c>
      <c r="K15" s="21"/>
      <c r="L15" s="21"/>
      <c r="M15" s="21"/>
      <c r="N15" s="21"/>
    </row>
    <row r="16" customHeight="1" spans="1:14">
      <c r="A16" s="8">
        <v>15</v>
      </c>
      <c r="B16" s="8">
        <v>40</v>
      </c>
      <c r="C16" s="8">
        <v>73</v>
      </c>
      <c r="D16" s="8">
        <v>107</v>
      </c>
      <c r="E16" s="11">
        <v>160</v>
      </c>
      <c r="F16" s="8">
        <v>1369</v>
      </c>
      <c r="G16" s="8">
        <v>1681</v>
      </c>
      <c r="H16" s="8">
        <f t="shared" si="1"/>
        <v>2116</v>
      </c>
      <c r="I16" s="8">
        <v>5233</v>
      </c>
      <c r="K16" s="21"/>
      <c r="L16" s="21"/>
      <c r="M16" s="21"/>
      <c r="N16" s="21"/>
    </row>
    <row r="17" customHeight="1" spans="1:14">
      <c r="A17" s="8">
        <v>16</v>
      </c>
      <c r="B17" s="8">
        <v>42</v>
      </c>
      <c r="C17" s="8">
        <v>78</v>
      </c>
      <c r="D17" s="8">
        <v>113</v>
      </c>
      <c r="E17" s="11">
        <v>173</v>
      </c>
      <c r="F17" s="8">
        <v>1395</v>
      </c>
      <c r="G17" s="8">
        <v>1713</v>
      </c>
      <c r="H17" s="8">
        <f t="shared" si="1"/>
        <v>2156</v>
      </c>
      <c r="I17" s="8">
        <v>5333</v>
      </c>
      <c r="K17" s="21"/>
      <c r="L17" s="21"/>
      <c r="M17" s="21"/>
      <c r="N17" s="21"/>
    </row>
    <row r="18" customHeight="1" spans="1:14">
      <c r="A18" s="8">
        <v>17</v>
      </c>
      <c r="B18" s="8">
        <v>45</v>
      </c>
      <c r="C18" s="8">
        <v>82</v>
      </c>
      <c r="D18" s="8">
        <v>119</v>
      </c>
      <c r="E18" s="11">
        <v>186</v>
      </c>
      <c r="F18" s="8">
        <v>1421</v>
      </c>
      <c r="G18" s="8">
        <v>1745</v>
      </c>
      <c r="H18" s="8">
        <f t="shared" si="1"/>
        <v>2196</v>
      </c>
      <c r="I18" s="8">
        <v>5433</v>
      </c>
      <c r="K18" s="21"/>
      <c r="L18" s="21"/>
      <c r="M18" s="21"/>
      <c r="N18" s="21"/>
    </row>
    <row r="19" customHeight="1" spans="1:14">
      <c r="A19" s="8">
        <v>18</v>
      </c>
      <c r="B19" s="8">
        <v>48</v>
      </c>
      <c r="C19" s="8">
        <v>87</v>
      </c>
      <c r="D19" s="8">
        <v>126</v>
      </c>
      <c r="E19" s="11">
        <v>199</v>
      </c>
      <c r="F19" s="8">
        <f>F18+26</f>
        <v>1447</v>
      </c>
      <c r="G19" s="8">
        <v>1777</v>
      </c>
      <c r="H19" s="8">
        <f t="shared" si="1"/>
        <v>2236</v>
      </c>
      <c r="I19" s="8">
        <v>5533</v>
      </c>
      <c r="K19" s="21"/>
      <c r="L19" s="21"/>
      <c r="M19" s="21"/>
      <c r="N19" s="21"/>
    </row>
    <row r="20" customHeight="1" spans="1:9">
      <c r="A20" s="8">
        <v>19</v>
      </c>
      <c r="B20" s="8">
        <v>51</v>
      </c>
      <c r="C20" s="8">
        <v>92</v>
      </c>
      <c r="D20" s="8">
        <v>133</v>
      </c>
      <c r="E20" s="11">
        <v>214</v>
      </c>
      <c r="F20" s="8">
        <f t="shared" ref="F20" si="2">F19+26</f>
        <v>1473</v>
      </c>
      <c r="G20" s="8">
        <v>1809</v>
      </c>
      <c r="H20" s="8">
        <f t="shared" si="1"/>
        <v>2276</v>
      </c>
      <c r="I20" s="8">
        <v>5633</v>
      </c>
    </row>
    <row r="21" customHeight="1" spans="1:9">
      <c r="A21" s="8">
        <v>20</v>
      </c>
      <c r="B21" s="8">
        <v>54</v>
      </c>
      <c r="C21" s="8">
        <v>97</v>
      </c>
      <c r="D21" s="8">
        <v>140</v>
      </c>
      <c r="E21" s="11">
        <v>229</v>
      </c>
      <c r="F21" s="8">
        <f t="shared" ref="F21:F31" si="3">F20+26</f>
        <v>1499</v>
      </c>
      <c r="G21" s="8">
        <v>1841</v>
      </c>
      <c r="H21" s="8">
        <f t="shared" si="1"/>
        <v>2316</v>
      </c>
      <c r="I21" s="8">
        <v>5733</v>
      </c>
    </row>
    <row r="22" customHeight="1" spans="1:9">
      <c r="A22" s="8">
        <v>21</v>
      </c>
      <c r="B22" s="8">
        <v>57</v>
      </c>
      <c r="C22" s="8">
        <v>103</v>
      </c>
      <c r="D22" s="8">
        <v>149</v>
      </c>
      <c r="E22" s="11">
        <v>245</v>
      </c>
      <c r="F22" s="8">
        <f t="shared" si="3"/>
        <v>1525</v>
      </c>
      <c r="G22" s="8">
        <v>1873</v>
      </c>
      <c r="H22" s="8">
        <f t="shared" si="1"/>
        <v>2356</v>
      </c>
      <c r="I22" s="8">
        <v>5833</v>
      </c>
    </row>
    <row r="23" customHeight="1" spans="1:9">
      <c r="A23" s="8">
        <v>22</v>
      </c>
      <c r="B23" s="8">
        <v>61</v>
      </c>
      <c r="C23" s="8">
        <v>108</v>
      </c>
      <c r="D23" s="8">
        <v>159</v>
      </c>
      <c r="E23" s="11">
        <v>263</v>
      </c>
      <c r="F23" s="8">
        <f t="shared" si="3"/>
        <v>1551</v>
      </c>
      <c r="G23" s="8">
        <v>1905</v>
      </c>
      <c r="H23" s="8">
        <f t="shared" si="1"/>
        <v>2396</v>
      </c>
      <c r="I23" s="8">
        <v>5933</v>
      </c>
    </row>
    <row r="24" customHeight="1" spans="1:9">
      <c r="A24" s="8">
        <v>23</v>
      </c>
      <c r="B24" s="8">
        <v>64</v>
      </c>
      <c r="C24" s="8">
        <v>114</v>
      </c>
      <c r="D24" s="8">
        <v>169</v>
      </c>
      <c r="E24" s="11">
        <v>281</v>
      </c>
      <c r="F24" s="8">
        <f t="shared" si="3"/>
        <v>1577</v>
      </c>
      <c r="G24" s="8">
        <f>G23+32</f>
        <v>1937</v>
      </c>
      <c r="H24" s="8">
        <f t="shared" si="1"/>
        <v>2436</v>
      </c>
      <c r="I24" s="8">
        <v>6033</v>
      </c>
    </row>
    <row r="25" customHeight="1" spans="1:9">
      <c r="A25" s="8">
        <v>24</v>
      </c>
      <c r="B25" s="8">
        <v>68</v>
      </c>
      <c r="C25" s="8">
        <v>121</v>
      </c>
      <c r="D25" s="8">
        <v>179</v>
      </c>
      <c r="E25" s="11">
        <v>300</v>
      </c>
      <c r="F25" s="8">
        <f t="shared" si="3"/>
        <v>1603</v>
      </c>
      <c r="G25" s="8">
        <f t="shared" ref="G25" si="4">G24+32</f>
        <v>1969</v>
      </c>
      <c r="H25" s="8">
        <f t="shared" si="1"/>
        <v>2476</v>
      </c>
      <c r="I25" s="8">
        <v>6133</v>
      </c>
    </row>
    <row r="26" customHeight="1" spans="1:9">
      <c r="A26" s="8">
        <v>25</v>
      </c>
      <c r="B26" s="8">
        <v>72</v>
      </c>
      <c r="C26" s="8">
        <v>127</v>
      </c>
      <c r="D26" s="8">
        <v>190</v>
      </c>
      <c r="E26" s="11">
        <v>322</v>
      </c>
      <c r="F26" s="8">
        <f t="shared" si="3"/>
        <v>1629</v>
      </c>
      <c r="G26" s="8">
        <f t="shared" ref="G26:G31" si="5">G25+32</f>
        <v>2001</v>
      </c>
      <c r="H26" s="8">
        <f t="shared" si="1"/>
        <v>2516</v>
      </c>
      <c r="I26" s="8">
        <v>6233</v>
      </c>
    </row>
    <row r="27" customHeight="1" spans="1:9">
      <c r="A27" s="8">
        <v>26</v>
      </c>
      <c r="B27" s="8">
        <v>76</v>
      </c>
      <c r="C27" s="8">
        <v>134</v>
      </c>
      <c r="D27" s="8">
        <v>201</v>
      </c>
      <c r="E27" s="11">
        <v>344</v>
      </c>
      <c r="F27" s="8">
        <f t="shared" si="3"/>
        <v>1655</v>
      </c>
      <c r="G27" s="8">
        <f t="shared" si="5"/>
        <v>2033</v>
      </c>
      <c r="H27" s="8">
        <f t="shared" si="1"/>
        <v>2556</v>
      </c>
      <c r="I27" s="8">
        <v>6333</v>
      </c>
    </row>
    <row r="28" customHeight="1" spans="1:9">
      <c r="A28" s="8">
        <v>27</v>
      </c>
      <c r="B28" s="8">
        <v>80</v>
      </c>
      <c r="C28" s="8">
        <v>141</v>
      </c>
      <c r="D28" s="8">
        <v>212</v>
      </c>
      <c r="E28" s="11">
        <v>366</v>
      </c>
      <c r="F28" s="8">
        <f t="shared" si="3"/>
        <v>1681</v>
      </c>
      <c r="G28" s="8">
        <f t="shared" si="5"/>
        <v>2065</v>
      </c>
      <c r="H28" s="8">
        <f t="shared" si="1"/>
        <v>2596</v>
      </c>
      <c r="I28" s="8">
        <v>6433</v>
      </c>
    </row>
    <row r="29" customHeight="1" spans="1:9">
      <c r="A29" s="8">
        <v>28</v>
      </c>
      <c r="B29" s="8">
        <v>85</v>
      </c>
      <c r="C29" s="8">
        <v>148</v>
      </c>
      <c r="D29" s="8">
        <v>224</v>
      </c>
      <c r="E29" s="11">
        <v>391</v>
      </c>
      <c r="F29" s="8">
        <f t="shared" si="3"/>
        <v>1707</v>
      </c>
      <c r="G29" s="8">
        <f t="shared" si="5"/>
        <v>2097</v>
      </c>
      <c r="H29" s="8">
        <f t="shared" si="1"/>
        <v>2636</v>
      </c>
      <c r="I29" s="8">
        <v>6533</v>
      </c>
    </row>
    <row r="30" customHeight="1" spans="1:9">
      <c r="A30" s="8">
        <v>29</v>
      </c>
      <c r="B30" s="8">
        <v>89</v>
      </c>
      <c r="C30" s="8">
        <v>156</v>
      </c>
      <c r="D30" s="8">
        <v>236</v>
      </c>
      <c r="E30" s="11">
        <v>416</v>
      </c>
      <c r="F30" s="8">
        <f t="shared" si="3"/>
        <v>1733</v>
      </c>
      <c r="G30" s="8">
        <f t="shared" si="5"/>
        <v>2129</v>
      </c>
      <c r="H30" s="8">
        <f t="shared" si="1"/>
        <v>2676</v>
      </c>
      <c r="I30" s="8">
        <v>6633</v>
      </c>
    </row>
    <row r="31" customHeight="1" spans="1:9">
      <c r="A31" s="8">
        <v>30</v>
      </c>
      <c r="B31" s="8">
        <v>94</v>
      </c>
      <c r="C31" s="8">
        <v>163</v>
      </c>
      <c r="D31" s="8">
        <v>248</v>
      </c>
      <c r="E31" s="11">
        <v>441</v>
      </c>
      <c r="F31" s="8">
        <f t="shared" si="3"/>
        <v>1759</v>
      </c>
      <c r="G31" s="8">
        <f t="shared" si="5"/>
        <v>2161</v>
      </c>
      <c r="H31" s="8">
        <f t="shared" si="1"/>
        <v>2716</v>
      </c>
      <c r="I31" s="8">
        <v>6733</v>
      </c>
    </row>
    <row r="32" customHeight="1" spans="1:9">
      <c r="A32" s="8">
        <v>31</v>
      </c>
      <c r="B32" s="8">
        <v>100</v>
      </c>
      <c r="C32" s="8">
        <v>177</v>
      </c>
      <c r="D32" s="8">
        <v>261</v>
      </c>
      <c r="E32" s="11">
        <v>469</v>
      </c>
      <c r="F32" s="8"/>
      <c r="G32" s="8">
        <v>2193</v>
      </c>
      <c r="H32" s="8">
        <v>2756</v>
      </c>
      <c r="I32" s="8">
        <v>6833</v>
      </c>
    </row>
    <row r="33" customHeight="1" spans="1:9">
      <c r="A33" s="8">
        <v>32</v>
      </c>
      <c r="B33" s="8">
        <v>106</v>
      </c>
      <c r="C33" s="8">
        <v>191</v>
      </c>
      <c r="D33" s="8">
        <v>274</v>
      </c>
      <c r="E33" s="11">
        <v>497</v>
      </c>
      <c r="F33" s="8"/>
      <c r="G33" s="8">
        <v>2229</v>
      </c>
      <c r="H33" s="8">
        <v>2809</v>
      </c>
      <c r="I33" s="8">
        <v>6933</v>
      </c>
    </row>
    <row r="34" customHeight="1" spans="1:9">
      <c r="A34" s="8">
        <v>33</v>
      </c>
      <c r="B34" s="8">
        <v>112</v>
      </c>
      <c r="C34" s="8">
        <v>205</v>
      </c>
      <c r="D34" s="8">
        <v>287</v>
      </c>
      <c r="E34" s="11">
        <v>526</v>
      </c>
      <c r="F34" s="8"/>
      <c r="G34" s="8">
        <v>2408</v>
      </c>
      <c r="H34" s="8">
        <f>H33+223</f>
        <v>3032</v>
      </c>
      <c r="I34" s="8">
        <v>7516</v>
      </c>
    </row>
    <row r="35" customHeight="1" spans="1:9">
      <c r="A35" s="8">
        <v>34</v>
      </c>
      <c r="B35" s="8">
        <v>119</v>
      </c>
      <c r="C35" s="8">
        <v>220</v>
      </c>
      <c r="D35" s="8">
        <v>301</v>
      </c>
      <c r="E35" s="11">
        <v>558</v>
      </c>
      <c r="F35" s="8"/>
      <c r="G35" s="8">
        <v>2587</v>
      </c>
      <c r="H35" s="8">
        <v>3255</v>
      </c>
      <c r="I35" s="8">
        <v>8099</v>
      </c>
    </row>
    <row r="36" customHeight="1" spans="1:9">
      <c r="A36" s="8">
        <v>35</v>
      </c>
      <c r="B36" s="8">
        <v>126</v>
      </c>
      <c r="C36" s="8">
        <v>235</v>
      </c>
      <c r="D36" s="8">
        <v>315</v>
      </c>
      <c r="E36" s="11">
        <v>590</v>
      </c>
      <c r="F36" s="8"/>
      <c r="G36" s="8">
        <v>2766</v>
      </c>
      <c r="H36" s="8">
        <v>3478</v>
      </c>
      <c r="I36" s="8">
        <v>8682</v>
      </c>
    </row>
    <row r="37" customHeight="1" spans="1:9">
      <c r="A37" s="8">
        <v>36</v>
      </c>
      <c r="B37" s="8">
        <v>133</v>
      </c>
      <c r="C37" s="8">
        <v>250</v>
      </c>
      <c r="D37" s="8">
        <v>329</v>
      </c>
      <c r="E37" s="11">
        <v>623</v>
      </c>
      <c r="F37" s="8"/>
      <c r="G37" s="8">
        <v>2945</v>
      </c>
      <c r="H37" s="8">
        <f>H36+223</f>
        <v>3701</v>
      </c>
      <c r="I37" s="8">
        <v>9265</v>
      </c>
    </row>
    <row r="38" customHeight="1" spans="1:9">
      <c r="A38" s="8">
        <v>37</v>
      </c>
      <c r="B38" s="8">
        <v>141</v>
      </c>
      <c r="C38" s="8">
        <v>266</v>
      </c>
      <c r="D38" s="8">
        <v>344</v>
      </c>
      <c r="E38" s="11">
        <v>660</v>
      </c>
      <c r="F38" s="8"/>
      <c r="G38" s="8">
        <v>3124</v>
      </c>
      <c r="H38" s="8">
        <f t="shared" ref="H38" si="6">H37+223</f>
        <v>3924</v>
      </c>
      <c r="I38" s="8">
        <v>9848</v>
      </c>
    </row>
    <row r="39" customHeight="1" spans="1:9">
      <c r="A39" s="8">
        <v>38</v>
      </c>
      <c r="B39" s="8">
        <v>149</v>
      </c>
      <c r="C39" s="8">
        <v>282</v>
      </c>
      <c r="D39" s="8">
        <v>359</v>
      </c>
      <c r="E39" s="11">
        <v>697</v>
      </c>
      <c r="F39" s="8"/>
      <c r="G39" s="8">
        <v>3303</v>
      </c>
      <c r="H39" s="8">
        <f t="shared" ref="H39:H51" si="7">H38+223</f>
        <v>4147</v>
      </c>
      <c r="I39" s="8">
        <v>10431</v>
      </c>
    </row>
    <row r="40" customHeight="1" spans="1:9">
      <c r="A40" s="8">
        <v>39</v>
      </c>
      <c r="B40" s="8">
        <v>157</v>
      </c>
      <c r="C40" s="8">
        <v>298</v>
      </c>
      <c r="D40" s="8">
        <v>374</v>
      </c>
      <c r="E40" s="11">
        <v>734</v>
      </c>
      <c r="F40" s="8"/>
      <c r="G40" s="8">
        <v>3482</v>
      </c>
      <c r="H40" s="8">
        <f t="shared" si="7"/>
        <v>4370</v>
      </c>
      <c r="I40" s="8">
        <v>11014</v>
      </c>
    </row>
    <row r="41" customHeight="1" spans="1:9">
      <c r="A41" s="8">
        <v>40</v>
      </c>
      <c r="B41" s="8">
        <v>166</v>
      </c>
      <c r="C41" s="8">
        <v>315</v>
      </c>
      <c r="D41" s="8">
        <v>390</v>
      </c>
      <c r="E41" s="11">
        <v>775</v>
      </c>
      <c r="F41" s="8"/>
      <c r="G41" s="8">
        <v>3661</v>
      </c>
      <c r="H41" s="8">
        <f t="shared" si="7"/>
        <v>4593</v>
      </c>
      <c r="I41" s="8">
        <v>11597</v>
      </c>
    </row>
    <row r="42" customHeight="1" spans="1:9">
      <c r="A42" s="8">
        <v>41</v>
      </c>
      <c r="B42" s="8">
        <v>175</v>
      </c>
      <c r="C42" s="8">
        <v>332</v>
      </c>
      <c r="D42" s="8">
        <v>406</v>
      </c>
      <c r="E42" s="11">
        <v>816</v>
      </c>
      <c r="F42" s="8"/>
      <c r="G42" s="8">
        <v>3840</v>
      </c>
      <c r="H42" s="8">
        <f t="shared" si="7"/>
        <v>4816</v>
      </c>
      <c r="I42" s="8">
        <v>12180</v>
      </c>
    </row>
    <row r="43" customHeight="1" spans="1:9">
      <c r="A43" s="8">
        <v>42</v>
      </c>
      <c r="B43" s="8">
        <v>184</v>
      </c>
      <c r="C43" s="8">
        <v>349</v>
      </c>
      <c r="D43" s="8">
        <v>422</v>
      </c>
      <c r="E43" s="11">
        <v>857</v>
      </c>
      <c r="F43" s="8"/>
      <c r="G43" s="8">
        <v>4019</v>
      </c>
      <c r="H43" s="8">
        <f t="shared" si="7"/>
        <v>5039</v>
      </c>
      <c r="I43" s="8">
        <v>12763</v>
      </c>
    </row>
    <row r="44" customHeight="1" spans="1:9">
      <c r="A44" s="8">
        <v>43</v>
      </c>
      <c r="B44" s="8">
        <v>194</v>
      </c>
      <c r="C44" s="8">
        <v>367</v>
      </c>
      <c r="D44" s="8">
        <v>439</v>
      </c>
      <c r="E44" s="11">
        <v>902</v>
      </c>
      <c r="F44" s="8"/>
      <c r="G44" s="8"/>
      <c r="H44" s="8">
        <f t="shared" si="7"/>
        <v>5262</v>
      </c>
      <c r="I44" s="8">
        <v>13346</v>
      </c>
    </row>
    <row r="45" customHeight="1" spans="1:9">
      <c r="A45" s="8">
        <v>44</v>
      </c>
      <c r="B45" s="8">
        <v>204</v>
      </c>
      <c r="C45" s="8">
        <v>385</v>
      </c>
      <c r="D45" s="8">
        <v>456</v>
      </c>
      <c r="E45" s="11">
        <v>947</v>
      </c>
      <c r="F45" s="8"/>
      <c r="G45" s="8"/>
      <c r="H45" s="8">
        <f t="shared" si="7"/>
        <v>5485</v>
      </c>
      <c r="I45" s="8">
        <v>13929</v>
      </c>
    </row>
    <row r="46" customHeight="1" spans="1:9">
      <c r="A46" s="8">
        <v>45</v>
      </c>
      <c r="B46" s="8">
        <v>214</v>
      </c>
      <c r="C46" s="8">
        <v>403</v>
      </c>
      <c r="D46" s="8">
        <v>474</v>
      </c>
      <c r="E46" s="11">
        <v>992</v>
      </c>
      <c r="F46" s="8"/>
      <c r="G46" s="8"/>
      <c r="H46" s="8">
        <f t="shared" si="7"/>
        <v>5708</v>
      </c>
      <c r="I46" s="8">
        <v>14512</v>
      </c>
    </row>
    <row r="47" customHeight="1" spans="1:9">
      <c r="A47" s="8">
        <v>46</v>
      </c>
      <c r="B47" s="8">
        <v>225</v>
      </c>
      <c r="C47" s="8">
        <v>422</v>
      </c>
      <c r="D47" s="8">
        <v>493</v>
      </c>
      <c r="E47" s="11">
        <v>1041</v>
      </c>
      <c r="F47" s="8"/>
      <c r="G47" s="8"/>
      <c r="H47" s="8">
        <f t="shared" si="7"/>
        <v>5931</v>
      </c>
      <c r="I47" s="8">
        <v>15095</v>
      </c>
    </row>
    <row r="48" customHeight="1" spans="1:9">
      <c r="A48" s="8">
        <v>47</v>
      </c>
      <c r="B48" s="8">
        <v>236</v>
      </c>
      <c r="C48" s="8">
        <v>441</v>
      </c>
      <c r="D48" s="8">
        <v>512</v>
      </c>
      <c r="E48" s="11">
        <v>1090</v>
      </c>
      <c r="F48" s="8"/>
      <c r="G48" s="8"/>
      <c r="H48" s="8">
        <f t="shared" si="7"/>
        <v>6154</v>
      </c>
      <c r="I48" s="8">
        <v>15678</v>
      </c>
    </row>
    <row r="49" customHeight="1" spans="1:9">
      <c r="A49" s="8">
        <v>48</v>
      </c>
      <c r="B49" s="8">
        <v>247</v>
      </c>
      <c r="C49" s="8">
        <v>460</v>
      </c>
      <c r="D49" s="8">
        <v>532</v>
      </c>
      <c r="E49" s="11">
        <v>1139</v>
      </c>
      <c r="F49" s="8"/>
      <c r="G49" s="8"/>
      <c r="H49" s="8">
        <f t="shared" si="7"/>
        <v>6377</v>
      </c>
      <c r="I49" s="8">
        <v>16261</v>
      </c>
    </row>
    <row r="50" customHeight="1" spans="1:9">
      <c r="A50" s="8">
        <v>49</v>
      </c>
      <c r="B50" s="8">
        <v>259</v>
      </c>
      <c r="C50" s="8">
        <v>480</v>
      </c>
      <c r="D50" s="8">
        <v>553</v>
      </c>
      <c r="E50" s="11">
        <v>1192</v>
      </c>
      <c r="F50" s="8"/>
      <c r="G50" s="8"/>
      <c r="H50" s="8">
        <f t="shared" si="7"/>
        <v>6600</v>
      </c>
      <c r="I50" s="8">
        <v>16844</v>
      </c>
    </row>
    <row r="51" customHeight="1" spans="1:9">
      <c r="A51" s="8">
        <v>50</v>
      </c>
      <c r="B51" s="8">
        <v>271</v>
      </c>
      <c r="C51" s="8">
        <v>500</v>
      </c>
      <c r="D51" s="8">
        <v>574</v>
      </c>
      <c r="E51" s="11">
        <v>1245</v>
      </c>
      <c r="F51" s="8"/>
      <c r="G51" s="8"/>
      <c r="H51" s="8">
        <f t="shared" si="7"/>
        <v>6823</v>
      </c>
      <c r="I51" s="8">
        <v>17427</v>
      </c>
    </row>
    <row r="52" customHeight="1" spans="1:9">
      <c r="A52" s="8">
        <v>51</v>
      </c>
      <c r="B52" s="8">
        <v>283</v>
      </c>
      <c r="C52" s="8">
        <v>520</v>
      </c>
      <c r="D52" s="8">
        <v>596</v>
      </c>
      <c r="E52" s="11">
        <v>1299</v>
      </c>
      <c r="F52" s="8"/>
      <c r="G52" s="8"/>
      <c r="H52" s="8">
        <v>7046</v>
      </c>
      <c r="I52" s="8">
        <v>18010</v>
      </c>
    </row>
    <row r="53" customHeight="1" spans="1:9">
      <c r="A53" s="8">
        <v>52</v>
      </c>
      <c r="B53" s="8">
        <v>296</v>
      </c>
      <c r="C53" s="8">
        <v>541</v>
      </c>
      <c r="D53" s="8">
        <v>619</v>
      </c>
      <c r="E53" s="11">
        <v>1358</v>
      </c>
      <c r="F53" s="8"/>
      <c r="G53" s="8"/>
      <c r="H53" s="8">
        <v>7262</v>
      </c>
      <c r="I53" s="8">
        <v>18587</v>
      </c>
    </row>
    <row r="54" customHeight="1" spans="1:9">
      <c r="A54" s="8">
        <v>53</v>
      </c>
      <c r="B54" s="8">
        <v>309</v>
      </c>
      <c r="C54" s="8">
        <v>562</v>
      </c>
      <c r="D54" s="8">
        <v>642</v>
      </c>
      <c r="E54" s="11">
        <v>1417</v>
      </c>
      <c r="F54" s="8"/>
      <c r="G54" s="8"/>
      <c r="H54" s="8">
        <v>7496</v>
      </c>
      <c r="I54" s="8">
        <v>19186</v>
      </c>
    </row>
    <row r="55" customHeight="1" spans="1:9">
      <c r="A55" s="8">
        <v>54</v>
      </c>
      <c r="B55" s="8">
        <v>322</v>
      </c>
      <c r="C55" s="8">
        <v>583</v>
      </c>
      <c r="D55" s="8">
        <v>666</v>
      </c>
      <c r="E55" s="11">
        <v>1477</v>
      </c>
      <c r="F55" s="8"/>
      <c r="G55" s="8"/>
      <c r="H55" s="8">
        <v>7730</v>
      </c>
      <c r="I55" s="8">
        <v>19785</v>
      </c>
    </row>
    <row r="56" customHeight="1" spans="1:9">
      <c r="A56" s="8">
        <v>55</v>
      </c>
      <c r="B56" s="8">
        <v>336</v>
      </c>
      <c r="C56" s="8">
        <v>605</v>
      </c>
      <c r="D56" s="8">
        <v>691</v>
      </c>
      <c r="E56" s="11">
        <v>1543</v>
      </c>
      <c r="F56" s="8"/>
      <c r="G56" s="8"/>
      <c r="H56" s="8">
        <v>7964</v>
      </c>
      <c r="I56" s="8">
        <v>20384</v>
      </c>
    </row>
    <row r="57" customHeight="1" spans="1:9">
      <c r="A57" s="8">
        <v>56</v>
      </c>
      <c r="B57" s="8">
        <v>350</v>
      </c>
      <c r="C57" s="8">
        <v>627</v>
      </c>
      <c r="D57" s="8">
        <v>716</v>
      </c>
      <c r="E57" s="11">
        <v>1609</v>
      </c>
      <c r="F57" s="8"/>
      <c r="G57" s="8"/>
      <c r="H57" s="8">
        <f>H56+234</f>
        <v>8198</v>
      </c>
      <c r="I57" s="8">
        <v>20983</v>
      </c>
    </row>
    <row r="58" customHeight="1" spans="1:9">
      <c r="A58" s="8">
        <v>57</v>
      </c>
      <c r="B58" s="8">
        <v>364</v>
      </c>
      <c r="C58" s="8">
        <v>649</v>
      </c>
      <c r="D58" s="8">
        <v>742</v>
      </c>
      <c r="E58" s="11">
        <v>1675</v>
      </c>
      <c r="F58" s="8"/>
      <c r="G58" s="8"/>
      <c r="H58" s="8">
        <f t="shared" ref="H58" si="8">H57+234</f>
        <v>8432</v>
      </c>
      <c r="I58" s="8">
        <v>21582</v>
      </c>
    </row>
    <row r="59" customHeight="1" spans="1:9">
      <c r="A59" s="8">
        <v>58</v>
      </c>
      <c r="B59" s="8">
        <v>379</v>
      </c>
      <c r="C59" s="8">
        <v>673</v>
      </c>
      <c r="D59" s="8">
        <v>769</v>
      </c>
      <c r="E59" s="11">
        <v>1747</v>
      </c>
      <c r="F59" s="8"/>
      <c r="G59" s="8"/>
      <c r="H59" s="8">
        <f t="shared" ref="H59:H80" si="9">H58+234</f>
        <v>8666</v>
      </c>
      <c r="I59" s="8">
        <v>22181</v>
      </c>
    </row>
    <row r="60" customHeight="1" spans="1:9">
      <c r="A60" s="8">
        <v>59</v>
      </c>
      <c r="B60" s="8">
        <v>394</v>
      </c>
      <c r="C60" s="8">
        <v>697</v>
      </c>
      <c r="D60" s="8">
        <v>796</v>
      </c>
      <c r="E60" s="11">
        <v>1819</v>
      </c>
      <c r="F60" s="8"/>
      <c r="G60" s="8"/>
      <c r="H60" s="8">
        <f t="shared" si="9"/>
        <v>8900</v>
      </c>
      <c r="I60" s="8">
        <v>22780</v>
      </c>
    </row>
    <row r="61" customHeight="1" spans="1:9">
      <c r="A61" s="8">
        <v>60</v>
      </c>
      <c r="B61" s="8">
        <v>409</v>
      </c>
      <c r="C61" s="8">
        <v>721</v>
      </c>
      <c r="D61" s="8">
        <v>824</v>
      </c>
      <c r="E61" s="11">
        <v>1892</v>
      </c>
      <c r="F61" s="8"/>
      <c r="G61" s="8"/>
      <c r="H61" s="8">
        <f t="shared" si="9"/>
        <v>9134</v>
      </c>
      <c r="I61" s="8">
        <v>23379</v>
      </c>
    </row>
    <row r="62" customHeight="1" spans="1:9">
      <c r="A62" s="8">
        <v>61</v>
      </c>
      <c r="B62" s="8">
        <v>425</v>
      </c>
      <c r="C62" s="8">
        <v>747</v>
      </c>
      <c r="D62" s="8">
        <v>854</v>
      </c>
      <c r="E62" s="11">
        <v>1972</v>
      </c>
      <c r="F62" s="8"/>
      <c r="G62" s="8"/>
      <c r="H62" s="8">
        <f t="shared" si="9"/>
        <v>9368</v>
      </c>
      <c r="I62" s="8">
        <v>23978</v>
      </c>
    </row>
    <row r="63" customHeight="1" spans="1:9">
      <c r="A63" s="8">
        <v>62</v>
      </c>
      <c r="B63" s="8">
        <v>441</v>
      </c>
      <c r="C63" s="8">
        <v>773</v>
      </c>
      <c r="D63" s="8">
        <v>884</v>
      </c>
      <c r="E63" s="11">
        <v>2060</v>
      </c>
      <c r="F63" s="8"/>
      <c r="G63" s="8"/>
      <c r="H63" s="8">
        <f t="shared" si="9"/>
        <v>9602</v>
      </c>
      <c r="I63" s="8">
        <v>24577</v>
      </c>
    </row>
    <row r="64" customHeight="1" spans="1:9">
      <c r="A64" s="8">
        <v>63</v>
      </c>
      <c r="B64" s="8">
        <v>457</v>
      </c>
      <c r="C64" s="8">
        <v>799</v>
      </c>
      <c r="D64" s="8">
        <v>914</v>
      </c>
      <c r="E64" s="11">
        <v>2133</v>
      </c>
      <c r="F64" s="8"/>
      <c r="G64" s="8"/>
      <c r="H64" s="8">
        <f t="shared" si="9"/>
        <v>9836</v>
      </c>
      <c r="I64" s="8">
        <v>25176</v>
      </c>
    </row>
    <row r="65" customHeight="1" spans="1:9">
      <c r="A65" s="8">
        <v>64</v>
      </c>
      <c r="B65" s="8">
        <v>474</v>
      </c>
      <c r="C65" s="8">
        <v>827</v>
      </c>
      <c r="D65" s="8">
        <v>946</v>
      </c>
      <c r="E65" s="11">
        <v>2221</v>
      </c>
      <c r="F65" s="8"/>
      <c r="G65" s="8"/>
      <c r="H65" s="8">
        <f t="shared" si="9"/>
        <v>10070</v>
      </c>
      <c r="I65" s="8">
        <v>25775</v>
      </c>
    </row>
    <row r="66" customHeight="1" spans="1:9">
      <c r="A66" s="8">
        <v>65</v>
      </c>
      <c r="B66" s="8">
        <v>491</v>
      </c>
      <c r="C66" s="8">
        <v>855</v>
      </c>
      <c r="D66" s="8">
        <v>978</v>
      </c>
      <c r="E66" s="11">
        <v>2309</v>
      </c>
      <c r="F66" s="8"/>
      <c r="G66" s="8"/>
      <c r="H66" s="8">
        <f t="shared" si="9"/>
        <v>10304</v>
      </c>
      <c r="I66" s="8">
        <v>26374</v>
      </c>
    </row>
    <row r="67" customHeight="1" spans="1:9">
      <c r="A67" s="8">
        <v>66</v>
      </c>
      <c r="B67" s="8">
        <v>509</v>
      </c>
      <c r="C67" s="8">
        <v>883</v>
      </c>
      <c r="D67" s="8">
        <v>1010</v>
      </c>
      <c r="E67" s="11">
        <v>2398</v>
      </c>
      <c r="F67" s="8"/>
      <c r="G67" s="8"/>
      <c r="H67" s="8">
        <f t="shared" si="9"/>
        <v>10538</v>
      </c>
      <c r="I67" s="8">
        <v>26973</v>
      </c>
    </row>
    <row r="68" customHeight="1" spans="1:9">
      <c r="A68" s="8">
        <v>67</v>
      </c>
      <c r="B68" s="8">
        <v>526</v>
      </c>
      <c r="C68" s="8">
        <v>913</v>
      </c>
      <c r="D68" s="8">
        <v>1044</v>
      </c>
      <c r="E68" s="11">
        <v>2495</v>
      </c>
      <c r="F68" s="8"/>
      <c r="G68" s="8"/>
      <c r="H68" s="8">
        <f t="shared" si="9"/>
        <v>10772</v>
      </c>
      <c r="I68" s="8">
        <v>27572</v>
      </c>
    </row>
    <row r="69" customHeight="1" spans="1:9">
      <c r="A69" s="8">
        <v>68</v>
      </c>
      <c r="B69" s="8">
        <v>544</v>
      </c>
      <c r="C69" s="8">
        <v>943</v>
      </c>
      <c r="D69" s="8">
        <v>1078</v>
      </c>
      <c r="E69" s="11">
        <v>2592</v>
      </c>
      <c r="F69" s="8"/>
      <c r="G69" s="8"/>
      <c r="H69" s="8">
        <f t="shared" si="9"/>
        <v>11006</v>
      </c>
      <c r="I69" s="8">
        <v>28171</v>
      </c>
    </row>
    <row r="70" customHeight="1" spans="1:9">
      <c r="A70" s="8">
        <v>69</v>
      </c>
      <c r="B70" s="8">
        <v>562</v>
      </c>
      <c r="C70" s="8">
        <v>973</v>
      </c>
      <c r="D70" s="8">
        <v>1112</v>
      </c>
      <c r="E70" s="11">
        <v>2690</v>
      </c>
      <c r="F70" s="8"/>
      <c r="G70" s="8"/>
      <c r="H70" s="8">
        <f t="shared" si="9"/>
        <v>11240</v>
      </c>
      <c r="I70" s="8">
        <v>28770</v>
      </c>
    </row>
    <row r="71" customHeight="1" spans="1:9">
      <c r="A71" s="8">
        <v>70</v>
      </c>
      <c r="B71" s="8">
        <v>581</v>
      </c>
      <c r="C71" s="8">
        <v>1005</v>
      </c>
      <c r="D71" s="8">
        <v>1148</v>
      </c>
      <c r="E71" s="11">
        <v>2797</v>
      </c>
      <c r="F71" s="8"/>
      <c r="G71" s="8"/>
      <c r="H71" s="8">
        <f t="shared" si="9"/>
        <v>11474</v>
      </c>
      <c r="I71" s="8">
        <v>29369</v>
      </c>
    </row>
    <row r="72" customHeight="1" spans="1:9">
      <c r="A72" s="8">
        <v>71</v>
      </c>
      <c r="B72" s="8">
        <v>600</v>
      </c>
      <c r="C72" s="8">
        <v>1037</v>
      </c>
      <c r="D72" s="8">
        <v>1184</v>
      </c>
      <c r="E72" s="11">
        <v>2904</v>
      </c>
      <c r="F72" s="8"/>
      <c r="G72" s="8"/>
      <c r="H72" s="8">
        <f t="shared" si="9"/>
        <v>11708</v>
      </c>
      <c r="I72" s="8">
        <v>29968</v>
      </c>
    </row>
    <row r="73" customHeight="1" spans="1:9">
      <c r="A73" s="8">
        <v>72</v>
      </c>
      <c r="B73" s="8">
        <v>619</v>
      </c>
      <c r="C73" s="8">
        <v>1069</v>
      </c>
      <c r="D73" s="8">
        <v>1220</v>
      </c>
      <c r="E73" s="11">
        <v>3011</v>
      </c>
      <c r="F73" s="8"/>
      <c r="G73" s="8"/>
      <c r="H73" s="8">
        <f t="shared" si="9"/>
        <v>11942</v>
      </c>
      <c r="I73" s="8">
        <v>30567</v>
      </c>
    </row>
    <row r="74" customHeight="1" spans="1:9">
      <c r="A74" s="8">
        <v>73</v>
      </c>
      <c r="B74" s="8">
        <v>639</v>
      </c>
      <c r="C74" s="8">
        <v>1103</v>
      </c>
      <c r="D74" s="8">
        <v>1258</v>
      </c>
      <c r="E74" s="11">
        <v>3128</v>
      </c>
      <c r="F74" s="8"/>
      <c r="G74" s="8"/>
      <c r="H74" s="8">
        <f t="shared" si="9"/>
        <v>12176</v>
      </c>
      <c r="I74" s="8">
        <v>31166</v>
      </c>
    </row>
    <row r="75" customHeight="1" spans="1:9">
      <c r="A75" s="8">
        <v>74</v>
      </c>
      <c r="B75" s="8">
        <v>659</v>
      </c>
      <c r="C75" s="8">
        <v>1137</v>
      </c>
      <c r="D75" s="8">
        <v>1296</v>
      </c>
      <c r="E75" s="11">
        <v>3245</v>
      </c>
      <c r="F75" s="8"/>
      <c r="G75" s="8"/>
      <c r="H75" s="8">
        <f t="shared" si="9"/>
        <v>12410</v>
      </c>
      <c r="I75" s="8">
        <v>31765</v>
      </c>
    </row>
    <row r="76" customHeight="1" spans="1:9">
      <c r="A76" s="8">
        <v>75</v>
      </c>
      <c r="B76" s="8">
        <v>679</v>
      </c>
      <c r="C76" s="8">
        <v>1171</v>
      </c>
      <c r="D76" s="8">
        <v>1335</v>
      </c>
      <c r="E76" s="11">
        <v>3362</v>
      </c>
      <c r="F76" s="8"/>
      <c r="G76" s="8"/>
      <c r="H76" s="8">
        <f t="shared" si="9"/>
        <v>12644</v>
      </c>
      <c r="I76" s="8">
        <f>I75+599</f>
        <v>32364</v>
      </c>
    </row>
    <row r="77" customHeight="1" spans="1:9">
      <c r="A77" s="8">
        <v>76</v>
      </c>
      <c r="B77" s="8">
        <v>700</v>
      </c>
      <c r="C77" s="8">
        <v>1207</v>
      </c>
      <c r="D77" s="8">
        <v>1376</v>
      </c>
      <c r="E77" s="11">
        <v>3489</v>
      </c>
      <c r="F77" s="8"/>
      <c r="G77" s="8"/>
      <c r="H77" s="8">
        <f t="shared" si="9"/>
        <v>12878</v>
      </c>
      <c r="I77" s="8">
        <f t="shared" ref="I77:I82" si="10">I76+599</f>
        <v>32963</v>
      </c>
    </row>
    <row r="78" customHeight="1" spans="1:9">
      <c r="A78" s="8">
        <v>77</v>
      </c>
      <c r="B78" s="8">
        <v>721</v>
      </c>
      <c r="C78" s="8">
        <v>1243</v>
      </c>
      <c r="D78" s="8">
        <v>1417</v>
      </c>
      <c r="E78" s="11">
        <v>3616</v>
      </c>
      <c r="F78" s="8"/>
      <c r="G78" s="8"/>
      <c r="H78" s="8">
        <f t="shared" si="9"/>
        <v>13112</v>
      </c>
      <c r="I78" s="8">
        <f t="shared" si="10"/>
        <v>33562</v>
      </c>
    </row>
    <row r="79" customHeight="1" spans="1:9">
      <c r="A79" s="8">
        <v>78</v>
      </c>
      <c r="B79" s="8">
        <v>742</v>
      </c>
      <c r="C79" s="8">
        <v>1279</v>
      </c>
      <c r="D79" s="8">
        <v>1459</v>
      </c>
      <c r="E79" s="11">
        <v>3743</v>
      </c>
      <c r="F79" s="8"/>
      <c r="G79" s="8"/>
      <c r="H79" s="8">
        <f t="shared" si="9"/>
        <v>13346</v>
      </c>
      <c r="I79" s="8">
        <f t="shared" si="10"/>
        <v>34161</v>
      </c>
    </row>
    <row r="80" customHeight="1" spans="1:9">
      <c r="A80" s="8">
        <v>79</v>
      </c>
      <c r="B80" s="8">
        <v>764</v>
      </c>
      <c r="C80" s="8">
        <v>1317</v>
      </c>
      <c r="D80" s="8">
        <v>1503</v>
      </c>
      <c r="E80" s="11">
        <v>3880</v>
      </c>
      <c r="F80" s="8"/>
      <c r="G80" s="8"/>
      <c r="H80" s="8">
        <f t="shared" si="9"/>
        <v>13580</v>
      </c>
      <c r="I80" s="8">
        <f t="shared" si="10"/>
        <v>34760</v>
      </c>
    </row>
    <row r="81" customHeight="1" spans="1:9">
      <c r="A81" s="8">
        <v>80</v>
      </c>
      <c r="B81" s="8">
        <v>786</v>
      </c>
      <c r="C81" s="8">
        <v>1355</v>
      </c>
      <c r="D81" s="8">
        <v>1547</v>
      </c>
      <c r="E81" s="11">
        <v>4017</v>
      </c>
      <c r="F81" s="8"/>
      <c r="G81" s="8"/>
      <c r="H81" s="8">
        <v>13814</v>
      </c>
      <c r="I81" s="8">
        <f t="shared" si="10"/>
        <v>35359</v>
      </c>
    </row>
    <row r="82" customHeight="1" spans="1:9">
      <c r="A82" s="8">
        <v>81</v>
      </c>
      <c r="B82" s="8">
        <v>809</v>
      </c>
      <c r="C82" s="8">
        <v>1393</v>
      </c>
      <c r="D82" s="8">
        <v>1592</v>
      </c>
      <c r="E82" s="11">
        <v>4154</v>
      </c>
      <c r="F82" s="8"/>
      <c r="G82" s="8"/>
      <c r="H82" s="8">
        <v>14048</v>
      </c>
      <c r="I82" s="8">
        <f t="shared" si="10"/>
        <v>35958</v>
      </c>
    </row>
    <row r="83" customHeight="1" spans="1:9">
      <c r="A83" s="8">
        <v>82</v>
      </c>
      <c r="B83" s="8">
        <v>833</v>
      </c>
      <c r="C83" s="8">
        <v>1433</v>
      </c>
      <c r="D83" s="8">
        <v>1639</v>
      </c>
      <c r="E83" s="11">
        <v>4301</v>
      </c>
      <c r="F83" s="8"/>
      <c r="G83" s="8"/>
      <c r="H83" s="8">
        <v>14277</v>
      </c>
      <c r="I83" s="8">
        <v>36542</v>
      </c>
    </row>
    <row r="84" customHeight="1" spans="1:9">
      <c r="A84" s="8">
        <v>83</v>
      </c>
      <c r="B84" s="8">
        <v>857</v>
      </c>
      <c r="C84" s="8">
        <v>1473</v>
      </c>
      <c r="D84" s="8">
        <v>1686</v>
      </c>
      <c r="E84" s="11">
        <v>4448</v>
      </c>
      <c r="F84" s="8"/>
      <c r="G84" s="8"/>
      <c r="H84" s="8">
        <v>14499</v>
      </c>
      <c r="I84" s="8">
        <v>37110</v>
      </c>
    </row>
    <row r="85" customHeight="1" spans="1:9">
      <c r="A85" s="8">
        <v>84</v>
      </c>
      <c r="B85" s="8">
        <v>882</v>
      </c>
      <c r="C85" s="8">
        <v>1513</v>
      </c>
      <c r="D85" s="8">
        <v>1734</v>
      </c>
      <c r="E85" s="11">
        <v>4596</v>
      </c>
      <c r="F85" s="8"/>
      <c r="G85" s="8"/>
      <c r="H85" s="8">
        <v>14721</v>
      </c>
      <c r="I85" s="8">
        <v>37678</v>
      </c>
    </row>
    <row r="86" customHeight="1" spans="1:9">
      <c r="A86" s="8">
        <v>85</v>
      </c>
      <c r="B86" s="8">
        <v>908</v>
      </c>
      <c r="C86" s="8">
        <v>1555</v>
      </c>
      <c r="D86" s="8">
        <v>1784</v>
      </c>
      <c r="E86" s="11">
        <v>4754</v>
      </c>
      <c r="F86" s="8"/>
      <c r="G86" s="8"/>
      <c r="H86" s="8">
        <v>14943</v>
      </c>
      <c r="I86" s="8">
        <v>38246</v>
      </c>
    </row>
    <row r="87" customHeight="1" spans="1:9">
      <c r="A87" s="8">
        <v>86</v>
      </c>
      <c r="B87" s="8">
        <v>934</v>
      </c>
      <c r="C87" s="8">
        <v>1597</v>
      </c>
      <c r="D87" s="8">
        <v>1834</v>
      </c>
      <c r="E87" s="11">
        <v>4912</v>
      </c>
      <c r="F87" s="8"/>
      <c r="G87" s="8"/>
      <c r="H87" s="8">
        <v>15165</v>
      </c>
      <c r="I87" s="8">
        <v>38814</v>
      </c>
    </row>
    <row r="88" customHeight="1" spans="1:9">
      <c r="A88" s="8">
        <v>87</v>
      </c>
      <c r="B88" s="8">
        <v>961</v>
      </c>
      <c r="C88" s="8">
        <v>1639</v>
      </c>
      <c r="D88" s="8">
        <v>1885</v>
      </c>
      <c r="E88" s="11">
        <v>5071</v>
      </c>
      <c r="F88" s="8"/>
      <c r="G88" s="8"/>
      <c r="H88" s="8">
        <v>15387</v>
      </c>
      <c r="I88" s="8">
        <v>39382</v>
      </c>
    </row>
    <row r="89" customHeight="1" spans="1:9">
      <c r="A89" s="8">
        <v>88</v>
      </c>
      <c r="B89" s="8">
        <v>989</v>
      </c>
      <c r="C89" s="8">
        <v>1683</v>
      </c>
      <c r="D89" s="8">
        <v>1938</v>
      </c>
      <c r="E89" s="11">
        <v>5231</v>
      </c>
      <c r="F89" s="8"/>
      <c r="G89" s="8"/>
      <c r="H89" s="8">
        <v>15609</v>
      </c>
      <c r="I89" s="8">
        <v>39950</v>
      </c>
    </row>
    <row r="90" customHeight="1" spans="1:9">
      <c r="A90" s="8">
        <v>89</v>
      </c>
      <c r="B90" s="8">
        <v>1017</v>
      </c>
      <c r="C90" s="8">
        <v>1727</v>
      </c>
      <c r="D90" s="8">
        <v>1991</v>
      </c>
      <c r="E90" s="11">
        <v>5391</v>
      </c>
      <c r="F90" s="8"/>
      <c r="G90" s="8"/>
      <c r="H90" s="8">
        <v>15831</v>
      </c>
      <c r="I90" s="8">
        <v>40518</v>
      </c>
    </row>
    <row r="91" customHeight="1" spans="1:9">
      <c r="A91" s="8">
        <v>90</v>
      </c>
      <c r="B91" s="8">
        <v>1046</v>
      </c>
      <c r="C91" s="8">
        <v>1771</v>
      </c>
      <c r="D91" s="8">
        <v>2045</v>
      </c>
      <c r="E91" s="11">
        <v>5552</v>
      </c>
      <c r="F91" s="8"/>
      <c r="G91" s="8"/>
      <c r="H91" s="8">
        <v>16053</v>
      </c>
      <c r="I91" s="8">
        <v>41086</v>
      </c>
    </row>
    <row r="92" customHeight="1" spans="1:9">
      <c r="A92" s="8">
        <v>91</v>
      </c>
      <c r="B92" s="8">
        <v>1077</v>
      </c>
      <c r="C92" s="8">
        <v>1817</v>
      </c>
      <c r="D92" s="8">
        <v>2102</v>
      </c>
      <c r="E92" s="11">
        <v>5720</v>
      </c>
      <c r="F92" s="8"/>
      <c r="G92" s="8"/>
      <c r="H92" s="8">
        <v>16275</v>
      </c>
      <c r="I92" s="8">
        <v>41654</v>
      </c>
    </row>
    <row r="93" customHeight="1" spans="1:9">
      <c r="A93" s="8">
        <v>92</v>
      </c>
      <c r="B93" s="8">
        <v>1108</v>
      </c>
      <c r="C93" s="8">
        <v>1863</v>
      </c>
      <c r="D93" s="8">
        <v>2159</v>
      </c>
      <c r="E93" s="11">
        <v>5888</v>
      </c>
      <c r="F93" s="8"/>
      <c r="G93" s="8"/>
      <c r="H93" s="8">
        <v>16497</v>
      </c>
      <c r="I93" s="8">
        <v>42222</v>
      </c>
    </row>
    <row r="94" customHeight="1" spans="1:9">
      <c r="A94" s="8">
        <v>93</v>
      </c>
      <c r="B94" s="8">
        <v>1140</v>
      </c>
      <c r="C94" s="8">
        <v>1909</v>
      </c>
      <c r="D94" s="8">
        <v>2217</v>
      </c>
      <c r="E94" s="11">
        <v>6056</v>
      </c>
      <c r="F94" s="8"/>
      <c r="G94" s="8"/>
      <c r="H94" s="8">
        <v>16719</v>
      </c>
      <c r="I94" s="8">
        <v>42790</v>
      </c>
    </row>
    <row r="95" customHeight="1" spans="1:9">
      <c r="A95" s="8">
        <v>94</v>
      </c>
      <c r="B95" s="8">
        <v>1175</v>
      </c>
      <c r="C95" s="8">
        <v>1957</v>
      </c>
      <c r="D95" s="8">
        <v>2279</v>
      </c>
      <c r="E95" s="11">
        <v>6231</v>
      </c>
      <c r="F95" s="8"/>
      <c r="G95" s="8"/>
      <c r="H95" s="8">
        <v>16941</v>
      </c>
      <c r="I95" s="8">
        <f>I94+568</f>
        <v>43358</v>
      </c>
    </row>
    <row r="96" customHeight="1" spans="1:9">
      <c r="A96" s="8">
        <v>95</v>
      </c>
      <c r="B96" s="8">
        <v>1210</v>
      </c>
      <c r="C96" s="8">
        <v>2005</v>
      </c>
      <c r="D96" s="8">
        <v>2341</v>
      </c>
      <c r="E96" s="11">
        <v>6406</v>
      </c>
      <c r="F96" s="8"/>
      <c r="G96" s="8"/>
      <c r="H96" s="8">
        <v>17163</v>
      </c>
      <c r="I96" s="8">
        <f t="shared" ref="I96:I98" si="11">I95+568</f>
        <v>43926</v>
      </c>
    </row>
    <row r="97" customHeight="1" spans="1:9">
      <c r="A97" s="8">
        <v>96</v>
      </c>
      <c r="B97" s="8">
        <v>1246</v>
      </c>
      <c r="C97" s="8">
        <v>2053</v>
      </c>
      <c r="D97" s="8">
        <v>2404</v>
      </c>
      <c r="E97" s="11">
        <v>6581</v>
      </c>
      <c r="F97" s="8"/>
      <c r="G97" s="8"/>
      <c r="H97" s="8">
        <v>17385</v>
      </c>
      <c r="I97" s="8">
        <f t="shared" si="11"/>
        <v>44494</v>
      </c>
    </row>
    <row r="98" customHeight="1" spans="1:9">
      <c r="A98" s="8">
        <v>97</v>
      </c>
      <c r="B98" s="8">
        <v>1285</v>
      </c>
      <c r="C98" s="8">
        <v>2103</v>
      </c>
      <c r="D98" s="8">
        <v>2472</v>
      </c>
      <c r="E98" s="11">
        <v>6763</v>
      </c>
      <c r="F98" s="8"/>
      <c r="G98" s="8"/>
      <c r="H98" s="8">
        <v>17607</v>
      </c>
      <c r="I98" s="8">
        <f t="shared" si="11"/>
        <v>45062</v>
      </c>
    </row>
    <row r="99" customHeight="1" spans="1:9">
      <c r="A99" s="8">
        <v>98</v>
      </c>
      <c r="B99" s="8">
        <v>1324</v>
      </c>
      <c r="C99" s="8">
        <v>2153</v>
      </c>
      <c r="D99" s="8">
        <v>2540</v>
      </c>
      <c r="E99" s="11">
        <v>6945</v>
      </c>
      <c r="F99" s="8"/>
      <c r="G99" s="8"/>
      <c r="H99" s="8">
        <v>17829</v>
      </c>
      <c r="I99" s="8">
        <v>45630</v>
      </c>
    </row>
    <row r="100" customHeight="1" spans="1:9">
      <c r="A100" s="8">
        <v>99</v>
      </c>
      <c r="B100" s="8">
        <v>1364</v>
      </c>
      <c r="C100" s="8">
        <v>2203</v>
      </c>
      <c r="D100" s="8">
        <v>2609</v>
      </c>
      <c r="E100" s="11">
        <v>7127</v>
      </c>
      <c r="F100" s="8"/>
      <c r="G100" s="8"/>
      <c r="H100" s="8">
        <v>18051</v>
      </c>
      <c r="I100" s="8">
        <v>46198</v>
      </c>
    </row>
    <row r="101" customHeight="1" spans="1:9">
      <c r="A101" s="8">
        <v>100</v>
      </c>
      <c r="B101" s="8">
        <v>1408</v>
      </c>
      <c r="C101" s="8">
        <v>2255</v>
      </c>
      <c r="D101" s="8">
        <v>2684</v>
      </c>
      <c r="E101" s="11">
        <v>7316</v>
      </c>
      <c r="F101" s="8"/>
      <c r="G101" s="8"/>
      <c r="H101" s="8">
        <v>18273</v>
      </c>
      <c r="I101" s="8">
        <v>46766</v>
      </c>
    </row>
    <row r="102" customHeight="1" spans="1:9">
      <c r="A102" s="8">
        <v>101</v>
      </c>
      <c r="B102" s="8">
        <v>1452</v>
      </c>
      <c r="C102" s="8">
        <v>2307</v>
      </c>
      <c r="D102" s="8">
        <v>2759</v>
      </c>
      <c r="E102" s="11">
        <v>7505</v>
      </c>
      <c r="F102" s="8"/>
      <c r="G102" s="8"/>
      <c r="H102" s="8">
        <v>18495</v>
      </c>
      <c r="I102" s="8">
        <v>47344</v>
      </c>
    </row>
    <row r="103" customHeight="1" spans="1:9">
      <c r="A103" s="8">
        <v>102</v>
      </c>
      <c r="B103" s="8">
        <v>1497</v>
      </c>
      <c r="C103" s="8">
        <v>2359</v>
      </c>
      <c r="D103" s="8">
        <v>2835</v>
      </c>
      <c r="E103" s="11">
        <v>7694</v>
      </c>
      <c r="F103" s="8"/>
      <c r="G103" s="8"/>
      <c r="H103" s="8">
        <v>18717</v>
      </c>
      <c r="I103" s="8">
        <v>47902</v>
      </c>
    </row>
    <row r="104" customHeight="1" spans="1:9">
      <c r="A104" s="8">
        <v>103</v>
      </c>
      <c r="B104" s="8">
        <v>1546</v>
      </c>
      <c r="C104" s="8">
        <v>2413</v>
      </c>
      <c r="D104" s="8">
        <v>2916</v>
      </c>
      <c r="E104" s="11">
        <v>7883</v>
      </c>
      <c r="F104" s="8"/>
      <c r="G104" s="8"/>
      <c r="H104" s="8">
        <v>18939</v>
      </c>
      <c r="I104" s="8">
        <v>48470</v>
      </c>
    </row>
    <row r="105" customHeight="1" spans="1:9">
      <c r="A105" s="8">
        <v>104</v>
      </c>
      <c r="B105" s="8">
        <v>1595</v>
      </c>
      <c r="C105" s="8">
        <v>2469</v>
      </c>
      <c r="D105" s="8">
        <v>2997</v>
      </c>
      <c r="E105" s="11">
        <v>8072</v>
      </c>
      <c r="F105" s="8"/>
      <c r="G105" s="8"/>
      <c r="H105" s="8">
        <v>19161</v>
      </c>
      <c r="I105" s="8">
        <v>49038</v>
      </c>
    </row>
    <row r="106" customHeight="1" spans="1:9">
      <c r="A106" s="8">
        <v>105</v>
      </c>
      <c r="B106" s="8">
        <v>1645</v>
      </c>
      <c r="C106" s="8">
        <v>2524</v>
      </c>
      <c r="D106" s="8">
        <v>3079</v>
      </c>
      <c r="E106" s="11">
        <v>8262</v>
      </c>
      <c r="F106" s="8"/>
      <c r="G106" s="8"/>
      <c r="H106" s="8">
        <v>19383</v>
      </c>
      <c r="I106" s="8">
        <v>49606</v>
      </c>
    </row>
    <row r="107" customHeight="1" spans="1:9">
      <c r="A107" s="8">
        <v>106</v>
      </c>
      <c r="B107" s="8">
        <v>1699</v>
      </c>
      <c r="C107" s="8">
        <v>2582</v>
      </c>
      <c r="D107" s="8">
        <v>3167</v>
      </c>
      <c r="E107" s="11">
        <v>8461</v>
      </c>
      <c r="F107" s="8"/>
      <c r="G107" s="8"/>
      <c r="H107" s="8"/>
      <c r="I107" s="8">
        <v>50174</v>
      </c>
    </row>
    <row r="108" customHeight="1" spans="1:9">
      <c r="A108" s="8">
        <v>107</v>
      </c>
      <c r="B108" s="8">
        <v>1753</v>
      </c>
      <c r="C108" s="8">
        <v>2640</v>
      </c>
      <c r="D108" s="8">
        <v>3255</v>
      </c>
      <c r="E108" s="11">
        <v>8660</v>
      </c>
      <c r="F108" s="8"/>
      <c r="G108" s="8"/>
      <c r="H108" s="8"/>
      <c r="I108" s="8">
        <v>50742</v>
      </c>
    </row>
    <row r="109" customHeight="1" spans="1:9">
      <c r="A109" s="8">
        <v>108</v>
      </c>
      <c r="B109" s="8">
        <v>1808</v>
      </c>
      <c r="C109" s="8">
        <v>2698</v>
      </c>
      <c r="D109" s="8">
        <v>3344</v>
      </c>
      <c r="E109" s="11">
        <v>8860</v>
      </c>
      <c r="F109" s="8"/>
      <c r="G109" s="8"/>
      <c r="H109" s="8"/>
      <c r="I109" s="8">
        <v>51310</v>
      </c>
    </row>
    <row r="110" customHeight="1" spans="1:9">
      <c r="A110" s="8">
        <v>109</v>
      </c>
      <c r="B110" s="8">
        <v>1868</v>
      </c>
      <c r="C110" s="8">
        <v>2760</v>
      </c>
      <c r="D110" s="8">
        <v>3439</v>
      </c>
      <c r="E110" s="11">
        <v>9069</v>
      </c>
      <c r="F110" s="8"/>
      <c r="G110" s="8"/>
      <c r="H110" s="8"/>
      <c r="I110" s="8">
        <v>51878</v>
      </c>
    </row>
    <row r="111" customHeight="1" spans="1:9">
      <c r="A111" s="8">
        <v>110</v>
      </c>
      <c r="B111" s="8">
        <v>1928</v>
      </c>
      <c r="C111" s="8">
        <v>2822</v>
      </c>
      <c r="D111" s="8">
        <v>3534</v>
      </c>
      <c r="E111" s="11">
        <v>9278</v>
      </c>
      <c r="F111" s="8"/>
      <c r="G111" s="8"/>
      <c r="H111" s="8"/>
      <c r="I111" s="8">
        <v>52446</v>
      </c>
    </row>
    <row r="112" customHeight="1" spans="1:9">
      <c r="A112" s="8">
        <v>111</v>
      </c>
      <c r="B112" s="8">
        <v>1989</v>
      </c>
      <c r="C112" s="8">
        <v>2884</v>
      </c>
      <c r="D112" s="8">
        <v>3630</v>
      </c>
      <c r="E112" s="11">
        <v>9491</v>
      </c>
      <c r="F112" s="8"/>
      <c r="G112" s="8"/>
      <c r="H112" s="8"/>
      <c r="I112" s="8">
        <v>53014</v>
      </c>
    </row>
    <row r="113" customHeight="1" spans="1:9">
      <c r="A113" s="8">
        <v>112</v>
      </c>
      <c r="B113" s="8">
        <v>2054</v>
      </c>
      <c r="C113" s="8">
        <v>2950</v>
      </c>
      <c r="D113" s="8">
        <v>3731</v>
      </c>
      <c r="E113" s="11">
        <v>9707</v>
      </c>
      <c r="F113" s="8"/>
      <c r="G113" s="8"/>
      <c r="H113" s="8"/>
      <c r="I113" s="8">
        <v>53582</v>
      </c>
    </row>
    <row r="114" customHeight="1" spans="1:9">
      <c r="A114" s="8">
        <v>113</v>
      </c>
      <c r="B114" s="8">
        <v>2119</v>
      </c>
      <c r="C114" s="8">
        <v>3016</v>
      </c>
      <c r="D114" s="8">
        <v>3832</v>
      </c>
      <c r="E114" s="11">
        <v>9926</v>
      </c>
      <c r="F114" s="8"/>
      <c r="G114" s="8"/>
      <c r="H114" s="8"/>
      <c r="I114" s="8">
        <v>54150</v>
      </c>
    </row>
    <row r="115" customHeight="1" spans="1:9">
      <c r="A115" s="8">
        <v>114</v>
      </c>
      <c r="B115" s="8">
        <v>2185</v>
      </c>
      <c r="C115" s="8">
        <v>3082</v>
      </c>
      <c r="D115" s="8">
        <v>3934</v>
      </c>
      <c r="E115" s="11">
        <v>10136</v>
      </c>
      <c r="F115" s="8"/>
      <c r="G115" s="8"/>
      <c r="H115" s="8"/>
      <c r="I115" s="8">
        <v>54718</v>
      </c>
    </row>
    <row r="116" customHeight="1" spans="1:9">
      <c r="A116" s="8">
        <v>115</v>
      </c>
      <c r="B116" s="8">
        <v>2255</v>
      </c>
      <c r="C116" s="8">
        <v>3152</v>
      </c>
      <c r="D116" s="8">
        <v>4042</v>
      </c>
      <c r="E116" s="11">
        <v>10355</v>
      </c>
      <c r="F116" s="8"/>
      <c r="G116" s="8"/>
      <c r="H116" s="8"/>
      <c r="I116" s="8">
        <v>56518</v>
      </c>
    </row>
    <row r="117" customHeight="1" spans="1:9">
      <c r="A117" s="8">
        <v>116</v>
      </c>
      <c r="B117" s="8">
        <v>2325</v>
      </c>
      <c r="C117" s="8">
        <v>3222</v>
      </c>
      <c r="D117" s="8">
        <v>4150</v>
      </c>
      <c r="E117" s="11">
        <v>10574</v>
      </c>
      <c r="F117" s="8"/>
      <c r="G117" s="8"/>
      <c r="H117" s="8"/>
      <c r="I117" s="8">
        <v>57492</v>
      </c>
    </row>
    <row r="118" customHeight="1" spans="1:9">
      <c r="A118" s="8">
        <v>117</v>
      </c>
      <c r="B118" s="8">
        <v>2396</v>
      </c>
      <c r="C118" s="8">
        <v>3292</v>
      </c>
      <c r="D118" s="8">
        <v>4259</v>
      </c>
      <c r="E118" s="11">
        <v>10794</v>
      </c>
      <c r="F118" s="8"/>
      <c r="G118" s="8"/>
      <c r="H118" s="8"/>
      <c r="I118" s="8">
        <v>58466</v>
      </c>
    </row>
    <row r="119" customHeight="1" spans="1:9">
      <c r="A119" s="8">
        <v>118</v>
      </c>
      <c r="B119" s="8">
        <v>2471</v>
      </c>
      <c r="C119" s="8">
        <v>3367</v>
      </c>
      <c r="D119" s="8">
        <v>4374</v>
      </c>
      <c r="E119" s="11">
        <v>11023</v>
      </c>
      <c r="F119" s="8"/>
      <c r="G119" s="8"/>
      <c r="H119" s="8"/>
      <c r="I119" s="8">
        <v>59440</v>
      </c>
    </row>
    <row r="120" customHeight="1" spans="1:9">
      <c r="A120" s="8">
        <v>119</v>
      </c>
      <c r="B120" s="8">
        <v>2546</v>
      </c>
      <c r="C120" s="8">
        <v>3442</v>
      </c>
      <c r="D120" s="8">
        <v>4489</v>
      </c>
      <c r="E120" s="11">
        <v>11252</v>
      </c>
      <c r="F120" s="8"/>
      <c r="G120" s="8"/>
      <c r="H120" s="8"/>
      <c r="I120" s="8">
        <v>60414</v>
      </c>
    </row>
    <row r="121" customHeight="1" spans="1:9">
      <c r="A121" s="8">
        <v>120</v>
      </c>
      <c r="B121" s="8">
        <v>2622</v>
      </c>
      <c r="C121" s="8">
        <v>3517</v>
      </c>
      <c r="D121" s="8">
        <v>4605</v>
      </c>
      <c r="E121" s="11">
        <v>11482</v>
      </c>
      <c r="F121" s="8"/>
      <c r="G121" s="8"/>
      <c r="H121" s="8"/>
      <c r="I121" s="8">
        <v>61388</v>
      </c>
    </row>
    <row r="122" customHeight="1" spans="1:9">
      <c r="A122" s="8">
        <v>121</v>
      </c>
      <c r="B122" s="8">
        <v>2701</v>
      </c>
      <c r="C122" s="8">
        <v>3597</v>
      </c>
      <c r="D122" s="8">
        <v>4721</v>
      </c>
      <c r="E122" s="11">
        <v>11721</v>
      </c>
      <c r="F122" s="8"/>
      <c r="G122" s="8"/>
      <c r="H122" s="8"/>
      <c r="I122" s="8">
        <v>62362</v>
      </c>
    </row>
    <row r="123" customHeight="1" spans="1:9">
      <c r="A123" s="8">
        <v>122</v>
      </c>
      <c r="B123" s="8">
        <v>2782</v>
      </c>
      <c r="C123" s="8">
        <v>3677</v>
      </c>
      <c r="D123" s="8">
        <v>4837</v>
      </c>
      <c r="E123" s="11">
        <v>11960</v>
      </c>
      <c r="F123" s="8"/>
      <c r="G123" s="8"/>
      <c r="H123" s="8"/>
      <c r="I123" s="8">
        <f>I122+974</f>
        <v>63336</v>
      </c>
    </row>
    <row r="124" customHeight="1" spans="1:9">
      <c r="A124" s="8">
        <v>123</v>
      </c>
      <c r="B124" s="8">
        <v>2863</v>
      </c>
      <c r="C124" s="8">
        <v>3757</v>
      </c>
      <c r="D124" s="8">
        <v>4953</v>
      </c>
      <c r="E124" s="11">
        <v>12200</v>
      </c>
      <c r="F124" s="8"/>
      <c r="G124" s="8"/>
      <c r="H124" s="8"/>
      <c r="I124" s="8">
        <f t="shared" ref="I124" si="12">I123+974</f>
        <v>64310</v>
      </c>
    </row>
    <row r="125" customHeight="1" spans="1:9">
      <c r="A125" s="8">
        <v>124</v>
      </c>
      <c r="B125" s="8">
        <v>2944</v>
      </c>
      <c r="C125" s="8">
        <v>3842</v>
      </c>
      <c r="D125" s="8">
        <v>5069</v>
      </c>
      <c r="E125" s="11">
        <v>12449</v>
      </c>
      <c r="F125" s="8"/>
      <c r="G125" s="8"/>
      <c r="H125" s="8"/>
      <c r="I125" s="8">
        <f t="shared" ref="I125:I132" si="13">I124+974</f>
        <v>65284</v>
      </c>
    </row>
    <row r="126" customHeight="1" spans="1:9">
      <c r="A126" s="8">
        <v>125</v>
      </c>
      <c r="B126" s="8">
        <v>3025</v>
      </c>
      <c r="C126" s="8">
        <v>3927</v>
      </c>
      <c r="D126" s="8">
        <v>5185</v>
      </c>
      <c r="E126" s="11">
        <v>12698</v>
      </c>
      <c r="F126" s="8"/>
      <c r="G126" s="8"/>
      <c r="H126" s="8"/>
      <c r="I126" s="8">
        <f t="shared" si="13"/>
        <v>66258</v>
      </c>
    </row>
    <row r="127" customHeight="1" spans="1:9">
      <c r="A127" s="8">
        <v>126</v>
      </c>
      <c r="B127" s="8">
        <v>3106</v>
      </c>
      <c r="C127" s="8">
        <v>4012</v>
      </c>
      <c r="D127" s="8">
        <v>5301</v>
      </c>
      <c r="E127" s="11">
        <v>12948</v>
      </c>
      <c r="F127" s="8"/>
      <c r="G127" s="8"/>
      <c r="H127" s="8"/>
      <c r="I127" s="8">
        <f t="shared" si="13"/>
        <v>67232</v>
      </c>
    </row>
    <row r="128" customHeight="1" spans="1:9">
      <c r="A128" s="8">
        <v>127</v>
      </c>
      <c r="B128" s="8">
        <v>3187</v>
      </c>
      <c r="C128" s="8">
        <v>4102</v>
      </c>
      <c r="D128" s="8">
        <v>5417</v>
      </c>
      <c r="E128" s="11">
        <v>13207</v>
      </c>
      <c r="F128" s="8"/>
      <c r="G128" s="8"/>
      <c r="H128" s="8"/>
      <c r="I128" s="8">
        <f t="shared" si="13"/>
        <v>68206</v>
      </c>
    </row>
    <row r="129" customHeight="1" spans="1:9">
      <c r="A129" s="8">
        <v>128</v>
      </c>
      <c r="B129" s="8">
        <v>3268</v>
      </c>
      <c r="C129" s="8">
        <v>4192</v>
      </c>
      <c r="D129" s="8">
        <v>5533</v>
      </c>
      <c r="E129" s="11">
        <v>13466</v>
      </c>
      <c r="F129" s="8"/>
      <c r="G129" s="8"/>
      <c r="H129" s="8"/>
      <c r="I129" s="8">
        <f t="shared" si="13"/>
        <v>69180</v>
      </c>
    </row>
    <row r="130" customHeight="1" spans="1:9">
      <c r="A130" s="8">
        <v>129</v>
      </c>
      <c r="B130" s="8">
        <v>3349</v>
      </c>
      <c r="C130" s="8">
        <v>4282</v>
      </c>
      <c r="D130" s="8">
        <v>5649</v>
      </c>
      <c r="E130" s="11">
        <v>13726</v>
      </c>
      <c r="F130" s="8"/>
      <c r="G130" s="8"/>
      <c r="H130" s="8"/>
      <c r="I130" s="8">
        <f t="shared" si="13"/>
        <v>70154</v>
      </c>
    </row>
    <row r="131" customHeight="1" spans="1:9">
      <c r="A131" s="8">
        <v>130</v>
      </c>
      <c r="B131" s="8">
        <v>3430</v>
      </c>
      <c r="C131" s="8">
        <v>4377</v>
      </c>
      <c r="D131" s="8">
        <v>5765</v>
      </c>
      <c r="E131" s="11">
        <v>13986</v>
      </c>
      <c r="F131" s="8"/>
      <c r="G131" s="8"/>
      <c r="H131" s="8"/>
      <c r="I131" s="8">
        <f t="shared" si="13"/>
        <v>71128</v>
      </c>
    </row>
    <row r="132" customHeight="1" spans="1:9">
      <c r="A132" s="8">
        <v>131</v>
      </c>
      <c r="B132" s="8">
        <v>3511</v>
      </c>
      <c r="C132" s="8">
        <v>4472</v>
      </c>
      <c r="D132" s="8">
        <v>5881</v>
      </c>
      <c r="E132" s="11">
        <v>14246</v>
      </c>
      <c r="F132" s="8"/>
      <c r="G132" s="8"/>
      <c r="H132" s="8"/>
      <c r="I132" s="8">
        <f t="shared" si="13"/>
        <v>72102</v>
      </c>
    </row>
    <row r="133" customHeight="1" spans="1:9">
      <c r="A133" s="8">
        <v>132</v>
      </c>
      <c r="B133" s="8">
        <v>3592</v>
      </c>
      <c r="C133" s="8">
        <v>4567</v>
      </c>
      <c r="D133" s="8">
        <v>5997</v>
      </c>
      <c r="E133" s="11">
        <v>14506</v>
      </c>
      <c r="F133" s="8"/>
      <c r="G133" s="8"/>
      <c r="H133" s="8"/>
      <c r="I133" s="8">
        <v>73076</v>
      </c>
    </row>
    <row r="134" customHeight="1" spans="1:9">
      <c r="A134" s="8">
        <v>133</v>
      </c>
      <c r="B134" s="8">
        <v>3673</v>
      </c>
      <c r="C134" s="8">
        <v>4663</v>
      </c>
      <c r="D134" s="8">
        <v>6113</v>
      </c>
      <c r="E134" s="11">
        <v>14766</v>
      </c>
      <c r="F134" s="8"/>
      <c r="G134" s="8"/>
      <c r="H134" s="8"/>
      <c r="I134" s="8"/>
    </row>
    <row r="135" customHeight="1" spans="1:9">
      <c r="A135" s="8">
        <v>134</v>
      </c>
      <c r="B135" s="8">
        <v>3754</v>
      </c>
      <c r="C135" s="8">
        <v>4759</v>
      </c>
      <c r="D135" s="8">
        <v>6229</v>
      </c>
      <c r="E135" s="11">
        <v>15031</v>
      </c>
      <c r="F135" s="8"/>
      <c r="G135" s="8"/>
      <c r="H135" s="8"/>
      <c r="I135" s="8"/>
    </row>
    <row r="136" customHeight="1" spans="1:9">
      <c r="A136" s="8">
        <v>135</v>
      </c>
      <c r="B136" s="8">
        <v>3835</v>
      </c>
      <c r="C136" s="8">
        <v>4855</v>
      </c>
      <c r="D136" s="8">
        <v>6345</v>
      </c>
      <c r="E136" s="11">
        <v>15286</v>
      </c>
      <c r="F136" s="8"/>
      <c r="G136" s="8"/>
      <c r="H136" s="8"/>
      <c r="I136" s="8"/>
    </row>
    <row r="137" customHeight="1" spans="1:9">
      <c r="A137" s="8">
        <v>136</v>
      </c>
      <c r="B137" s="8">
        <v>3916</v>
      </c>
      <c r="C137" s="8">
        <v>4951</v>
      </c>
      <c r="D137" s="8">
        <v>6461</v>
      </c>
      <c r="E137" s="11">
        <v>15546</v>
      </c>
      <c r="F137" s="8"/>
      <c r="G137" s="8"/>
      <c r="H137" s="8"/>
      <c r="I137" s="8"/>
    </row>
    <row r="138" customHeight="1" spans="1:9">
      <c r="A138" s="8">
        <v>137</v>
      </c>
      <c r="B138" s="8">
        <v>3997</v>
      </c>
      <c r="C138" s="8">
        <v>5047</v>
      </c>
      <c r="D138" s="8">
        <v>6577</v>
      </c>
      <c r="E138" s="11">
        <v>15806</v>
      </c>
      <c r="F138" s="8"/>
      <c r="G138" s="8"/>
      <c r="H138" s="8"/>
      <c r="I138" s="8"/>
    </row>
    <row r="139" customHeight="1" spans="1:9">
      <c r="A139" s="8">
        <v>138</v>
      </c>
      <c r="B139" s="8">
        <v>4078</v>
      </c>
      <c r="C139" s="8">
        <v>5143</v>
      </c>
      <c r="D139" s="8">
        <v>6693</v>
      </c>
      <c r="E139" s="11">
        <v>16066</v>
      </c>
      <c r="F139" s="8"/>
      <c r="G139" s="8"/>
      <c r="H139" s="8"/>
      <c r="I139" s="8"/>
    </row>
    <row r="140" customHeight="1" spans="1:9">
      <c r="A140" s="8">
        <v>139</v>
      </c>
      <c r="B140" s="8">
        <v>4159</v>
      </c>
      <c r="C140" s="8">
        <v>5239</v>
      </c>
      <c r="D140" s="8">
        <v>6809</v>
      </c>
      <c r="E140" s="11">
        <v>16326</v>
      </c>
      <c r="F140" s="8"/>
      <c r="G140" s="8"/>
      <c r="H140" s="8"/>
      <c r="I140" s="8"/>
    </row>
    <row r="141" customHeight="1" spans="1:9">
      <c r="A141" s="8">
        <v>140</v>
      </c>
      <c r="B141" s="8">
        <v>4240</v>
      </c>
      <c r="C141" s="8">
        <v>5335</v>
      </c>
      <c r="D141" s="8">
        <v>6925</v>
      </c>
      <c r="E141" s="11">
        <v>16586</v>
      </c>
      <c r="F141" s="8"/>
      <c r="G141" s="8"/>
      <c r="H141" s="8"/>
      <c r="I141" s="8"/>
    </row>
    <row r="142" customHeight="1" spans="1:9">
      <c r="A142" s="8">
        <v>141</v>
      </c>
      <c r="B142" s="8">
        <v>4321</v>
      </c>
      <c r="C142" s="8">
        <v>5431</v>
      </c>
      <c r="D142" s="8">
        <v>7041</v>
      </c>
      <c r="E142" s="11">
        <v>16846</v>
      </c>
      <c r="F142" s="8"/>
      <c r="G142" s="8"/>
      <c r="H142" s="8"/>
      <c r="I142" s="8"/>
    </row>
    <row r="143" customHeight="1" spans="1:9">
      <c r="A143" s="8">
        <v>142</v>
      </c>
      <c r="B143" s="8">
        <v>4402</v>
      </c>
      <c r="C143" s="8">
        <v>5527</v>
      </c>
      <c r="D143" s="8">
        <v>7157</v>
      </c>
      <c r="E143" s="11">
        <v>17126</v>
      </c>
      <c r="F143" s="8"/>
      <c r="G143" s="8"/>
      <c r="H143" s="8"/>
      <c r="I143" s="8"/>
    </row>
    <row r="144" customHeight="1" spans="1:9">
      <c r="A144" s="8">
        <v>143</v>
      </c>
      <c r="B144" s="8">
        <v>4483</v>
      </c>
      <c r="C144" s="8">
        <v>5623</v>
      </c>
      <c r="D144" s="8">
        <v>7273</v>
      </c>
      <c r="E144" s="11">
        <v>17406</v>
      </c>
      <c r="F144" s="8"/>
      <c r="G144" s="8"/>
      <c r="H144" s="8"/>
      <c r="I144" s="8"/>
    </row>
    <row r="145" customHeight="1" spans="1:9">
      <c r="A145" s="8">
        <v>144</v>
      </c>
      <c r="B145" s="8">
        <v>4564</v>
      </c>
      <c r="C145" s="8">
        <v>5719</v>
      </c>
      <c r="D145" s="8">
        <v>7389</v>
      </c>
      <c r="E145" s="11">
        <v>17686</v>
      </c>
      <c r="F145" s="8"/>
      <c r="G145" s="8"/>
      <c r="H145" s="8"/>
      <c r="I145" s="8"/>
    </row>
    <row r="146" customHeight="1" spans="1:9">
      <c r="A146" s="8">
        <v>145</v>
      </c>
      <c r="B146" s="8">
        <v>4645</v>
      </c>
      <c r="C146" s="8">
        <v>5815</v>
      </c>
      <c r="D146" s="8">
        <v>7505</v>
      </c>
      <c r="E146" s="11">
        <v>17966</v>
      </c>
      <c r="F146" s="8"/>
      <c r="G146" s="8"/>
      <c r="H146" s="8"/>
      <c r="I146" s="8"/>
    </row>
    <row r="147" customHeight="1" spans="1:9">
      <c r="A147" s="8">
        <v>146</v>
      </c>
      <c r="B147" s="8">
        <v>4726</v>
      </c>
      <c r="C147" s="8">
        <v>5911</v>
      </c>
      <c r="D147" s="8">
        <v>7621</v>
      </c>
      <c r="E147" s="11">
        <v>18246</v>
      </c>
      <c r="F147" s="8"/>
      <c r="G147" s="8"/>
      <c r="H147" s="8"/>
      <c r="I147" s="8"/>
    </row>
    <row r="148" customHeight="1" spans="1:9">
      <c r="A148" s="8">
        <v>147</v>
      </c>
      <c r="B148" s="8">
        <v>4807</v>
      </c>
      <c r="C148" s="8">
        <v>6007</v>
      </c>
      <c r="D148" s="8">
        <v>7737</v>
      </c>
      <c r="E148" s="11">
        <v>18526</v>
      </c>
      <c r="F148" s="8"/>
      <c r="G148" s="8"/>
      <c r="H148" s="8"/>
      <c r="I148" s="8"/>
    </row>
    <row r="149" customHeight="1" spans="1:9">
      <c r="A149" s="8">
        <v>148</v>
      </c>
      <c r="B149" s="8">
        <v>4888</v>
      </c>
      <c r="C149" s="8">
        <v>6103</v>
      </c>
      <c r="D149" s="8">
        <v>7853</v>
      </c>
      <c r="E149" s="11">
        <v>18806</v>
      </c>
      <c r="F149" s="8"/>
      <c r="G149" s="8"/>
      <c r="H149" s="8"/>
      <c r="I149" s="8"/>
    </row>
    <row r="150" customHeight="1" spans="1:9">
      <c r="A150" s="8">
        <v>149</v>
      </c>
      <c r="B150" s="8">
        <v>4969</v>
      </c>
      <c r="C150" s="8">
        <v>6199</v>
      </c>
      <c r="D150" s="8">
        <v>7969</v>
      </c>
      <c r="E150" s="11">
        <v>19086</v>
      </c>
      <c r="F150" s="8"/>
      <c r="G150" s="8"/>
      <c r="H150" s="8"/>
      <c r="I150" s="8"/>
    </row>
    <row r="151" customHeight="1" spans="1:9">
      <c r="A151" s="8">
        <v>150</v>
      </c>
      <c r="B151" s="8">
        <v>5050</v>
      </c>
      <c r="C151" s="8">
        <v>6295</v>
      </c>
      <c r="D151" s="8">
        <v>8085</v>
      </c>
      <c r="E151" s="11">
        <v>19366</v>
      </c>
      <c r="F151" s="8"/>
      <c r="G151" s="8"/>
      <c r="H151" s="8"/>
      <c r="I151" s="8"/>
    </row>
    <row r="152" customHeight="1" spans="1:9">
      <c r="A152" s="8">
        <v>151</v>
      </c>
      <c r="B152" s="8">
        <v>5131</v>
      </c>
      <c r="C152" s="8">
        <v>6391</v>
      </c>
      <c r="D152" s="8">
        <v>8201</v>
      </c>
      <c r="E152" s="11">
        <v>19646</v>
      </c>
      <c r="F152" s="8"/>
      <c r="G152" s="8"/>
      <c r="H152" s="8"/>
      <c r="I152" s="8"/>
    </row>
    <row r="153" customHeight="1" spans="1:9">
      <c r="A153" s="8">
        <v>152</v>
      </c>
      <c r="B153" s="8">
        <v>5212</v>
      </c>
      <c r="C153" s="8">
        <v>6487</v>
      </c>
      <c r="D153" s="8">
        <v>8317</v>
      </c>
      <c r="E153" s="11">
        <v>19926</v>
      </c>
      <c r="F153" s="8"/>
      <c r="G153" s="8"/>
      <c r="H153" s="8"/>
      <c r="I153" s="8"/>
    </row>
    <row r="154" customHeight="1" spans="1:9">
      <c r="A154" s="8">
        <v>153</v>
      </c>
      <c r="B154" s="8">
        <v>5293</v>
      </c>
      <c r="C154" s="8">
        <v>6583</v>
      </c>
      <c r="D154" s="8">
        <v>8433</v>
      </c>
      <c r="E154" s="11">
        <v>20206</v>
      </c>
      <c r="F154" s="8"/>
      <c r="G154" s="8"/>
      <c r="H154" s="8"/>
      <c r="I154" s="8"/>
    </row>
    <row r="155" customHeight="1" spans="1:9">
      <c r="A155" s="8">
        <v>154</v>
      </c>
      <c r="B155" s="8">
        <v>5374</v>
      </c>
      <c r="C155" s="8">
        <v>6679</v>
      </c>
      <c r="D155" s="8">
        <v>8549</v>
      </c>
      <c r="E155" s="11">
        <v>20486</v>
      </c>
      <c r="F155" s="8"/>
      <c r="G155" s="8"/>
      <c r="H155" s="8"/>
      <c r="I155" s="8"/>
    </row>
    <row r="156" customHeight="1" spans="1:9">
      <c r="A156" s="8">
        <v>155</v>
      </c>
      <c r="B156" s="8">
        <v>5455</v>
      </c>
      <c r="C156" s="8">
        <v>6775</v>
      </c>
      <c r="D156" s="8">
        <v>8665</v>
      </c>
      <c r="E156" s="11">
        <v>20786</v>
      </c>
      <c r="F156" s="8"/>
      <c r="G156" s="8"/>
      <c r="H156" s="8"/>
      <c r="I156" s="8"/>
    </row>
    <row r="157" customHeight="1" spans="1:9">
      <c r="A157" s="8">
        <v>156</v>
      </c>
      <c r="B157" s="8">
        <v>5536</v>
      </c>
      <c r="C157" s="8">
        <v>6871</v>
      </c>
      <c r="D157" s="8">
        <v>8781</v>
      </c>
      <c r="E157" s="11">
        <v>21086</v>
      </c>
      <c r="F157" s="8"/>
      <c r="G157" s="8"/>
      <c r="H157" s="8"/>
      <c r="I157" s="8"/>
    </row>
    <row r="158" customHeight="1" spans="1:9">
      <c r="A158" s="8">
        <v>157</v>
      </c>
      <c r="B158" s="8">
        <v>5617</v>
      </c>
      <c r="C158" s="8">
        <v>6967</v>
      </c>
      <c r="D158" s="8">
        <v>8897</v>
      </c>
      <c r="E158" s="11">
        <v>21386</v>
      </c>
      <c r="F158" s="8"/>
      <c r="G158" s="8"/>
      <c r="H158" s="8"/>
      <c r="I158" s="8"/>
    </row>
    <row r="159" customHeight="1" spans="1:9">
      <c r="A159" s="8">
        <v>158</v>
      </c>
      <c r="B159" s="8">
        <v>5698</v>
      </c>
      <c r="C159" s="8">
        <v>7063</v>
      </c>
      <c r="D159" s="8">
        <v>9013</v>
      </c>
      <c r="E159" s="11">
        <v>21686</v>
      </c>
      <c r="F159" s="8"/>
      <c r="G159" s="8"/>
      <c r="H159" s="8"/>
      <c r="I159" s="8"/>
    </row>
    <row r="160" customHeight="1" spans="1:9">
      <c r="A160" s="8">
        <v>159</v>
      </c>
      <c r="B160" s="8">
        <v>5779</v>
      </c>
      <c r="C160" s="8">
        <v>7159</v>
      </c>
      <c r="D160" s="8">
        <v>9129</v>
      </c>
      <c r="E160" s="11">
        <v>21986</v>
      </c>
      <c r="F160" s="8"/>
      <c r="G160" s="8"/>
      <c r="H160" s="8"/>
      <c r="I160" s="8"/>
    </row>
    <row r="161" customHeight="1" spans="1:9">
      <c r="A161" s="8">
        <v>160</v>
      </c>
      <c r="B161" s="8">
        <v>5860</v>
      </c>
      <c r="C161" s="8">
        <v>7255</v>
      </c>
      <c r="D161" s="8">
        <v>9245</v>
      </c>
      <c r="E161" s="11">
        <v>22286</v>
      </c>
      <c r="F161" s="8"/>
      <c r="G161" s="8"/>
      <c r="H161" s="8"/>
      <c r="I161" s="8"/>
    </row>
    <row r="162" customHeight="1" spans="1:9">
      <c r="A162" s="8">
        <v>161</v>
      </c>
      <c r="B162" s="8">
        <v>5941</v>
      </c>
      <c r="C162" s="8">
        <v>7351</v>
      </c>
      <c r="D162" s="8">
        <v>9361</v>
      </c>
      <c r="E162" s="11">
        <v>22586</v>
      </c>
      <c r="F162" s="8"/>
      <c r="G162" s="8"/>
      <c r="H162" s="8"/>
      <c r="I162" s="8"/>
    </row>
    <row r="163" customHeight="1" spans="1:9">
      <c r="A163" s="8">
        <v>162</v>
      </c>
      <c r="B163" s="8">
        <v>6022</v>
      </c>
      <c r="C163" s="8">
        <v>7447</v>
      </c>
      <c r="D163" s="8">
        <v>9477</v>
      </c>
      <c r="E163" s="11">
        <v>22886</v>
      </c>
      <c r="F163" s="8"/>
      <c r="G163" s="8"/>
      <c r="H163" s="8"/>
      <c r="I163" s="8"/>
    </row>
    <row r="164" customHeight="1" spans="1:9">
      <c r="A164" s="8">
        <v>163</v>
      </c>
      <c r="B164" s="8">
        <v>6103</v>
      </c>
      <c r="C164" s="8">
        <v>7543</v>
      </c>
      <c r="D164" s="8">
        <v>9593</v>
      </c>
      <c r="E164" s="11">
        <v>23186</v>
      </c>
      <c r="F164" s="8"/>
      <c r="G164" s="8"/>
      <c r="H164" s="8"/>
      <c r="I164" s="8"/>
    </row>
    <row r="165" customHeight="1" spans="1:9">
      <c r="A165" s="8">
        <v>164</v>
      </c>
      <c r="B165" s="8">
        <v>6184</v>
      </c>
      <c r="C165" s="8">
        <v>7639</v>
      </c>
      <c r="D165" s="8">
        <v>9709</v>
      </c>
      <c r="E165" s="11">
        <v>23486</v>
      </c>
      <c r="F165" s="8"/>
      <c r="G165" s="8"/>
      <c r="H165" s="8"/>
      <c r="I165" s="8"/>
    </row>
    <row r="166" customHeight="1" spans="1:9">
      <c r="A166" s="8">
        <v>165</v>
      </c>
      <c r="B166" s="8">
        <v>6265</v>
      </c>
      <c r="C166" s="8">
        <v>7735</v>
      </c>
      <c r="D166" s="8">
        <v>9825</v>
      </c>
      <c r="E166" s="11">
        <v>23786</v>
      </c>
      <c r="F166" s="8"/>
      <c r="G166" s="8"/>
      <c r="H166" s="8"/>
      <c r="I166" s="8"/>
    </row>
    <row r="167" customHeight="1" spans="1:9">
      <c r="A167" s="8">
        <v>166</v>
      </c>
      <c r="B167" s="8">
        <v>6346</v>
      </c>
      <c r="C167" s="8">
        <v>7831</v>
      </c>
      <c r="D167" s="8">
        <v>9941</v>
      </c>
      <c r="E167" s="11">
        <v>24086</v>
      </c>
      <c r="F167" s="8"/>
      <c r="G167" s="8"/>
      <c r="H167" s="8"/>
      <c r="I167" s="8"/>
    </row>
    <row r="168" customHeight="1" spans="1:9">
      <c r="A168" s="8">
        <v>167</v>
      </c>
      <c r="B168" s="8">
        <v>6427</v>
      </c>
      <c r="C168" s="8">
        <v>7927</v>
      </c>
      <c r="D168" s="8">
        <v>10057</v>
      </c>
      <c r="E168" s="11">
        <v>24386</v>
      </c>
      <c r="F168" s="8"/>
      <c r="G168" s="8"/>
      <c r="H168" s="8"/>
      <c r="I168" s="8"/>
    </row>
    <row r="169" customHeight="1" spans="1:9">
      <c r="A169" s="8">
        <v>168</v>
      </c>
      <c r="B169" s="8">
        <v>6508</v>
      </c>
      <c r="C169" s="8">
        <v>8023</v>
      </c>
      <c r="D169" s="8">
        <v>10173</v>
      </c>
      <c r="E169" s="11">
        <v>24706</v>
      </c>
      <c r="F169" s="8"/>
      <c r="G169" s="8"/>
      <c r="H169" s="8"/>
      <c r="I169" s="8"/>
    </row>
    <row r="170" customHeight="1" spans="1:9">
      <c r="A170" s="8">
        <v>169</v>
      </c>
      <c r="B170" s="8">
        <v>6589</v>
      </c>
      <c r="C170" s="8">
        <v>8119</v>
      </c>
      <c r="D170" s="8">
        <v>10289</v>
      </c>
      <c r="E170" s="11">
        <v>25026</v>
      </c>
      <c r="F170" s="8"/>
      <c r="G170" s="8"/>
      <c r="H170" s="8"/>
      <c r="I170" s="8"/>
    </row>
    <row r="171" customHeight="1" spans="1:9">
      <c r="A171" s="8">
        <v>170</v>
      </c>
      <c r="B171" s="8">
        <v>6670</v>
      </c>
      <c r="C171" s="8">
        <v>8215</v>
      </c>
      <c r="D171" s="8">
        <v>10405</v>
      </c>
      <c r="E171" s="11">
        <v>25346</v>
      </c>
      <c r="F171" s="8"/>
      <c r="G171" s="8"/>
      <c r="H171" s="8"/>
      <c r="I171" s="8"/>
    </row>
    <row r="172" customHeight="1" spans="1:9">
      <c r="A172" s="8">
        <v>171</v>
      </c>
      <c r="B172" s="8">
        <v>6751</v>
      </c>
      <c r="C172" s="8">
        <v>8311</v>
      </c>
      <c r="D172" s="8">
        <v>10521</v>
      </c>
      <c r="E172" s="11">
        <v>25666</v>
      </c>
      <c r="F172" s="8"/>
      <c r="G172" s="8"/>
      <c r="H172" s="8"/>
      <c r="I172" s="8"/>
    </row>
    <row r="173" customHeight="1" spans="1:9">
      <c r="A173" s="8">
        <v>172</v>
      </c>
      <c r="B173" s="8">
        <v>6832</v>
      </c>
      <c r="C173" s="8">
        <v>8407</v>
      </c>
      <c r="D173" s="8">
        <v>10637</v>
      </c>
      <c r="E173" s="11">
        <v>25986</v>
      </c>
      <c r="F173" s="8"/>
      <c r="G173" s="8"/>
      <c r="H173" s="8"/>
      <c r="I173" s="8"/>
    </row>
    <row r="174" customHeight="1" spans="1:9">
      <c r="A174" s="8">
        <v>173</v>
      </c>
      <c r="B174" s="8">
        <v>6913</v>
      </c>
      <c r="C174" s="8">
        <v>8503</v>
      </c>
      <c r="D174" s="8">
        <v>10753</v>
      </c>
      <c r="E174" s="11">
        <v>26306</v>
      </c>
      <c r="F174" s="8"/>
      <c r="G174" s="8"/>
      <c r="H174" s="8"/>
      <c r="I174" s="8"/>
    </row>
    <row r="175" customHeight="1" spans="1:9">
      <c r="A175" s="8">
        <v>174</v>
      </c>
      <c r="B175" s="8">
        <v>6994</v>
      </c>
      <c r="C175" s="8">
        <v>8599</v>
      </c>
      <c r="D175" s="8">
        <v>10869</v>
      </c>
      <c r="E175" s="11">
        <v>26626</v>
      </c>
      <c r="F175" s="8"/>
      <c r="G175" s="8"/>
      <c r="H175" s="8"/>
      <c r="I175" s="8"/>
    </row>
    <row r="176" customHeight="1" spans="1:9">
      <c r="A176" s="8">
        <v>175</v>
      </c>
      <c r="B176" s="8">
        <v>7075</v>
      </c>
      <c r="C176" s="8">
        <v>8695</v>
      </c>
      <c r="D176" s="8">
        <v>10985</v>
      </c>
      <c r="E176" s="11">
        <v>26946</v>
      </c>
      <c r="F176" s="8"/>
      <c r="G176" s="8"/>
      <c r="H176" s="8"/>
      <c r="I176" s="8"/>
    </row>
    <row r="177" customHeight="1" spans="1:9">
      <c r="A177" s="8">
        <v>176</v>
      </c>
      <c r="B177" s="8">
        <v>7156</v>
      </c>
      <c r="C177" s="8">
        <v>8791</v>
      </c>
      <c r="D177" s="8">
        <v>11101</v>
      </c>
      <c r="E177" s="11">
        <v>27266</v>
      </c>
      <c r="F177" s="8"/>
      <c r="G177" s="8"/>
      <c r="H177" s="8"/>
      <c r="I177" s="8"/>
    </row>
    <row r="178" customHeight="1" spans="1:9">
      <c r="A178" s="8">
        <v>177</v>
      </c>
      <c r="B178" s="8">
        <v>7237</v>
      </c>
      <c r="C178" s="8">
        <v>8887</v>
      </c>
      <c r="D178" s="8">
        <v>11217</v>
      </c>
      <c r="E178" s="11">
        <v>27586</v>
      </c>
      <c r="F178" s="8"/>
      <c r="G178" s="8"/>
      <c r="H178" s="8"/>
      <c r="I178" s="8"/>
    </row>
    <row r="179" customHeight="1" spans="1:9">
      <c r="A179" s="8">
        <v>178</v>
      </c>
      <c r="B179" s="8">
        <v>7318</v>
      </c>
      <c r="C179" s="8">
        <v>8983</v>
      </c>
      <c r="D179" s="8">
        <v>11333</v>
      </c>
      <c r="E179" s="11">
        <v>27906</v>
      </c>
      <c r="F179" s="8"/>
      <c r="G179" s="8"/>
      <c r="H179" s="8"/>
      <c r="I179" s="8"/>
    </row>
    <row r="180" customHeight="1" spans="1:9">
      <c r="A180" s="8">
        <v>179</v>
      </c>
      <c r="B180" s="8">
        <v>7399</v>
      </c>
      <c r="C180" s="8">
        <v>9079</v>
      </c>
      <c r="D180" s="8">
        <v>11449</v>
      </c>
      <c r="E180" s="11">
        <v>28226</v>
      </c>
      <c r="F180" s="8"/>
      <c r="G180" s="8"/>
      <c r="H180" s="8"/>
      <c r="I180" s="8"/>
    </row>
    <row r="181" customHeight="1" spans="1:9">
      <c r="A181" s="8">
        <v>180</v>
      </c>
      <c r="B181" s="8">
        <v>7480</v>
      </c>
      <c r="C181" s="8">
        <v>9175</v>
      </c>
      <c r="D181" s="8">
        <v>11565</v>
      </c>
      <c r="E181" s="11">
        <v>28546</v>
      </c>
      <c r="F181" s="8"/>
      <c r="G181" s="8"/>
      <c r="H181" s="8"/>
      <c r="I181" s="8"/>
    </row>
    <row r="182" customHeight="1" spans="1:9">
      <c r="A182" s="8">
        <v>181</v>
      </c>
      <c r="B182" s="8">
        <v>7561</v>
      </c>
      <c r="C182" s="8">
        <v>9271</v>
      </c>
      <c r="D182" s="8">
        <v>11681</v>
      </c>
      <c r="E182" s="11">
        <v>28866</v>
      </c>
      <c r="F182" s="8"/>
      <c r="G182" s="8"/>
      <c r="H182" s="8"/>
      <c r="I182" s="8"/>
    </row>
    <row r="183" customHeight="1" spans="1:9">
      <c r="A183" s="8">
        <v>182</v>
      </c>
      <c r="B183" s="8">
        <v>7642</v>
      </c>
      <c r="C183" s="8">
        <v>9367</v>
      </c>
      <c r="D183" s="8">
        <v>11797</v>
      </c>
      <c r="E183" s="11">
        <v>29186</v>
      </c>
      <c r="F183" s="8"/>
      <c r="G183" s="8"/>
      <c r="H183" s="8"/>
      <c r="I183" s="8"/>
    </row>
    <row r="184" customHeight="1" spans="1:9">
      <c r="A184" s="8">
        <v>183</v>
      </c>
      <c r="B184" s="8">
        <v>7723</v>
      </c>
      <c r="C184" s="8">
        <v>9463</v>
      </c>
      <c r="D184" s="8">
        <v>11913</v>
      </c>
      <c r="E184" s="11">
        <v>29506</v>
      </c>
      <c r="F184" s="8"/>
      <c r="G184" s="8"/>
      <c r="H184" s="8"/>
      <c r="I184" s="8"/>
    </row>
    <row r="185" customHeight="1" spans="1:9">
      <c r="A185" s="8">
        <v>184</v>
      </c>
      <c r="B185" s="8">
        <v>7804</v>
      </c>
      <c r="C185" s="8">
        <v>9559</v>
      </c>
      <c r="D185" s="8">
        <v>12029</v>
      </c>
      <c r="E185" s="11">
        <v>29846</v>
      </c>
      <c r="F185" s="8"/>
      <c r="G185" s="8"/>
      <c r="H185" s="8"/>
      <c r="I185" s="8"/>
    </row>
    <row r="186" customHeight="1" spans="1:9">
      <c r="A186" s="8">
        <v>185</v>
      </c>
      <c r="B186" s="8">
        <v>7885</v>
      </c>
      <c r="C186" s="8">
        <v>9655</v>
      </c>
      <c r="D186" s="8">
        <v>12145</v>
      </c>
      <c r="E186" s="11">
        <v>30186</v>
      </c>
      <c r="F186" s="8"/>
      <c r="G186" s="8"/>
      <c r="H186" s="8"/>
      <c r="I186" s="8"/>
    </row>
    <row r="187" customHeight="1" spans="1:9">
      <c r="A187" s="8">
        <v>186</v>
      </c>
      <c r="B187" s="8">
        <v>7966</v>
      </c>
      <c r="C187" s="8">
        <v>9751</v>
      </c>
      <c r="D187" s="8">
        <v>12261</v>
      </c>
      <c r="E187" s="11">
        <v>30526</v>
      </c>
      <c r="F187" s="8"/>
      <c r="G187" s="8"/>
      <c r="H187" s="8"/>
      <c r="I187" s="8"/>
    </row>
    <row r="188" customHeight="1" spans="1:9">
      <c r="A188" s="8">
        <v>187</v>
      </c>
      <c r="B188" s="8">
        <v>8047</v>
      </c>
      <c r="C188" s="8">
        <v>9847</v>
      </c>
      <c r="D188" s="8">
        <v>12377</v>
      </c>
      <c r="E188" s="11">
        <v>30866</v>
      </c>
      <c r="F188" s="8"/>
      <c r="G188" s="8"/>
      <c r="H188" s="8"/>
      <c r="I188" s="8"/>
    </row>
    <row r="189" customHeight="1" spans="1:9">
      <c r="A189" s="8">
        <v>188</v>
      </c>
      <c r="B189" s="8">
        <v>8128</v>
      </c>
      <c r="C189" s="8">
        <v>9943</v>
      </c>
      <c r="D189" s="8">
        <v>12493</v>
      </c>
      <c r="E189" s="11">
        <v>31206</v>
      </c>
      <c r="F189" s="8"/>
      <c r="G189" s="8"/>
      <c r="H189" s="8"/>
      <c r="I189" s="8"/>
    </row>
    <row r="190" customHeight="1" spans="1:9">
      <c r="A190" s="8">
        <v>189</v>
      </c>
      <c r="B190" s="8">
        <v>8209</v>
      </c>
      <c r="C190" s="8">
        <v>10039</v>
      </c>
      <c r="D190" s="8">
        <v>12609</v>
      </c>
      <c r="E190" s="11">
        <v>31546</v>
      </c>
      <c r="F190" s="8"/>
      <c r="G190" s="8"/>
      <c r="H190" s="8"/>
      <c r="I190" s="8"/>
    </row>
    <row r="191" customHeight="1" spans="1:9">
      <c r="A191" s="8">
        <v>190</v>
      </c>
      <c r="B191" s="8">
        <v>8290</v>
      </c>
      <c r="C191" s="8">
        <v>10135</v>
      </c>
      <c r="D191" s="8">
        <v>12725</v>
      </c>
      <c r="E191" s="11">
        <v>31886</v>
      </c>
      <c r="F191" s="8"/>
      <c r="G191" s="8"/>
      <c r="H191" s="8"/>
      <c r="I191" s="8"/>
    </row>
    <row r="192" customHeight="1" spans="1:9">
      <c r="A192" s="8">
        <v>191</v>
      </c>
      <c r="B192" s="8">
        <v>8371</v>
      </c>
      <c r="C192" s="8">
        <v>10231</v>
      </c>
      <c r="D192" s="8">
        <v>12841</v>
      </c>
      <c r="E192" s="11">
        <v>32226</v>
      </c>
      <c r="F192" s="8"/>
      <c r="G192" s="8"/>
      <c r="H192" s="8"/>
      <c r="I192" s="8"/>
    </row>
    <row r="193" customHeight="1" spans="1:9">
      <c r="A193" s="8">
        <v>192</v>
      </c>
      <c r="B193" s="8">
        <v>8452</v>
      </c>
      <c r="C193" s="8">
        <v>10327</v>
      </c>
      <c r="D193" s="8">
        <v>12957</v>
      </c>
      <c r="E193" s="11">
        <v>32566</v>
      </c>
      <c r="F193" s="8"/>
      <c r="G193" s="8"/>
      <c r="H193" s="8"/>
      <c r="I193" s="8"/>
    </row>
    <row r="194" customHeight="1" spans="1:9">
      <c r="A194" s="8">
        <v>193</v>
      </c>
      <c r="B194" s="8">
        <v>8533</v>
      </c>
      <c r="C194" s="8">
        <v>10423</v>
      </c>
      <c r="D194" s="8">
        <v>13073</v>
      </c>
      <c r="E194" s="11">
        <v>32906</v>
      </c>
      <c r="F194" s="8"/>
      <c r="G194" s="8"/>
      <c r="H194" s="8"/>
      <c r="I194" s="8"/>
    </row>
    <row r="195" customHeight="1" spans="1:9">
      <c r="A195" s="8">
        <v>194</v>
      </c>
      <c r="B195" s="8">
        <v>8614</v>
      </c>
      <c r="C195" s="8">
        <v>10519</v>
      </c>
      <c r="D195" s="8">
        <v>13189</v>
      </c>
      <c r="E195" s="11">
        <v>33246</v>
      </c>
      <c r="F195" s="8"/>
      <c r="G195" s="8"/>
      <c r="H195" s="8"/>
      <c r="I195" s="8"/>
    </row>
    <row r="196" customHeight="1" spans="1:9">
      <c r="A196" s="8">
        <v>195</v>
      </c>
      <c r="B196" s="8">
        <v>8695</v>
      </c>
      <c r="C196" s="8">
        <v>10615</v>
      </c>
      <c r="D196" s="8">
        <v>13305</v>
      </c>
      <c r="E196" s="11">
        <v>33586</v>
      </c>
      <c r="F196" s="8"/>
      <c r="G196" s="8"/>
      <c r="H196" s="8"/>
      <c r="I196" s="8"/>
    </row>
    <row r="197" customHeight="1" spans="1:9">
      <c r="A197" s="8">
        <v>196</v>
      </c>
      <c r="B197" s="8">
        <v>8776</v>
      </c>
      <c r="C197" s="8">
        <v>10711</v>
      </c>
      <c r="D197" s="8">
        <v>13421</v>
      </c>
      <c r="E197" s="11">
        <v>33926</v>
      </c>
      <c r="F197" s="8"/>
      <c r="G197" s="8"/>
      <c r="H197" s="8"/>
      <c r="I197" s="8"/>
    </row>
    <row r="198" customHeight="1" spans="1:9">
      <c r="A198" s="8">
        <v>197</v>
      </c>
      <c r="B198" s="8">
        <v>8857</v>
      </c>
      <c r="C198" s="8">
        <v>10807</v>
      </c>
      <c r="D198" s="8">
        <v>13537</v>
      </c>
      <c r="E198" s="11">
        <v>34266</v>
      </c>
      <c r="F198" s="8"/>
      <c r="G198" s="8"/>
      <c r="H198" s="8"/>
      <c r="I198" s="8"/>
    </row>
    <row r="199" customHeight="1" spans="1:9">
      <c r="A199" s="8">
        <v>198</v>
      </c>
      <c r="B199" s="8">
        <v>8938</v>
      </c>
      <c r="C199" s="8">
        <v>10903</v>
      </c>
      <c r="D199" s="8">
        <v>13653</v>
      </c>
      <c r="E199" s="11">
        <v>34626</v>
      </c>
      <c r="F199" s="8"/>
      <c r="G199" s="8"/>
      <c r="H199" s="8"/>
      <c r="I199" s="8"/>
    </row>
    <row r="200" customHeight="1" spans="1:9">
      <c r="A200" s="8">
        <v>199</v>
      </c>
      <c r="B200" s="8">
        <v>9019</v>
      </c>
      <c r="C200" s="8">
        <v>10999</v>
      </c>
      <c r="D200" s="8">
        <v>13769</v>
      </c>
      <c r="E200" s="11">
        <v>34976</v>
      </c>
      <c r="F200" s="8"/>
      <c r="G200" s="8"/>
      <c r="H200" s="8"/>
      <c r="I200" s="8"/>
    </row>
    <row r="201" customHeight="1" spans="1:9">
      <c r="A201" s="8">
        <v>200</v>
      </c>
      <c r="B201" s="8">
        <v>9100</v>
      </c>
      <c r="C201" s="8">
        <v>11095</v>
      </c>
      <c r="D201" s="8">
        <v>13885</v>
      </c>
      <c r="E201" s="11">
        <v>35326</v>
      </c>
      <c r="F201" s="8"/>
      <c r="G201" s="8"/>
      <c r="H201" s="8"/>
      <c r="I201" s="8"/>
    </row>
    <row r="202" customHeight="1" spans="1:9">
      <c r="A202" s="8">
        <v>201</v>
      </c>
      <c r="B202" s="8"/>
      <c r="C202" s="8"/>
      <c r="D202" s="8">
        <v>14401</v>
      </c>
      <c r="E202" s="11">
        <v>35676</v>
      </c>
      <c r="F202" s="8"/>
      <c r="G202" s="8"/>
      <c r="H202" s="8"/>
      <c r="I202" s="8"/>
    </row>
    <row r="203" customHeight="1" spans="1:9">
      <c r="A203" s="8">
        <v>202</v>
      </c>
      <c r="B203" s="8"/>
      <c r="C203" s="8"/>
      <c r="D203" s="8">
        <v>14117</v>
      </c>
      <c r="E203" s="11">
        <v>36026</v>
      </c>
      <c r="F203" s="8"/>
      <c r="G203" s="8"/>
      <c r="H203" s="8"/>
      <c r="I203" s="8"/>
    </row>
    <row r="204" customHeight="1" spans="1:9">
      <c r="A204" s="8">
        <v>203</v>
      </c>
      <c r="B204" s="8"/>
      <c r="C204" s="8"/>
      <c r="D204" s="8">
        <v>14233</v>
      </c>
      <c r="E204" s="11">
        <v>36376</v>
      </c>
      <c r="F204" s="8"/>
      <c r="G204" s="8"/>
      <c r="H204" s="8"/>
      <c r="I204" s="8"/>
    </row>
    <row r="205" customHeight="1" spans="1:9">
      <c r="A205" s="8">
        <v>204</v>
      </c>
      <c r="B205" s="8"/>
      <c r="C205" s="8"/>
      <c r="D205" s="8">
        <v>14349</v>
      </c>
      <c r="E205" s="11">
        <v>36726</v>
      </c>
      <c r="F205" s="8"/>
      <c r="G205" s="8"/>
      <c r="H205" s="8"/>
      <c r="I205" s="8"/>
    </row>
    <row r="206" customHeight="1" spans="1:9">
      <c r="A206" s="8">
        <v>205</v>
      </c>
      <c r="B206" s="8"/>
      <c r="C206" s="8"/>
      <c r="D206" s="8">
        <v>14779</v>
      </c>
      <c r="E206" s="11">
        <v>37827</v>
      </c>
      <c r="F206" s="8"/>
      <c r="G206" s="8"/>
      <c r="H206" s="8"/>
      <c r="I206" s="8"/>
    </row>
    <row r="207" customHeight="1" spans="1:9">
      <c r="A207" s="8">
        <v>206</v>
      </c>
      <c r="B207" s="8"/>
      <c r="C207" s="8"/>
      <c r="D207" s="8">
        <v>15209</v>
      </c>
      <c r="E207" s="11">
        <v>38929</v>
      </c>
      <c r="F207" s="8"/>
      <c r="G207" s="8"/>
      <c r="H207" s="8"/>
      <c r="I207" s="8"/>
    </row>
    <row r="208" customHeight="1" spans="1:9">
      <c r="A208" s="8">
        <v>207</v>
      </c>
      <c r="B208" s="8"/>
      <c r="C208" s="8"/>
      <c r="D208" s="8">
        <v>15640</v>
      </c>
      <c r="E208" s="11">
        <v>40031</v>
      </c>
      <c r="F208" s="8"/>
      <c r="G208" s="8"/>
      <c r="H208" s="8"/>
      <c r="I208" s="8"/>
    </row>
    <row r="209" customHeight="1" spans="1:9">
      <c r="A209" s="8">
        <v>208</v>
      </c>
      <c r="B209" s="8"/>
      <c r="C209" s="8"/>
      <c r="D209" s="8">
        <v>16070</v>
      </c>
      <c r="E209" s="11">
        <v>41132</v>
      </c>
      <c r="F209" s="8"/>
      <c r="G209" s="8"/>
      <c r="H209" s="8"/>
      <c r="I209" s="8"/>
    </row>
    <row r="210" customHeight="1" spans="1:9">
      <c r="A210" s="8">
        <v>209</v>
      </c>
      <c r="B210" s="8"/>
      <c r="C210" s="8"/>
      <c r="D210" s="8">
        <v>16501</v>
      </c>
      <c r="E210" s="11">
        <v>42234</v>
      </c>
      <c r="F210" s="8"/>
      <c r="G210" s="8"/>
      <c r="H210" s="8"/>
      <c r="I210" s="8"/>
    </row>
    <row r="211" customHeight="1" spans="1:9">
      <c r="A211" s="8">
        <v>210</v>
      </c>
      <c r="B211" s="8"/>
      <c r="C211" s="8"/>
      <c r="D211" s="8">
        <v>16931</v>
      </c>
      <c r="E211" s="11">
        <v>43335</v>
      </c>
      <c r="F211" s="8"/>
      <c r="G211" s="8"/>
      <c r="H211" s="8"/>
      <c r="I211" s="8"/>
    </row>
    <row r="212" customHeight="1" spans="1:9">
      <c r="A212" s="8">
        <v>211</v>
      </c>
      <c r="B212" s="8"/>
      <c r="C212" s="8"/>
      <c r="D212" s="8">
        <v>17362</v>
      </c>
      <c r="E212" s="11">
        <v>44437</v>
      </c>
      <c r="F212" s="8"/>
      <c r="G212" s="8"/>
      <c r="H212" s="8"/>
      <c r="I212" s="8"/>
    </row>
    <row r="213" customHeight="1" spans="1:9">
      <c r="A213" s="8">
        <v>212</v>
      </c>
      <c r="B213" s="8"/>
      <c r="C213" s="8"/>
      <c r="D213" s="8">
        <v>17792</v>
      </c>
      <c r="E213" s="11">
        <v>45539</v>
      </c>
      <c r="F213" s="8"/>
      <c r="G213" s="8"/>
      <c r="H213" s="8"/>
      <c r="I213" s="8"/>
    </row>
    <row r="214" customHeight="1" spans="1:9">
      <c r="A214" s="8">
        <v>213</v>
      </c>
      <c r="B214" s="8"/>
      <c r="C214" s="8"/>
      <c r="D214" s="8">
        <v>18223</v>
      </c>
      <c r="E214" s="11">
        <v>46641</v>
      </c>
      <c r="F214" s="8"/>
      <c r="G214" s="8"/>
      <c r="H214" s="8"/>
      <c r="I214" s="8"/>
    </row>
    <row r="215" customHeight="1" spans="1:9">
      <c r="A215" s="8">
        <v>214</v>
      </c>
      <c r="B215" s="8"/>
      <c r="C215" s="8"/>
      <c r="D215" s="8">
        <v>18653</v>
      </c>
      <c r="E215" s="11">
        <v>47743</v>
      </c>
      <c r="F215" s="8"/>
      <c r="G215" s="8"/>
      <c r="H215" s="8"/>
      <c r="I215" s="8"/>
    </row>
    <row r="216" customHeight="1" spans="1:9">
      <c r="A216" s="22"/>
      <c r="B216" s="22"/>
      <c r="C216" s="22"/>
      <c r="D216" s="22"/>
      <c r="E216" s="22"/>
      <c r="F216" s="22"/>
      <c r="G216" s="22"/>
      <c r="H216" s="22"/>
      <c r="I216" s="22"/>
    </row>
    <row r="217" customHeight="1" spans="1:5">
      <c r="A217" s="6"/>
      <c r="B217" s="6"/>
      <c r="C217" s="6"/>
      <c r="D217" s="6"/>
      <c r="E217" s="6"/>
    </row>
    <row r="218" customHeight="1" spans="1:5">
      <c r="A218" s="6"/>
      <c r="B218" s="6"/>
      <c r="C218" s="6"/>
      <c r="D218" s="6"/>
      <c r="E218" s="6"/>
    </row>
    <row r="219" customHeight="1" spans="1:5">
      <c r="A219" s="6"/>
      <c r="B219" s="6"/>
      <c r="C219" s="6"/>
      <c r="D219" s="6"/>
      <c r="E219" s="6"/>
    </row>
    <row r="220" customHeight="1" spans="1:5">
      <c r="A220" s="6"/>
      <c r="B220" s="6"/>
      <c r="C220" s="6"/>
      <c r="D220" s="6"/>
      <c r="E220" s="6"/>
    </row>
    <row r="221" customHeight="1" spans="1:5">
      <c r="A221" s="6"/>
      <c r="B221" s="6"/>
      <c r="C221" s="6"/>
      <c r="D221" s="6"/>
      <c r="E221" s="6"/>
    </row>
  </sheetData>
  <sheetProtection algorithmName="SHA-512" hashValue="DPL3xPAt4U/oRLZqQd0/BSOBulmyx6XHWpdhx7OcLRWg15+mUAKRTbO/uym4rSfJaGkOV8yWJEoFEIRW2gZT1Q==" saltValue="WlgTutvwF1PzG48gDZ7o1A==" spinCount="100000" sheet="1" selectLockedCells="1" objects="1" scenarios="1"/>
  <protectedRanges>
    <protectedRange sqref="B187:B210 C202:I210" name="区域1" securityDescriptor=""/>
    <protectedRange sqref="C172:C201" name="区域1_1" securityDescriptor=""/>
    <protectedRange sqref="D163:D201" name="区域1_2" securityDescriptor=""/>
  </protectedRanges>
  <mergeCells count="1">
    <mergeCell ref="L2:M2"/>
  </mergeCells>
  <pageMargins left="0.699305555555556" right="0.699305555555556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49"/>
  <sheetViews>
    <sheetView tabSelected="1" workbookViewId="0">
      <selection activeCell="K11" sqref="K11:L12"/>
    </sheetView>
  </sheetViews>
  <sheetFormatPr defaultColWidth="9" defaultRowHeight="13.5"/>
  <cols>
    <col min="3" max="3" width="15.875" customWidth="1"/>
    <col min="4" max="4" width="13.125" customWidth="1"/>
    <col min="5" max="5" width="13.875" customWidth="1"/>
    <col min="6" max="6" width="12.125" customWidth="1"/>
  </cols>
  <sheetData>
    <row r="1" ht="42" customHeight="1" spans="2:11">
      <c r="B1" s="1"/>
      <c r="C1" s="1" t="s">
        <v>698</v>
      </c>
      <c r="D1" s="1" t="s">
        <v>699</v>
      </c>
      <c r="E1" s="1" t="s">
        <v>700</v>
      </c>
      <c r="F1" s="1" t="s">
        <v>701</v>
      </c>
      <c r="G1" s="1" t="s">
        <v>702</v>
      </c>
      <c r="H1" s="1"/>
      <c r="I1" s="1"/>
      <c r="J1" s="1"/>
      <c r="K1" s="1"/>
    </row>
    <row r="2" spans="1:11">
      <c r="A2" s="1"/>
      <c r="B2" s="1"/>
      <c r="C2" s="2">
        <v>42423</v>
      </c>
      <c r="D2" s="1">
        <v>20394</v>
      </c>
      <c r="E2" s="1">
        <v>1066</v>
      </c>
      <c r="F2" s="1">
        <f>SUM(D2,E2)</f>
        <v>21460</v>
      </c>
      <c r="G2" s="1"/>
      <c r="H2" s="1"/>
      <c r="I2" s="1"/>
      <c r="J2" s="1"/>
      <c r="K2" s="1"/>
    </row>
    <row r="3" spans="1:11">
      <c r="A3" s="1"/>
      <c r="B3" s="1"/>
      <c r="C3" s="2">
        <v>42424</v>
      </c>
      <c r="D3" s="1">
        <v>20832</v>
      </c>
      <c r="E3" s="1">
        <v>1176</v>
      </c>
      <c r="F3" s="1">
        <f t="shared" ref="F3:F29" si="0">SUM(D3,E3)</f>
        <v>22008</v>
      </c>
      <c r="G3" s="1">
        <f>IF(F3&gt;0,F3-F2,0)</f>
        <v>548</v>
      </c>
      <c r="H3" s="1"/>
      <c r="I3" s="1"/>
      <c r="J3" s="1"/>
      <c r="K3" s="1"/>
    </row>
    <row r="4" spans="1:11">
      <c r="A4" s="1"/>
      <c r="B4" s="1"/>
      <c r="C4" s="2">
        <v>42425</v>
      </c>
      <c r="D4" s="1">
        <v>21585</v>
      </c>
      <c r="E4" s="1">
        <v>1336</v>
      </c>
      <c r="F4" s="1">
        <f t="shared" si="0"/>
        <v>22921</v>
      </c>
      <c r="G4" s="1">
        <f t="shared" ref="G4:G25" si="1">IF(F4&gt;0,F4-F3,0)</f>
        <v>913</v>
      </c>
      <c r="H4" s="1"/>
      <c r="I4" s="1"/>
      <c r="J4" s="1"/>
      <c r="K4" s="1"/>
    </row>
    <row r="5" spans="1:12">
      <c r="A5" s="1"/>
      <c r="B5" s="1"/>
      <c r="C5" s="2">
        <v>42426</v>
      </c>
      <c r="D5" s="1">
        <v>22103</v>
      </c>
      <c r="E5" s="1">
        <v>1346</v>
      </c>
      <c r="F5" s="1">
        <f t="shared" si="0"/>
        <v>23449</v>
      </c>
      <c r="G5" s="1">
        <f t="shared" si="1"/>
        <v>528</v>
      </c>
      <c r="H5" s="1"/>
      <c r="I5" s="1"/>
      <c r="J5" s="1"/>
      <c r="K5" s="3" t="s">
        <v>703</v>
      </c>
      <c r="L5" s="3"/>
    </row>
    <row r="6" spans="1:12">
      <c r="A6" s="1"/>
      <c r="B6" s="1"/>
      <c r="C6" s="2">
        <v>42427</v>
      </c>
      <c r="D6" s="1">
        <v>22566</v>
      </c>
      <c r="E6" s="1">
        <v>1356</v>
      </c>
      <c r="F6" s="1">
        <f t="shared" si="0"/>
        <v>23922</v>
      </c>
      <c r="G6" s="1">
        <f t="shared" si="1"/>
        <v>473</v>
      </c>
      <c r="H6" s="1"/>
      <c r="I6" s="1"/>
      <c r="J6" s="1"/>
      <c r="K6" s="3"/>
      <c r="L6" s="3"/>
    </row>
    <row r="7" spans="1:12">
      <c r="A7" s="1"/>
      <c r="B7" s="1"/>
      <c r="C7" s="2">
        <v>42428</v>
      </c>
      <c r="D7" s="1">
        <v>23124</v>
      </c>
      <c r="E7" s="1">
        <v>1471</v>
      </c>
      <c r="F7" s="1">
        <f t="shared" si="0"/>
        <v>24595</v>
      </c>
      <c r="G7" s="1">
        <f t="shared" si="1"/>
        <v>673</v>
      </c>
      <c r="H7" s="1"/>
      <c r="I7" s="1"/>
      <c r="J7" s="1"/>
      <c r="K7" s="1">
        <f>AVERAGE(G3:G14)</f>
        <v>650.166666666667</v>
      </c>
      <c r="L7" s="1"/>
    </row>
    <row r="8" spans="1:12">
      <c r="A8" s="1"/>
      <c r="B8" s="1"/>
      <c r="C8" s="2">
        <v>42429</v>
      </c>
      <c r="D8" s="1">
        <v>23574</v>
      </c>
      <c r="E8" s="1">
        <v>1521</v>
      </c>
      <c r="F8" s="1">
        <f t="shared" si="0"/>
        <v>25095</v>
      </c>
      <c r="G8" s="1">
        <f t="shared" si="1"/>
        <v>500</v>
      </c>
      <c r="H8" s="1"/>
      <c r="I8" s="1"/>
      <c r="J8" s="1"/>
      <c r="K8" s="1"/>
      <c r="L8" s="1"/>
    </row>
    <row r="9" spans="1:11">
      <c r="A9" s="1"/>
      <c r="B9" s="1"/>
      <c r="C9" s="2">
        <v>42430</v>
      </c>
      <c r="D9" s="1">
        <v>24129</v>
      </c>
      <c r="E9" s="1">
        <v>1683</v>
      </c>
      <c r="F9" s="1">
        <f t="shared" si="0"/>
        <v>25812</v>
      </c>
      <c r="G9" s="1">
        <f t="shared" si="1"/>
        <v>717</v>
      </c>
      <c r="H9" s="1"/>
      <c r="I9" s="1"/>
      <c r="J9" s="1"/>
      <c r="K9" s="1"/>
    </row>
    <row r="10" spans="1:11">
      <c r="A10" s="1"/>
      <c r="B10" s="1"/>
      <c r="C10" s="2">
        <v>42431</v>
      </c>
      <c r="D10" s="1">
        <v>24752</v>
      </c>
      <c r="E10" s="1">
        <v>1913</v>
      </c>
      <c r="F10" s="1">
        <f t="shared" si="0"/>
        <v>26665</v>
      </c>
      <c r="G10" s="1">
        <f t="shared" si="1"/>
        <v>853</v>
      </c>
      <c r="H10" s="1"/>
      <c r="I10" s="1"/>
      <c r="J10" s="1"/>
      <c r="K10" s="1"/>
    </row>
    <row r="11" spans="1:12">
      <c r="A11" s="1"/>
      <c r="B11" s="1"/>
      <c r="C11" s="2">
        <v>42432</v>
      </c>
      <c r="D11" s="1">
        <v>25205</v>
      </c>
      <c r="E11" s="1">
        <v>1963</v>
      </c>
      <c r="F11" s="1">
        <f t="shared" si="0"/>
        <v>27168</v>
      </c>
      <c r="G11" s="1">
        <f t="shared" si="1"/>
        <v>503</v>
      </c>
      <c r="H11" s="1"/>
      <c r="I11" s="1"/>
      <c r="J11" s="1"/>
      <c r="K11" s="3" t="s">
        <v>704</v>
      </c>
      <c r="L11" s="3"/>
    </row>
    <row r="12" spans="1:12">
      <c r="A12" s="1"/>
      <c r="B12" s="1"/>
      <c r="C12" s="2">
        <v>42433</v>
      </c>
      <c r="D12" s="1">
        <v>25758</v>
      </c>
      <c r="E12" s="1">
        <v>2231</v>
      </c>
      <c r="F12" s="1">
        <f t="shared" si="0"/>
        <v>27989</v>
      </c>
      <c r="G12" s="1">
        <f t="shared" si="1"/>
        <v>821</v>
      </c>
      <c r="H12" s="1"/>
      <c r="I12" s="1"/>
      <c r="J12" s="1"/>
      <c r="K12" s="3"/>
      <c r="L12" s="3"/>
    </row>
    <row r="13" spans="1:12">
      <c r="A13" s="1"/>
      <c r="B13" s="1"/>
      <c r="C13" s="2">
        <v>42434</v>
      </c>
      <c r="D13" s="1">
        <v>26311</v>
      </c>
      <c r="E13" s="1">
        <v>2378</v>
      </c>
      <c r="F13" s="1">
        <f t="shared" si="0"/>
        <v>28689</v>
      </c>
      <c r="G13" s="1">
        <f t="shared" si="1"/>
        <v>700</v>
      </c>
      <c r="H13" s="1"/>
      <c r="I13" s="1"/>
      <c r="J13" s="1"/>
      <c r="K13" s="1">
        <f>SUM(G3:G999)</f>
        <v>7802</v>
      </c>
      <c r="L13" s="1"/>
    </row>
    <row r="14" spans="1:12">
      <c r="A14" s="1"/>
      <c r="B14" s="1"/>
      <c r="C14" s="2">
        <v>42435</v>
      </c>
      <c r="D14" s="1">
        <v>26824</v>
      </c>
      <c r="E14" s="1">
        <v>2438</v>
      </c>
      <c r="F14" s="1">
        <f t="shared" si="0"/>
        <v>29262</v>
      </c>
      <c r="G14" s="1">
        <f t="shared" si="1"/>
        <v>573</v>
      </c>
      <c r="H14" s="1"/>
      <c r="I14" s="1"/>
      <c r="J14" s="1"/>
      <c r="K14" s="1"/>
      <c r="L14" s="1"/>
    </row>
    <row r="15" spans="1:11">
      <c r="A15" s="1"/>
      <c r="B15" s="1"/>
      <c r="C15" s="2">
        <v>42436</v>
      </c>
      <c r="D15" s="1"/>
      <c r="E15" s="1"/>
      <c r="F15" s="1">
        <f t="shared" si="0"/>
        <v>0</v>
      </c>
      <c r="G15" s="1">
        <f t="shared" si="1"/>
        <v>0</v>
      </c>
      <c r="H15" s="1"/>
      <c r="I15" s="1"/>
      <c r="J15" s="1"/>
      <c r="K15" s="1"/>
    </row>
    <row r="16" spans="1:10">
      <c r="A16" s="1"/>
      <c r="B16" s="1"/>
      <c r="C16" s="2">
        <v>42437</v>
      </c>
      <c r="D16" s="1"/>
      <c r="E16" s="1"/>
      <c r="F16" s="1">
        <f t="shared" si="0"/>
        <v>0</v>
      </c>
      <c r="G16" s="1">
        <f t="shared" si="1"/>
        <v>0</v>
      </c>
      <c r="H16" s="1"/>
      <c r="I16" s="1"/>
      <c r="J16" s="1"/>
    </row>
    <row r="17" spans="1:11">
      <c r="A17" s="1"/>
      <c r="B17" s="1"/>
      <c r="C17" s="2">
        <v>42438</v>
      </c>
      <c r="D17" s="1"/>
      <c r="E17" s="1"/>
      <c r="F17" s="1">
        <f t="shared" si="0"/>
        <v>0</v>
      </c>
      <c r="G17" s="1">
        <f t="shared" si="1"/>
        <v>0</v>
      </c>
      <c r="H17" s="1"/>
      <c r="I17" s="1"/>
      <c r="J17" s="1"/>
      <c r="K17" s="1"/>
    </row>
    <row r="18" spans="1:11">
      <c r="A18" s="1"/>
      <c r="B18" s="1"/>
      <c r="C18" s="2">
        <v>42439</v>
      </c>
      <c r="D18" s="1"/>
      <c r="E18" s="1"/>
      <c r="F18" s="1">
        <f t="shared" si="0"/>
        <v>0</v>
      </c>
      <c r="G18" s="1">
        <f t="shared" si="1"/>
        <v>0</v>
      </c>
      <c r="H18" s="1"/>
      <c r="I18" s="1"/>
      <c r="J18" s="1"/>
      <c r="K18" s="1"/>
    </row>
    <row r="19" spans="1:11">
      <c r="A19" s="1"/>
      <c r="B19" s="1"/>
      <c r="C19" s="2">
        <v>42440</v>
      </c>
      <c r="D19" s="1"/>
      <c r="E19" s="1"/>
      <c r="F19" s="1">
        <f t="shared" si="0"/>
        <v>0</v>
      </c>
      <c r="G19" s="1">
        <f t="shared" si="1"/>
        <v>0</v>
      </c>
      <c r="H19" s="1"/>
      <c r="I19" s="1"/>
      <c r="J19" s="1"/>
      <c r="K19" s="1"/>
    </row>
    <row r="20" spans="1:11">
      <c r="A20" s="1"/>
      <c r="B20" s="1"/>
      <c r="C20" s="2">
        <v>42441</v>
      </c>
      <c r="D20" s="1"/>
      <c r="E20" s="1"/>
      <c r="F20" s="1">
        <f t="shared" si="0"/>
        <v>0</v>
      </c>
      <c r="G20" s="1">
        <f t="shared" si="1"/>
        <v>0</v>
      </c>
      <c r="H20" s="1"/>
      <c r="I20" s="1"/>
      <c r="J20" s="1"/>
      <c r="K20" s="1"/>
    </row>
    <row r="21" spans="1:11">
      <c r="A21" s="1"/>
      <c r="B21" s="1"/>
      <c r="C21" s="2">
        <v>42442</v>
      </c>
      <c r="D21" s="1"/>
      <c r="E21" s="1"/>
      <c r="F21" s="1">
        <f t="shared" si="0"/>
        <v>0</v>
      </c>
      <c r="G21" s="1">
        <f t="shared" si="1"/>
        <v>0</v>
      </c>
      <c r="H21" s="1"/>
      <c r="I21" s="1"/>
      <c r="J21" s="1"/>
      <c r="K21" s="1"/>
    </row>
    <row r="22" spans="1:11">
      <c r="A22" s="1"/>
      <c r="B22" s="1"/>
      <c r="C22" s="2">
        <v>42443</v>
      </c>
      <c r="D22" s="1"/>
      <c r="E22" s="1"/>
      <c r="F22" s="1">
        <f t="shared" si="0"/>
        <v>0</v>
      </c>
      <c r="G22" s="1">
        <f t="shared" si="1"/>
        <v>0</v>
      </c>
      <c r="H22" s="1"/>
      <c r="I22" s="1"/>
      <c r="J22" s="1"/>
      <c r="K22" s="1"/>
    </row>
    <row r="23" spans="1:11">
      <c r="A23" s="1"/>
      <c r="B23" s="1"/>
      <c r="C23" s="2">
        <v>42444</v>
      </c>
      <c r="D23" s="1"/>
      <c r="E23" s="1"/>
      <c r="F23" s="1">
        <f t="shared" si="0"/>
        <v>0</v>
      </c>
      <c r="G23" s="1">
        <f t="shared" si="1"/>
        <v>0</v>
      </c>
      <c r="H23" s="1"/>
      <c r="I23" s="1"/>
      <c r="J23" s="1"/>
      <c r="K23" s="1"/>
    </row>
    <row r="24" spans="1:11">
      <c r="A24" s="1"/>
      <c r="B24" s="1"/>
      <c r="C24" s="2">
        <v>42445</v>
      </c>
      <c r="D24" s="1"/>
      <c r="E24" s="1"/>
      <c r="F24" s="1">
        <f t="shared" si="0"/>
        <v>0</v>
      </c>
      <c r="G24" s="1">
        <f t="shared" si="1"/>
        <v>0</v>
      </c>
      <c r="H24" s="1"/>
      <c r="I24" s="1"/>
      <c r="J24" s="1"/>
      <c r="K24" s="1"/>
    </row>
    <row r="25" spans="1:11">
      <c r="A25" s="1"/>
      <c r="B25" s="1"/>
      <c r="C25" s="2">
        <v>42446</v>
      </c>
      <c r="D25" s="1"/>
      <c r="E25" s="1"/>
      <c r="F25" s="1">
        <f t="shared" si="0"/>
        <v>0</v>
      </c>
      <c r="G25" s="1">
        <f t="shared" si="1"/>
        <v>0</v>
      </c>
      <c r="H25" s="1"/>
      <c r="I25" s="1"/>
      <c r="J25" s="1"/>
      <c r="K25" s="1"/>
    </row>
    <row r="26" spans="1:11">
      <c r="A26" s="1"/>
      <c r="B26" s="1"/>
      <c r="C26" s="2">
        <v>42447</v>
      </c>
      <c r="D26" s="1"/>
      <c r="E26" s="1"/>
      <c r="F26" s="1">
        <f t="shared" si="0"/>
        <v>0</v>
      </c>
      <c r="G26" s="1">
        <f t="shared" ref="G26:G42" si="2">IF(F26&gt;0,F26-F25,0)</f>
        <v>0</v>
      </c>
      <c r="H26" s="1"/>
      <c r="I26" s="1"/>
      <c r="J26" s="1"/>
      <c r="K26" s="1"/>
    </row>
    <row r="27" spans="1:11">
      <c r="A27" s="1"/>
      <c r="B27" s="1"/>
      <c r="C27" s="2">
        <v>42448</v>
      </c>
      <c r="D27" s="1"/>
      <c r="E27" s="1"/>
      <c r="F27" s="1">
        <f t="shared" si="0"/>
        <v>0</v>
      </c>
      <c r="G27" s="1">
        <f t="shared" si="2"/>
        <v>0</v>
      </c>
      <c r="H27" s="1"/>
      <c r="I27" s="1"/>
      <c r="J27" s="1"/>
      <c r="K27" s="1"/>
    </row>
    <row r="28" spans="1:11">
      <c r="A28" s="1"/>
      <c r="B28" s="1"/>
      <c r="C28" s="2">
        <v>42449</v>
      </c>
      <c r="D28" s="1"/>
      <c r="E28" s="1"/>
      <c r="F28" s="1">
        <f t="shared" si="0"/>
        <v>0</v>
      </c>
      <c r="G28" s="1">
        <f t="shared" si="2"/>
        <v>0</v>
      </c>
      <c r="H28" s="1"/>
      <c r="I28" s="1"/>
      <c r="J28" s="1"/>
      <c r="K28" s="1"/>
    </row>
    <row r="29" spans="1:11">
      <c r="A29" s="1"/>
      <c r="B29" s="1"/>
      <c r="C29" s="2">
        <v>42450</v>
      </c>
      <c r="D29" s="1"/>
      <c r="E29" s="1"/>
      <c r="F29" s="1">
        <f t="shared" si="0"/>
        <v>0</v>
      </c>
      <c r="G29" s="1">
        <f t="shared" si="2"/>
        <v>0</v>
      </c>
      <c r="H29" s="1"/>
      <c r="I29" s="1"/>
      <c r="J29" s="1"/>
      <c r="K29" s="1"/>
    </row>
    <row r="30" spans="1:11">
      <c r="A30" s="1"/>
      <c r="B30" s="1"/>
      <c r="C30" s="2">
        <v>42451</v>
      </c>
      <c r="D30" s="1"/>
      <c r="E30" s="1"/>
      <c r="F30" s="1">
        <f t="shared" ref="F30:F48" si="3">SUM(D30,E30)</f>
        <v>0</v>
      </c>
      <c r="G30" s="1">
        <f t="shared" si="2"/>
        <v>0</v>
      </c>
      <c r="H30" s="1"/>
      <c r="I30" s="1"/>
      <c r="J30" s="1"/>
      <c r="K30" s="1"/>
    </row>
    <row r="31" spans="1:11">
      <c r="A31" s="1"/>
      <c r="B31" s="1"/>
      <c r="C31" s="2">
        <v>42452</v>
      </c>
      <c r="D31" s="1"/>
      <c r="E31" s="1"/>
      <c r="F31" s="1">
        <f t="shared" si="3"/>
        <v>0</v>
      </c>
      <c r="G31" s="1">
        <f t="shared" si="2"/>
        <v>0</v>
      </c>
      <c r="H31" s="1"/>
      <c r="I31" s="1"/>
      <c r="J31" s="1"/>
      <c r="K31" s="1"/>
    </row>
    <row r="32" spans="1:11">
      <c r="A32" s="1"/>
      <c r="B32" s="1"/>
      <c r="C32" s="2">
        <v>42453</v>
      </c>
      <c r="D32" s="1"/>
      <c r="E32" s="1"/>
      <c r="F32" s="1">
        <f t="shared" si="3"/>
        <v>0</v>
      </c>
      <c r="G32" s="1">
        <f t="shared" si="2"/>
        <v>0</v>
      </c>
      <c r="H32" s="1"/>
      <c r="I32" s="1"/>
      <c r="J32" s="1"/>
      <c r="K32" s="1"/>
    </row>
    <row r="33" spans="1:11">
      <c r="A33" s="1"/>
      <c r="B33" s="1"/>
      <c r="C33" s="1"/>
      <c r="D33" s="1"/>
      <c r="E33" s="1"/>
      <c r="F33" s="1">
        <f t="shared" si="3"/>
        <v>0</v>
      </c>
      <c r="G33" s="1">
        <f t="shared" si="2"/>
        <v>0</v>
      </c>
      <c r="H33" s="1"/>
      <c r="I33" s="1"/>
      <c r="J33" s="1"/>
      <c r="K33" s="1"/>
    </row>
    <row r="34" spans="1:11">
      <c r="A34" s="1"/>
      <c r="B34" s="1"/>
      <c r="C34" s="1"/>
      <c r="D34" s="1"/>
      <c r="E34" s="1"/>
      <c r="F34" s="1">
        <f t="shared" si="3"/>
        <v>0</v>
      </c>
      <c r="G34" s="1">
        <f t="shared" si="2"/>
        <v>0</v>
      </c>
      <c r="H34" s="1"/>
      <c r="I34" s="1"/>
      <c r="J34" s="1"/>
      <c r="K34" s="1"/>
    </row>
    <row r="35" spans="1:11">
      <c r="A35" s="1"/>
      <c r="B35" s="1"/>
      <c r="C35" s="1"/>
      <c r="D35" s="1"/>
      <c r="E35" s="1"/>
      <c r="F35" s="1">
        <f t="shared" si="3"/>
        <v>0</v>
      </c>
      <c r="G35" s="1">
        <f t="shared" si="2"/>
        <v>0</v>
      </c>
      <c r="H35" s="1"/>
      <c r="I35" s="1"/>
      <c r="J35" s="1"/>
      <c r="K35" s="1"/>
    </row>
    <row r="36" spans="1:11">
      <c r="A36" s="1"/>
      <c r="B36" s="1"/>
      <c r="C36" s="1"/>
      <c r="D36" s="1"/>
      <c r="E36" s="1"/>
      <c r="F36" s="1">
        <f t="shared" si="3"/>
        <v>0</v>
      </c>
      <c r="G36" s="1">
        <f t="shared" si="2"/>
        <v>0</v>
      </c>
      <c r="H36" s="1"/>
      <c r="I36" s="1"/>
      <c r="J36" s="1"/>
      <c r="K36" s="1"/>
    </row>
    <row r="37" spans="1:11">
      <c r="A37" s="1"/>
      <c r="B37" s="1"/>
      <c r="C37" s="1"/>
      <c r="D37" s="1"/>
      <c r="E37" s="1"/>
      <c r="F37" s="1">
        <f t="shared" si="3"/>
        <v>0</v>
      </c>
      <c r="G37" s="1">
        <f t="shared" si="2"/>
        <v>0</v>
      </c>
      <c r="H37" s="1"/>
      <c r="I37" s="1"/>
      <c r="J37" s="1"/>
      <c r="K37" s="1"/>
    </row>
    <row r="38" spans="1:11">
      <c r="A38" s="1"/>
      <c r="B38" s="1"/>
      <c r="C38" s="1"/>
      <c r="D38" s="1"/>
      <c r="E38" s="1"/>
      <c r="F38" s="1">
        <f t="shared" si="3"/>
        <v>0</v>
      </c>
      <c r="G38" s="1">
        <f t="shared" si="2"/>
        <v>0</v>
      </c>
      <c r="H38" s="1"/>
      <c r="I38" s="1"/>
      <c r="J38" s="1"/>
      <c r="K38" s="1"/>
    </row>
    <row r="39" spans="1:11">
      <c r="A39" s="1"/>
      <c r="B39" s="1"/>
      <c r="C39" s="1"/>
      <c r="D39" s="1"/>
      <c r="E39" s="1"/>
      <c r="F39" s="1">
        <f t="shared" si="3"/>
        <v>0</v>
      </c>
      <c r="G39" s="1">
        <f t="shared" si="2"/>
        <v>0</v>
      </c>
      <c r="H39" s="1"/>
      <c r="I39" s="1"/>
      <c r="J39" s="1"/>
      <c r="K39" s="1"/>
    </row>
    <row r="40" spans="1:11">
      <c r="A40" s="1"/>
      <c r="B40" s="1"/>
      <c r="C40" s="1"/>
      <c r="D40" s="1"/>
      <c r="E40" s="1"/>
      <c r="F40" s="1">
        <f t="shared" si="3"/>
        <v>0</v>
      </c>
      <c r="G40" s="1">
        <f t="shared" si="2"/>
        <v>0</v>
      </c>
      <c r="H40" s="1"/>
      <c r="I40" s="1"/>
      <c r="J40" s="1"/>
      <c r="K40" s="1"/>
    </row>
    <row r="41" spans="1:11">
      <c r="A41" s="1"/>
      <c r="B41" s="1"/>
      <c r="C41" s="1"/>
      <c r="D41" s="1"/>
      <c r="E41" s="1"/>
      <c r="F41" s="1">
        <f t="shared" si="3"/>
        <v>0</v>
      </c>
      <c r="G41" s="1">
        <f t="shared" si="2"/>
        <v>0</v>
      </c>
      <c r="H41" s="1"/>
      <c r="I41" s="1"/>
      <c r="J41" s="1"/>
      <c r="K41" s="1"/>
    </row>
    <row r="42" spans="1:11">
      <c r="A42" s="1"/>
      <c r="B42" s="1"/>
      <c r="C42" s="1"/>
      <c r="D42" s="1"/>
      <c r="E42" s="1"/>
      <c r="F42" s="1">
        <f t="shared" si="3"/>
        <v>0</v>
      </c>
      <c r="G42" s="1">
        <f t="shared" si="2"/>
        <v>0</v>
      </c>
      <c r="H42" s="1"/>
      <c r="I42" s="1"/>
      <c r="J42" s="1"/>
      <c r="K42" s="1"/>
    </row>
    <row r="43" spans="1:11">
      <c r="A43" s="1"/>
      <c r="B43" s="1"/>
      <c r="C43" s="1"/>
      <c r="D43" s="1"/>
      <c r="E43" s="1"/>
      <c r="F43" s="1">
        <f t="shared" si="3"/>
        <v>0</v>
      </c>
      <c r="G43" s="1">
        <f t="shared" ref="G43:G48" si="4">IF(F43&gt;0,F43-F42,0)</f>
        <v>0</v>
      </c>
      <c r="H43" s="1"/>
      <c r="I43" s="1"/>
      <c r="J43" s="1"/>
      <c r="K43" s="1"/>
    </row>
    <row r="44" spans="2:11">
      <c r="B44" s="1"/>
      <c r="C44" s="1"/>
      <c r="D44" s="1"/>
      <c r="E44" s="1"/>
      <c r="F44" s="1">
        <f t="shared" si="3"/>
        <v>0</v>
      </c>
      <c r="G44" s="1">
        <f t="shared" si="4"/>
        <v>0</v>
      </c>
      <c r="H44" s="1"/>
      <c r="I44" s="1"/>
      <c r="J44" s="1"/>
      <c r="K44" s="1"/>
    </row>
    <row r="45" spans="2:11">
      <c r="B45" s="1"/>
      <c r="C45" s="1"/>
      <c r="D45" s="1"/>
      <c r="E45" s="1"/>
      <c r="F45" s="1">
        <f t="shared" si="3"/>
        <v>0</v>
      </c>
      <c r="G45" s="1">
        <f t="shared" si="4"/>
        <v>0</v>
      </c>
      <c r="H45" s="1"/>
      <c r="I45" s="1"/>
      <c r="J45" s="1"/>
      <c r="K45" s="1"/>
    </row>
    <row r="46" spans="2:11">
      <c r="B46" s="1"/>
      <c r="C46" s="1"/>
      <c r="D46" s="1"/>
      <c r="E46" s="1"/>
      <c r="F46" s="1">
        <f t="shared" si="3"/>
        <v>0</v>
      </c>
      <c r="G46" s="1">
        <f t="shared" si="4"/>
        <v>0</v>
      </c>
      <c r="H46" s="1"/>
      <c r="I46" s="1"/>
      <c r="J46" s="1"/>
      <c r="K46" s="1"/>
    </row>
    <row r="47" spans="2:11">
      <c r="B47" s="1"/>
      <c r="C47" s="1"/>
      <c r="D47" s="1"/>
      <c r="E47" s="1"/>
      <c r="F47" s="1">
        <f t="shared" si="3"/>
        <v>0</v>
      </c>
      <c r="G47" s="1">
        <f t="shared" si="4"/>
        <v>0</v>
      </c>
      <c r="H47" s="1"/>
      <c r="I47" s="1"/>
      <c r="J47" s="1"/>
      <c r="K47" s="1"/>
    </row>
    <row r="48" spans="2:11">
      <c r="B48" s="1"/>
      <c r="C48" s="1"/>
      <c r="D48" s="1"/>
      <c r="E48" s="1"/>
      <c r="F48" s="1">
        <f t="shared" si="3"/>
        <v>0</v>
      </c>
      <c r="G48" s="1">
        <f t="shared" si="4"/>
        <v>0</v>
      </c>
      <c r="H48" s="1"/>
      <c r="I48" s="1"/>
      <c r="J48" s="1"/>
      <c r="K48" s="1"/>
    </row>
    <row r="49" spans="2:11">
      <c r="B49" s="1"/>
      <c r="C49" s="1"/>
      <c r="D49" s="1"/>
      <c r="E49" s="1"/>
      <c r="F49" s="1"/>
      <c r="G49" s="1"/>
      <c r="H49" s="1"/>
      <c r="I49" s="1"/>
      <c r="J49" s="1"/>
      <c r="K49" s="1"/>
    </row>
  </sheetData>
  <mergeCells count="4">
    <mergeCell ref="K5:L6"/>
    <mergeCell ref="K7:L8"/>
    <mergeCell ref="K11:L12"/>
    <mergeCell ref="K13:L1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血战计算器</vt:lpstr>
      <vt:lpstr>加成系数</vt:lpstr>
      <vt:lpstr>队伍表</vt:lpstr>
      <vt:lpstr>武功表</vt:lpstr>
      <vt:lpstr>洗髓计算器</vt:lpstr>
      <vt:lpstr>弟子经验计算器</vt:lpstr>
      <vt:lpstr>属性预测计算器</vt:lpstr>
      <vt:lpstr>各类数据统计</vt:lpstr>
      <vt:lpstr>弟子基础属性</vt:lpstr>
      <vt:lpstr>弟子觉醒属性</vt:lpstr>
      <vt:lpstr>血战等级</vt:lpstr>
      <vt:lpstr>存元宝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大掌门推算工具</dc:title>
  <dc:subject>大掌门推算器</dc:subject>
  <dc:creator>小马哥</dc:creator>
  <cp:lastModifiedBy>谢林涛</cp:lastModifiedBy>
  <dcterms:created xsi:type="dcterms:W3CDTF">2012-12-17T02:55:00Z</dcterms:created>
  <dcterms:modified xsi:type="dcterms:W3CDTF">2016-03-07T06:45:20Z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2052-10.1.0.5511</vt:lpwstr>
  </property>
</Properties>
</file>