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29.xml" ContentType="application/vnd.ms-excel.contro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trlProps/ctrlProp27.xml" ContentType="application/vnd.ms-excel.controlproperties+xml"/>
  <Override PartName="/xl/ctrlProps/ctrlProp26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trlProps/ctrlProp25.xml" ContentType="application/vnd.ms-excel.controlproperties+xml"/>
  <Override PartName="/xl/ctrlProps/ctrlProp2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23.xml" ContentType="application/vnd.ms-excel.controlproperties+xml"/>
  <Override PartName="/xl/ctrlProps/ctrlProp22.xml" ContentType="application/vnd.ms-excel.controlproperties+xml"/>
  <Override PartName="/xl/ctrlProps/ctrlProp14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trlProps/ctrlProp5.xml" ContentType="application/vnd.ms-excel.controlproperties+xml"/>
  <Override PartName="/xl/ctrlProps/ctrlProp21.xml" ContentType="application/vnd.ms-excel.controlproperties+xml"/>
  <Override PartName="/xl/ctrlProps/ctrlProp20.xml" ContentType="application/vnd.ms-excel.controlproperties+xml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ctrlProps/ctrlProp28.xml" ContentType="application/vnd.ms-excel.controlproperties+xml"/>
  <Override PartName="/xl/ctrlProps/ctrlProp1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730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25725"/>
</workbook>
</file>

<file path=xl/calcChain.xml><?xml version="1.0" encoding="utf-8"?>
<calcChain xmlns="http://schemas.openxmlformats.org/spreadsheetml/2006/main">
  <c r="K7" i="12"/>
  <c r="G54"/>
  <c r="F54"/>
  <c r="G49"/>
  <c r="G50"/>
  <c r="G51"/>
  <c r="G52"/>
  <c r="G53"/>
  <c r="F49"/>
  <c r="F50"/>
  <c r="F51"/>
  <c r="F52"/>
  <c r="F53"/>
  <c r="F48"/>
  <c r="G48" s="1"/>
  <c r="F47"/>
  <c r="F46"/>
  <c r="F45"/>
  <c r="F44"/>
  <c r="G44" s="1"/>
  <c r="F43"/>
  <c r="F42"/>
  <c r="F41"/>
  <c r="G41" s="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F2"/>
  <c r="I132" i="11"/>
  <c r="I131"/>
  <c r="I130"/>
  <c r="I129"/>
  <c r="I128"/>
  <c r="I127"/>
  <c r="I126"/>
  <c r="I125"/>
  <c r="I124"/>
  <c r="I123"/>
  <c r="I98"/>
  <c r="I97"/>
  <c r="I96"/>
  <c r="I95"/>
  <c r="I82"/>
  <c r="I81"/>
  <c r="I80"/>
  <c r="H80"/>
  <c r="I79"/>
  <c r="H79"/>
  <c r="I78"/>
  <c r="H78"/>
  <c r="I77"/>
  <c r="H77"/>
  <c r="I76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1"/>
  <c r="H50"/>
  <c r="H49"/>
  <c r="H48"/>
  <c r="H47"/>
  <c r="H46"/>
  <c r="H45"/>
  <c r="H44"/>
  <c r="H43"/>
  <c r="H42"/>
  <c r="H41"/>
  <c r="H40"/>
  <c r="H39"/>
  <c r="H38"/>
  <c r="H37"/>
  <c r="H34"/>
  <c r="H31"/>
  <c r="G31"/>
  <c r="F31"/>
  <c r="H30"/>
  <c r="G30"/>
  <c r="F30"/>
  <c r="H29"/>
  <c r="G29"/>
  <c r="F29"/>
  <c r="H28"/>
  <c r="G28"/>
  <c r="F28"/>
  <c r="H27"/>
  <c r="G27"/>
  <c r="F27"/>
  <c r="H26"/>
  <c r="G26"/>
  <c r="F26"/>
  <c r="H25"/>
  <c r="G25"/>
  <c r="F25"/>
  <c r="H24"/>
  <c r="G24"/>
  <c r="F24"/>
  <c r="H23"/>
  <c r="F23"/>
  <c r="H22"/>
  <c r="F22"/>
  <c r="H21"/>
  <c r="F21"/>
  <c r="H20"/>
  <c r="F20"/>
  <c r="H19"/>
  <c r="F19"/>
  <c r="H18"/>
  <c r="H17"/>
  <c r="H16"/>
  <c r="H15"/>
  <c r="H14"/>
  <c r="H13"/>
  <c r="H12"/>
  <c r="H11"/>
  <c r="H10"/>
  <c r="H9"/>
  <c r="H8"/>
  <c r="H7"/>
  <c r="M6"/>
  <c r="M5"/>
  <c r="M4"/>
  <c r="R67" i="10"/>
  <c r="Q67"/>
  <c r="P67"/>
  <c r="O67"/>
  <c r="N67"/>
  <c r="M67"/>
  <c r="H67"/>
  <c r="R66"/>
  <c r="Q66"/>
  <c r="P66"/>
  <c r="O66"/>
  <c r="N66"/>
  <c r="M66"/>
  <c r="H66"/>
  <c r="R65"/>
  <c r="Q65"/>
  <c r="P65"/>
  <c r="O65"/>
  <c r="N65"/>
  <c r="M65"/>
  <c r="H65"/>
  <c r="R64"/>
  <c r="Q64"/>
  <c r="P64"/>
  <c r="O64"/>
  <c r="N64"/>
  <c r="M64"/>
  <c r="H64"/>
  <c r="R63"/>
  <c r="Q63"/>
  <c r="P63"/>
  <c r="O63"/>
  <c r="N63"/>
  <c r="M63"/>
  <c r="H63"/>
  <c r="R62"/>
  <c r="Q62"/>
  <c r="P62"/>
  <c r="O62"/>
  <c r="N62"/>
  <c r="M62"/>
  <c r="H62"/>
  <c r="R61"/>
  <c r="Q61"/>
  <c r="P61"/>
  <c r="O61"/>
  <c r="N61"/>
  <c r="M61"/>
  <c r="H61"/>
  <c r="R60"/>
  <c r="Q60"/>
  <c r="P60"/>
  <c r="O60"/>
  <c r="N60"/>
  <c r="M60"/>
  <c r="H60"/>
  <c r="R59"/>
  <c r="Q59"/>
  <c r="P59"/>
  <c r="O59"/>
  <c r="N59"/>
  <c r="M59"/>
  <c r="H59"/>
  <c r="R58"/>
  <c r="Q58"/>
  <c r="P58"/>
  <c r="O58"/>
  <c r="N58"/>
  <c r="M58"/>
  <c r="H58"/>
  <c r="R57"/>
  <c r="Q57"/>
  <c r="P57"/>
  <c r="O57"/>
  <c r="N57"/>
  <c r="M57"/>
  <c r="H57"/>
  <c r="R56"/>
  <c r="Q56"/>
  <c r="P56"/>
  <c r="O56"/>
  <c r="N56"/>
  <c r="M56"/>
  <c r="H56"/>
  <c r="R55"/>
  <c r="Q55"/>
  <c r="P55"/>
  <c r="O55"/>
  <c r="N55"/>
  <c r="M55"/>
  <c r="H55"/>
  <c r="R54"/>
  <c r="Q54"/>
  <c r="P54"/>
  <c r="O54"/>
  <c r="N54"/>
  <c r="M54"/>
  <c r="H54"/>
  <c r="R53"/>
  <c r="Q53"/>
  <c r="P53"/>
  <c r="O53"/>
  <c r="N53"/>
  <c r="M53"/>
  <c r="H53"/>
  <c r="R52"/>
  <c r="Q52"/>
  <c r="P52"/>
  <c r="O52"/>
  <c r="N52"/>
  <c r="M52"/>
  <c r="H52"/>
  <c r="R51"/>
  <c r="Q51"/>
  <c r="P51"/>
  <c r="O51"/>
  <c r="N51"/>
  <c r="M51"/>
  <c r="H51"/>
  <c r="R50"/>
  <c r="Q50"/>
  <c r="P50"/>
  <c r="O50"/>
  <c r="N50"/>
  <c r="M50"/>
  <c r="H50"/>
  <c r="R49"/>
  <c r="Q49"/>
  <c r="P49"/>
  <c r="O49"/>
  <c r="N49"/>
  <c r="M49"/>
  <c r="H49"/>
  <c r="R48"/>
  <c r="Q48"/>
  <c r="P48"/>
  <c r="O48"/>
  <c r="N48"/>
  <c r="M48"/>
  <c r="H48"/>
  <c r="R47"/>
  <c r="Q47"/>
  <c r="P47"/>
  <c r="O47"/>
  <c r="N47"/>
  <c r="M47"/>
  <c r="H47"/>
  <c r="R46"/>
  <c r="Q46"/>
  <c r="P46"/>
  <c r="O46"/>
  <c r="N46"/>
  <c r="M46"/>
  <c r="H46"/>
  <c r="R45"/>
  <c r="Q45"/>
  <c r="P45"/>
  <c r="O45"/>
  <c r="N45"/>
  <c r="M45"/>
  <c r="H45"/>
  <c r="R44"/>
  <c r="Q44"/>
  <c r="P44"/>
  <c r="O44"/>
  <c r="N44"/>
  <c r="M44"/>
  <c r="H44"/>
  <c r="R43"/>
  <c r="Q43"/>
  <c r="P43"/>
  <c r="O43"/>
  <c r="N43"/>
  <c r="M43"/>
  <c r="H43"/>
  <c r="R42"/>
  <c r="Q42"/>
  <c r="P42"/>
  <c r="O42"/>
  <c r="N42"/>
  <c r="M42"/>
  <c r="H42"/>
  <c r="R41"/>
  <c r="Q41"/>
  <c r="P41"/>
  <c r="O41"/>
  <c r="N41"/>
  <c r="M41"/>
  <c r="H41"/>
  <c r="R40"/>
  <c r="Q40"/>
  <c r="P40"/>
  <c r="O40"/>
  <c r="N40"/>
  <c r="M40"/>
  <c r="H40"/>
  <c r="R39"/>
  <c r="Q39"/>
  <c r="P39"/>
  <c r="O39"/>
  <c r="N39"/>
  <c r="M39"/>
  <c r="H39"/>
  <c r="R38"/>
  <c r="Q38"/>
  <c r="P38"/>
  <c r="O38"/>
  <c r="N38"/>
  <c r="M38"/>
  <c r="H38"/>
  <c r="R37"/>
  <c r="Q37"/>
  <c r="P37"/>
  <c r="O37"/>
  <c r="N37"/>
  <c r="M37"/>
  <c r="H37"/>
  <c r="R36"/>
  <c r="Q36"/>
  <c r="P36"/>
  <c r="O36"/>
  <c r="N36"/>
  <c r="M36"/>
  <c r="H36"/>
  <c r="R35"/>
  <c r="Q35"/>
  <c r="P35"/>
  <c r="O35"/>
  <c r="N35"/>
  <c r="M35"/>
  <c r="H35"/>
  <c r="R34"/>
  <c r="Q34"/>
  <c r="P34"/>
  <c r="O34"/>
  <c r="N34"/>
  <c r="M34"/>
  <c r="H34"/>
  <c r="R33"/>
  <c r="Q33"/>
  <c r="P33"/>
  <c r="O33"/>
  <c r="N33"/>
  <c r="M33"/>
  <c r="H33"/>
  <c r="R32"/>
  <c r="Q32"/>
  <c r="P32"/>
  <c r="O32"/>
  <c r="N32"/>
  <c r="M32"/>
  <c r="H32"/>
  <c r="R31"/>
  <c r="Q31"/>
  <c r="P31"/>
  <c r="O31"/>
  <c r="N31"/>
  <c r="M31"/>
  <c r="H31"/>
  <c r="R30"/>
  <c r="Q30"/>
  <c r="P30"/>
  <c r="O30"/>
  <c r="N30"/>
  <c r="M30"/>
  <c r="H30"/>
  <c r="R29"/>
  <c r="Q29"/>
  <c r="P29"/>
  <c r="O29"/>
  <c r="N29"/>
  <c r="M29"/>
  <c r="H29"/>
  <c r="R28"/>
  <c r="Q28"/>
  <c r="P28"/>
  <c r="O28"/>
  <c r="N28"/>
  <c r="M28"/>
  <c r="H28"/>
  <c r="R27"/>
  <c r="Q27"/>
  <c r="P27"/>
  <c r="O27"/>
  <c r="N27"/>
  <c r="M27"/>
  <c r="H27"/>
  <c r="R26"/>
  <c r="Q26"/>
  <c r="P26"/>
  <c r="O26"/>
  <c r="N26"/>
  <c r="M26"/>
  <c r="H26"/>
  <c r="R25"/>
  <c r="Q25"/>
  <c r="P25"/>
  <c r="O25"/>
  <c r="N25"/>
  <c r="M25"/>
  <c r="H25"/>
  <c r="R24"/>
  <c r="Q24"/>
  <c r="P24"/>
  <c r="O24"/>
  <c r="N24"/>
  <c r="M24"/>
  <c r="H24"/>
  <c r="R23"/>
  <c r="Q23"/>
  <c r="P23"/>
  <c r="O23"/>
  <c r="N23"/>
  <c r="M23"/>
  <c r="H23"/>
  <c r="R22"/>
  <c r="Q22"/>
  <c r="P22"/>
  <c r="O22"/>
  <c r="N22"/>
  <c r="M22"/>
  <c r="H22"/>
  <c r="R21"/>
  <c r="Q21"/>
  <c r="P21"/>
  <c r="O21"/>
  <c r="N21"/>
  <c r="M21"/>
  <c r="H21"/>
  <c r="R20"/>
  <c r="Q20"/>
  <c r="P20"/>
  <c r="O20"/>
  <c r="N20"/>
  <c r="M20"/>
  <c r="H20"/>
  <c r="R19"/>
  <c r="Q19"/>
  <c r="P19"/>
  <c r="O19"/>
  <c r="N19"/>
  <c r="M19"/>
  <c r="H19"/>
  <c r="R18"/>
  <c r="Q18"/>
  <c r="P18"/>
  <c r="O18"/>
  <c r="N18"/>
  <c r="M18"/>
  <c r="H18"/>
  <c r="R17"/>
  <c r="Q17"/>
  <c r="P17"/>
  <c r="O17"/>
  <c r="N17"/>
  <c r="M17"/>
  <c r="H17"/>
  <c r="R16"/>
  <c r="Q16"/>
  <c r="P16"/>
  <c r="O16"/>
  <c r="N16"/>
  <c r="M16"/>
  <c r="H16"/>
  <c r="R15"/>
  <c r="Q15"/>
  <c r="P15"/>
  <c r="O15"/>
  <c r="N15"/>
  <c r="M15"/>
  <c r="H15"/>
  <c r="R14"/>
  <c r="Q14"/>
  <c r="P14"/>
  <c r="O14"/>
  <c r="N14"/>
  <c r="M14"/>
  <c r="H14"/>
  <c r="R13"/>
  <c r="Q13"/>
  <c r="P13"/>
  <c r="O13"/>
  <c r="N13"/>
  <c r="M13"/>
  <c r="H13"/>
  <c r="R12"/>
  <c r="Q12"/>
  <c r="P12"/>
  <c r="O12"/>
  <c r="N12"/>
  <c r="M12"/>
  <c r="H12"/>
  <c r="R11"/>
  <c r="Q11"/>
  <c r="P11"/>
  <c r="O11"/>
  <c r="N11"/>
  <c r="M11"/>
  <c r="H11"/>
  <c r="R10"/>
  <c r="Q10"/>
  <c r="P10"/>
  <c r="O10"/>
  <c r="N10"/>
  <c r="M10"/>
  <c r="H10"/>
  <c r="R9"/>
  <c r="Q9"/>
  <c r="P9"/>
  <c r="O9"/>
  <c r="N9"/>
  <c r="M9"/>
  <c r="H9"/>
  <c r="R8"/>
  <c r="Q8"/>
  <c r="P8"/>
  <c r="O8"/>
  <c r="N8"/>
  <c r="M8"/>
  <c r="H8"/>
  <c r="R7"/>
  <c r="Q7"/>
  <c r="P7"/>
  <c r="O7"/>
  <c r="N7"/>
  <c r="M7"/>
  <c r="H7"/>
  <c r="R6"/>
  <c r="Q6"/>
  <c r="P6"/>
  <c r="O6"/>
  <c r="N6"/>
  <c r="M6"/>
  <c r="H6"/>
  <c r="R5"/>
  <c r="Q5"/>
  <c r="P5"/>
  <c r="O5"/>
  <c r="N5"/>
  <c r="M5"/>
  <c r="H5"/>
  <c r="R4"/>
  <c r="Q4"/>
  <c r="P4"/>
  <c r="O4"/>
  <c r="N4"/>
  <c r="M4"/>
  <c r="H4"/>
  <c r="R3"/>
  <c r="Q3"/>
  <c r="P3"/>
  <c r="O3"/>
  <c r="N3"/>
  <c r="M3"/>
  <c r="H3"/>
  <c r="U154" i="9"/>
  <c r="T154"/>
  <c r="S154"/>
  <c r="R154"/>
  <c r="Q154"/>
  <c r="U153"/>
  <c r="T153"/>
  <c r="S153"/>
  <c r="R153"/>
  <c r="Q153"/>
  <c r="U152"/>
  <c r="T152"/>
  <c r="S152"/>
  <c r="R152"/>
  <c r="Q152"/>
  <c r="U151"/>
  <c r="T151"/>
  <c r="S151"/>
  <c r="R151"/>
  <c r="Q151"/>
  <c r="U150"/>
  <c r="T150"/>
  <c r="S150"/>
  <c r="R150"/>
  <c r="Q150"/>
  <c r="U149"/>
  <c r="T149"/>
  <c r="S149"/>
  <c r="R149"/>
  <c r="Q149"/>
  <c r="P149"/>
  <c r="K149"/>
  <c r="U148"/>
  <c r="T148"/>
  <c r="S148"/>
  <c r="R148"/>
  <c r="Q148"/>
  <c r="P148"/>
  <c r="K148"/>
  <c r="U147"/>
  <c r="T147"/>
  <c r="S147"/>
  <c r="R147"/>
  <c r="Q147"/>
  <c r="U146"/>
  <c r="T146"/>
  <c r="S146"/>
  <c r="R146"/>
  <c r="Q146"/>
  <c r="U145"/>
  <c r="T145"/>
  <c r="S145"/>
  <c r="R145"/>
  <c r="Q145"/>
  <c r="U144"/>
  <c r="T144"/>
  <c r="S144"/>
  <c r="R144"/>
  <c r="Q144"/>
  <c r="U143"/>
  <c r="T143"/>
  <c r="S143"/>
  <c r="R143"/>
  <c r="Q143"/>
  <c r="U142"/>
  <c r="T142"/>
  <c r="S142"/>
  <c r="R142"/>
  <c r="Q142"/>
  <c r="P142"/>
  <c r="K142"/>
  <c r="U141"/>
  <c r="T141"/>
  <c r="S141"/>
  <c r="R141"/>
  <c r="Q141"/>
  <c r="P141"/>
  <c r="K141"/>
  <c r="U140"/>
  <c r="T140"/>
  <c r="S140"/>
  <c r="R140"/>
  <c r="Q140"/>
  <c r="P140"/>
  <c r="K140"/>
  <c r="U139"/>
  <c r="T139"/>
  <c r="S139"/>
  <c r="R139"/>
  <c r="Q139"/>
  <c r="P139"/>
  <c r="K139"/>
  <c r="U138"/>
  <c r="T138"/>
  <c r="S138"/>
  <c r="R138"/>
  <c r="Q138"/>
  <c r="P138"/>
  <c r="K138"/>
  <c r="U137"/>
  <c r="T137"/>
  <c r="S137"/>
  <c r="R137"/>
  <c r="Q137"/>
  <c r="P137"/>
  <c r="K137"/>
  <c r="U136"/>
  <c r="T136"/>
  <c r="S136"/>
  <c r="R136"/>
  <c r="Q136"/>
  <c r="P136"/>
  <c r="K136"/>
  <c r="U135"/>
  <c r="T135"/>
  <c r="S135"/>
  <c r="R135"/>
  <c r="Q135"/>
  <c r="P135"/>
  <c r="K135"/>
  <c r="U134"/>
  <c r="T134"/>
  <c r="S134"/>
  <c r="R134"/>
  <c r="Q134"/>
  <c r="P134"/>
  <c r="K134"/>
  <c r="U133"/>
  <c r="T133"/>
  <c r="S133"/>
  <c r="R133"/>
  <c r="Q133"/>
  <c r="P133"/>
  <c r="K133"/>
  <c r="U132"/>
  <c r="T132"/>
  <c r="S132"/>
  <c r="R132"/>
  <c r="Q132"/>
  <c r="P132"/>
  <c r="K132"/>
  <c r="U131"/>
  <c r="T131"/>
  <c r="S131"/>
  <c r="R131"/>
  <c r="Q131"/>
  <c r="P131"/>
  <c r="K131"/>
  <c r="U130"/>
  <c r="T130"/>
  <c r="S130"/>
  <c r="R130"/>
  <c r="Q130"/>
  <c r="U129"/>
  <c r="T129"/>
  <c r="S129"/>
  <c r="R129"/>
  <c r="Q129"/>
  <c r="U128"/>
  <c r="T128"/>
  <c r="S128"/>
  <c r="R128"/>
  <c r="Q128"/>
  <c r="U127"/>
  <c r="T127"/>
  <c r="S127"/>
  <c r="R127"/>
  <c r="Q127"/>
  <c r="K127"/>
  <c r="U126"/>
  <c r="T126"/>
  <c r="S126"/>
  <c r="R126"/>
  <c r="Q126"/>
  <c r="K126"/>
  <c r="U125"/>
  <c r="T125"/>
  <c r="S125"/>
  <c r="R125"/>
  <c r="Q125"/>
  <c r="P125"/>
  <c r="K125"/>
  <c r="U124"/>
  <c r="T124"/>
  <c r="S124"/>
  <c r="R124"/>
  <c r="Q124"/>
  <c r="P124"/>
  <c r="K124"/>
  <c r="U123"/>
  <c r="T123"/>
  <c r="S123"/>
  <c r="R123"/>
  <c r="Q123"/>
  <c r="P123"/>
  <c r="K123"/>
  <c r="U122"/>
  <c r="T122"/>
  <c r="S122"/>
  <c r="R122"/>
  <c r="Q122"/>
  <c r="P122"/>
  <c r="K122"/>
  <c r="U121"/>
  <c r="T121"/>
  <c r="S121"/>
  <c r="R121"/>
  <c r="Q121"/>
  <c r="P121"/>
  <c r="K121"/>
  <c r="U120"/>
  <c r="T120"/>
  <c r="S120"/>
  <c r="R120"/>
  <c r="Q120"/>
  <c r="P120"/>
  <c r="K120"/>
  <c r="U119"/>
  <c r="T119"/>
  <c r="S119"/>
  <c r="R119"/>
  <c r="Q119"/>
  <c r="P119"/>
  <c r="K119"/>
  <c r="U118"/>
  <c r="T118"/>
  <c r="S118"/>
  <c r="R118"/>
  <c r="Q118"/>
  <c r="P118"/>
  <c r="K118"/>
  <c r="U117"/>
  <c r="T117"/>
  <c r="S117"/>
  <c r="R117"/>
  <c r="Q117"/>
  <c r="P117"/>
  <c r="K117"/>
  <c r="U116"/>
  <c r="T116"/>
  <c r="S116"/>
  <c r="R116"/>
  <c r="Q116"/>
  <c r="P116"/>
  <c r="K116"/>
  <c r="U115"/>
  <c r="T115"/>
  <c r="S115"/>
  <c r="R115"/>
  <c r="Q115"/>
  <c r="P115"/>
  <c r="K115"/>
  <c r="U114"/>
  <c r="T114"/>
  <c r="S114"/>
  <c r="R114"/>
  <c r="Q114"/>
  <c r="P114"/>
  <c r="K114"/>
  <c r="U113"/>
  <c r="T113"/>
  <c r="S113"/>
  <c r="R113"/>
  <c r="Q113"/>
  <c r="P113"/>
  <c r="K113"/>
  <c r="U112"/>
  <c r="T112"/>
  <c r="S112"/>
  <c r="R112"/>
  <c r="Q112"/>
  <c r="P112"/>
  <c r="K112"/>
  <c r="U111"/>
  <c r="T111"/>
  <c r="S111"/>
  <c r="R111"/>
  <c r="Q111"/>
  <c r="P111"/>
  <c r="K111"/>
  <c r="U110"/>
  <c r="T110"/>
  <c r="S110"/>
  <c r="R110"/>
  <c r="Q110"/>
  <c r="P110"/>
  <c r="K110"/>
  <c r="U109"/>
  <c r="T109"/>
  <c r="S109"/>
  <c r="R109"/>
  <c r="Q109"/>
  <c r="P109"/>
  <c r="K109"/>
  <c r="U108"/>
  <c r="T108"/>
  <c r="S108"/>
  <c r="R108"/>
  <c r="Q108"/>
  <c r="P108"/>
  <c r="K108"/>
  <c r="U107"/>
  <c r="T107"/>
  <c r="S107"/>
  <c r="R107"/>
  <c r="Q107"/>
  <c r="P107"/>
  <c r="K107"/>
  <c r="U106"/>
  <c r="T106"/>
  <c r="S106"/>
  <c r="R106"/>
  <c r="Q106"/>
  <c r="P106"/>
  <c r="K106"/>
  <c r="U105"/>
  <c r="T105"/>
  <c r="S105"/>
  <c r="R105"/>
  <c r="Q105"/>
  <c r="P105"/>
  <c r="K105"/>
  <c r="U104"/>
  <c r="T104"/>
  <c r="S104"/>
  <c r="R104"/>
  <c r="Q104"/>
  <c r="P104"/>
  <c r="K104"/>
  <c r="U103"/>
  <c r="T103"/>
  <c r="S103"/>
  <c r="R103"/>
  <c r="Q103"/>
  <c r="P103"/>
  <c r="K103"/>
  <c r="U102"/>
  <c r="T102"/>
  <c r="S102"/>
  <c r="R102"/>
  <c r="Q102"/>
  <c r="P102"/>
  <c r="K102"/>
  <c r="U101"/>
  <c r="T101"/>
  <c r="S101"/>
  <c r="R101"/>
  <c r="Q101"/>
  <c r="P101"/>
  <c r="K101"/>
  <c r="U100"/>
  <c r="T100"/>
  <c r="S100"/>
  <c r="R100"/>
  <c r="Q100"/>
  <c r="P100"/>
  <c r="K100"/>
  <c r="U99"/>
  <c r="T99"/>
  <c r="S99"/>
  <c r="R99"/>
  <c r="Q99"/>
  <c r="P99"/>
  <c r="K99"/>
  <c r="U98"/>
  <c r="T98"/>
  <c r="S98"/>
  <c r="R98"/>
  <c r="Q98"/>
  <c r="P98"/>
  <c r="K98"/>
  <c r="U97"/>
  <c r="T97"/>
  <c r="S97"/>
  <c r="R97"/>
  <c r="Q97"/>
  <c r="P97"/>
  <c r="K97"/>
  <c r="U96"/>
  <c r="T96"/>
  <c r="S96"/>
  <c r="R96"/>
  <c r="Q96"/>
  <c r="P96"/>
  <c r="K96"/>
  <c r="U95"/>
  <c r="T95"/>
  <c r="S95"/>
  <c r="R95"/>
  <c r="Q95"/>
  <c r="P95"/>
  <c r="K95"/>
  <c r="U94"/>
  <c r="T94"/>
  <c r="S94"/>
  <c r="R94"/>
  <c r="Q94"/>
  <c r="P94"/>
  <c r="K94"/>
  <c r="U93"/>
  <c r="T93"/>
  <c r="S93"/>
  <c r="R93"/>
  <c r="Q93"/>
  <c r="P93"/>
  <c r="K93"/>
  <c r="U92"/>
  <c r="T92"/>
  <c r="S92"/>
  <c r="R92"/>
  <c r="Q92"/>
  <c r="P92"/>
  <c r="K92"/>
  <c r="U91"/>
  <c r="T91"/>
  <c r="S91"/>
  <c r="R91"/>
  <c r="Q91"/>
  <c r="P91"/>
  <c r="K91"/>
  <c r="U90"/>
  <c r="T90"/>
  <c r="S90"/>
  <c r="R90"/>
  <c r="Q90"/>
  <c r="P90"/>
  <c r="K90"/>
  <c r="U89"/>
  <c r="T89"/>
  <c r="S89"/>
  <c r="R89"/>
  <c r="Q89"/>
  <c r="P89"/>
  <c r="K89"/>
  <c r="U88"/>
  <c r="T88"/>
  <c r="S88"/>
  <c r="R88"/>
  <c r="Q88"/>
  <c r="P88"/>
  <c r="K88"/>
  <c r="U87"/>
  <c r="T87"/>
  <c r="S87"/>
  <c r="R87"/>
  <c r="Q87"/>
  <c r="P87"/>
  <c r="K87"/>
  <c r="U86"/>
  <c r="T86"/>
  <c r="S86"/>
  <c r="R86"/>
  <c r="Q86"/>
  <c r="P86"/>
  <c r="K86"/>
  <c r="U85"/>
  <c r="T85"/>
  <c r="S85"/>
  <c r="R85"/>
  <c r="Q85"/>
  <c r="P85"/>
  <c r="K85"/>
  <c r="U84"/>
  <c r="T84"/>
  <c r="S84"/>
  <c r="R84"/>
  <c r="Q84"/>
  <c r="P84"/>
  <c r="K84"/>
  <c r="U83"/>
  <c r="T83"/>
  <c r="S83"/>
  <c r="R83"/>
  <c r="Q83"/>
  <c r="P83"/>
  <c r="K83"/>
  <c r="U82"/>
  <c r="T82"/>
  <c r="S82"/>
  <c r="R82"/>
  <c r="Q82"/>
  <c r="P82"/>
  <c r="K82"/>
  <c r="U81"/>
  <c r="T81"/>
  <c r="S81"/>
  <c r="R81"/>
  <c r="Q81"/>
  <c r="P81"/>
  <c r="K81"/>
  <c r="U80"/>
  <c r="T80"/>
  <c r="S80"/>
  <c r="R80"/>
  <c r="Q80"/>
  <c r="P80"/>
  <c r="K80"/>
  <c r="U79"/>
  <c r="T79"/>
  <c r="S79"/>
  <c r="R79"/>
  <c r="Q79"/>
  <c r="P79"/>
  <c r="K79"/>
  <c r="U78"/>
  <c r="T78"/>
  <c r="S78"/>
  <c r="R78"/>
  <c r="Q78"/>
  <c r="P78"/>
  <c r="K78"/>
  <c r="U77"/>
  <c r="T77"/>
  <c r="S77"/>
  <c r="R77"/>
  <c r="Q77"/>
  <c r="P77"/>
  <c r="K77"/>
  <c r="U76"/>
  <c r="T76"/>
  <c r="S76"/>
  <c r="R76"/>
  <c r="Q76"/>
  <c r="P76"/>
  <c r="K76"/>
  <c r="U75"/>
  <c r="T75"/>
  <c r="S75"/>
  <c r="R75"/>
  <c r="Q75"/>
  <c r="P75"/>
  <c r="K75"/>
  <c r="U74"/>
  <c r="T74"/>
  <c r="S74"/>
  <c r="R74"/>
  <c r="Q74"/>
  <c r="P74"/>
  <c r="K74"/>
  <c r="U73"/>
  <c r="T73"/>
  <c r="S73"/>
  <c r="R73"/>
  <c r="Q73"/>
  <c r="P73"/>
  <c r="K73"/>
  <c r="U72"/>
  <c r="T72"/>
  <c r="S72"/>
  <c r="R72"/>
  <c r="Q72"/>
  <c r="P72"/>
  <c r="K72"/>
  <c r="U71"/>
  <c r="T71"/>
  <c r="S71"/>
  <c r="R71"/>
  <c r="Q71"/>
  <c r="P71"/>
  <c r="K71"/>
  <c r="U70"/>
  <c r="T70"/>
  <c r="S70"/>
  <c r="R70"/>
  <c r="Q70"/>
  <c r="P70"/>
  <c r="K70"/>
  <c r="U69"/>
  <c r="T69"/>
  <c r="S69"/>
  <c r="R69"/>
  <c r="Q69"/>
  <c r="P69"/>
  <c r="K69"/>
  <c r="U68"/>
  <c r="T68"/>
  <c r="S68"/>
  <c r="R68"/>
  <c r="Q68"/>
  <c r="P68"/>
  <c r="K68"/>
  <c r="U67"/>
  <c r="T67"/>
  <c r="S67"/>
  <c r="R67"/>
  <c r="Q67"/>
  <c r="P67"/>
  <c r="K67"/>
  <c r="S66"/>
  <c r="R66"/>
  <c r="Q66"/>
  <c r="P66"/>
  <c r="K66"/>
  <c r="U65"/>
  <c r="T65"/>
  <c r="S65"/>
  <c r="R65"/>
  <c r="Q65"/>
  <c r="P65"/>
  <c r="K65"/>
  <c r="U64"/>
  <c r="T64"/>
  <c r="S64"/>
  <c r="R64"/>
  <c r="Q64"/>
  <c r="P64"/>
  <c r="K64"/>
  <c r="U63"/>
  <c r="T63"/>
  <c r="S63"/>
  <c r="R63"/>
  <c r="Q63"/>
  <c r="P63"/>
  <c r="K63"/>
  <c r="U62"/>
  <c r="T62"/>
  <c r="S62"/>
  <c r="R62"/>
  <c r="Q62"/>
  <c r="P62"/>
  <c r="K62"/>
  <c r="U61"/>
  <c r="T61"/>
  <c r="S61"/>
  <c r="R61"/>
  <c r="Q61"/>
  <c r="P61"/>
  <c r="K61"/>
  <c r="U60"/>
  <c r="T60"/>
  <c r="S60"/>
  <c r="R60"/>
  <c r="Q60"/>
  <c r="P60"/>
  <c r="K60"/>
  <c r="U59"/>
  <c r="T59"/>
  <c r="S59"/>
  <c r="R59"/>
  <c r="Q59"/>
  <c r="P59"/>
  <c r="K59"/>
  <c r="U58"/>
  <c r="T58"/>
  <c r="S58"/>
  <c r="R58"/>
  <c r="Q58"/>
  <c r="P58"/>
  <c r="K58"/>
  <c r="U57"/>
  <c r="T57"/>
  <c r="S57"/>
  <c r="R57"/>
  <c r="Q57"/>
  <c r="P57"/>
  <c r="K57"/>
  <c r="U56"/>
  <c r="T56"/>
  <c r="S56"/>
  <c r="R56"/>
  <c r="Q56"/>
  <c r="P56"/>
  <c r="K56"/>
  <c r="U55"/>
  <c r="T55"/>
  <c r="S55"/>
  <c r="R55"/>
  <c r="Q55"/>
  <c r="P55"/>
  <c r="K55"/>
  <c r="U54"/>
  <c r="T54"/>
  <c r="S54"/>
  <c r="R54"/>
  <c r="Q54"/>
  <c r="P54"/>
  <c r="K54"/>
  <c r="U53"/>
  <c r="T53"/>
  <c r="S53"/>
  <c r="R53"/>
  <c r="Q53"/>
  <c r="P53"/>
  <c r="K53"/>
  <c r="U52"/>
  <c r="T52"/>
  <c r="S52"/>
  <c r="R52"/>
  <c r="Q52"/>
  <c r="P52"/>
  <c r="K52"/>
  <c r="U51"/>
  <c r="T51"/>
  <c r="S51"/>
  <c r="R51"/>
  <c r="Q51"/>
  <c r="P51"/>
  <c r="K51"/>
  <c r="U50"/>
  <c r="T50"/>
  <c r="S50"/>
  <c r="R50"/>
  <c r="Q50"/>
  <c r="P50"/>
  <c r="K50"/>
  <c r="U49"/>
  <c r="T49"/>
  <c r="S49"/>
  <c r="R49"/>
  <c r="Q49"/>
  <c r="P49"/>
  <c r="K49"/>
  <c r="U48"/>
  <c r="T48"/>
  <c r="S48"/>
  <c r="R48"/>
  <c r="Q48"/>
  <c r="P48"/>
  <c r="K48"/>
  <c r="U47"/>
  <c r="T47"/>
  <c r="S47"/>
  <c r="R47"/>
  <c r="Q47"/>
  <c r="P47"/>
  <c r="K47"/>
  <c r="U46"/>
  <c r="T46"/>
  <c r="S46"/>
  <c r="R46"/>
  <c r="Q46"/>
  <c r="P46"/>
  <c r="K46"/>
  <c r="U45"/>
  <c r="T45"/>
  <c r="S45"/>
  <c r="R45"/>
  <c r="Q45"/>
  <c r="P45"/>
  <c r="K45"/>
  <c r="U44"/>
  <c r="T44"/>
  <c r="S44"/>
  <c r="R44"/>
  <c r="Q44"/>
  <c r="P44"/>
  <c r="K44"/>
  <c r="U43"/>
  <c r="T43"/>
  <c r="S43"/>
  <c r="R43"/>
  <c r="Q43"/>
  <c r="P43"/>
  <c r="K43"/>
  <c r="U42"/>
  <c r="T42"/>
  <c r="S42"/>
  <c r="R42"/>
  <c r="Q42"/>
  <c r="P42"/>
  <c r="K42"/>
  <c r="U41"/>
  <c r="T41"/>
  <c r="S41"/>
  <c r="R41"/>
  <c r="Q41"/>
  <c r="P41"/>
  <c r="K41"/>
  <c r="U40"/>
  <c r="T40"/>
  <c r="S40"/>
  <c r="R40"/>
  <c r="Q40"/>
  <c r="P40"/>
  <c r="K40"/>
  <c r="U39"/>
  <c r="T39"/>
  <c r="S39"/>
  <c r="R39"/>
  <c r="Q39"/>
  <c r="P39"/>
  <c r="K39"/>
  <c r="U38"/>
  <c r="T38"/>
  <c r="S38"/>
  <c r="R38"/>
  <c r="Q38"/>
  <c r="P38"/>
  <c r="K38"/>
  <c r="U37"/>
  <c r="T37"/>
  <c r="S37"/>
  <c r="R37"/>
  <c r="Q37"/>
  <c r="P37"/>
  <c r="K37"/>
  <c r="U36"/>
  <c r="T36"/>
  <c r="S36"/>
  <c r="R36"/>
  <c r="Q36"/>
  <c r="P36"/>
  <c r="K36"/>
  <c r="U35"/>
  <c r="T35"/>
  <c r="S35"/>
  <c r="R35"/>
  <c r="Q35"/>
  <c r="P35"/>
  <c r="K35"/>
  <c r="U34"/>
  <c r="T34"/>
  <c r="S34"/>
  <c r="R34"/>
  <c r="Q34"/>
  <c r="P34"/>
  <c r="K34"/>
  <c r="U33"/>
  <c r="T33"/>
  <c r="S33"/>
  <c r="R33"/>
  <c r="Q33"/>
  <c r="P33"/>
  <c r="K33"/>
  <c r="U32"/>
  <c r="T32"/>
  <c r="S32"/>
  <c r="R32"/>
  <c r="Q32"/>
  <c r="P32"/>
  <c r="K32"/>
  <c r="U31"/>
  <c r="T31"/>
  <c r="S31"/>
  <c r="R31"/>
  <c r="Q31"/>
  <c r="P31"/>
  <c r="K31"/>
  <c r="U30"/>
  <c r="T30"/>
  <c r="S30"/>
  <c r="R30"/>
  <c r="Q30"/>
  <c r="P30"/>
  <c r="K30"/>
  <c r="U29"/>
  <c r="T29"/>
  <c r="S29"/>
  <c r="R29"/>
  <c r="Q29"/>
  <c r="P29"/>
  <c r="K29"/>
  <c r="U28"/>
  <c r="T28"/>
  <c r="S28"/>
  <c r="R28"/>
  <c r="Q28"/>
  <c r="P28"/>
  <c r="K28"/>
  <c r="U27"/>
  <c r="T27"/>
  <c r="S27"/>
  <c r="R27"/>
  <c r="Q27"/>
  <c r="P27"/>
  <c r="K27"/>
  <c r="U26"/>
  <c r="T26"/>
  <c r="S26"/>
  <c r="R26"/>
  <c r="Q26"/>
  <c r="P26"/>
  <c r="K26"/>
  <c r="U25"/>
  <c r="T25"/>
  <c r="S25"/>
  <c r="R25"/>
  <c r="Q25"/>
  <c r="P25"/>
  <c r="K25"/>
  <c r="U24"/>
  <c r="T24"/>
  <c r="S24"/>
  <c r="R24"/>
  <c r="Q24"/>
  <c r="P24"/>
  <c r="K24"/>
  <c r="U23"/>
  <c r="T23"/>
  <c r="S23"/>
  <c r="R23"/>
  <c r="Q23"/>
  <c r="P23"/>
  <c r="K23"/>
  <c r="U22"/>
  <c r="T22"/>
  <c r="S22"/>
  <c r="R22"/>
  <c r="Q22"/>
  <c r="P22"/>
  <c r="K22"/>
  <c r="U21"/>
  <c r="T21"/>
  <c r="S21"/>
  <c r="R21"/>
  <c r="Q21"/>
  <c r="P21"/>
  <c r="K21"/>
  <c r="U20"/>
  <c r="T20"/>
  <c r="S20"/>
  <c r="R20"/>
  <c r="Q20"/>
  <c r="P20"/>
  <c r="K20"/>
  <c r="U19"/>
  <c r="T19"/>
  <c r="S19"/>
  <c r="R19"/>
  <c r="Q19"/>
  <c r="P19"/>
  <c r="K19"/>
  <c r="U18"/>
  <c r="T18"/>
  <c r="S18"/>
  <c r="R18"/>
  <c r="Q18"/>
  <c r="P18"/>
  <c r="K18"/>
  <c r="U17"/>
  <c r="T17"/>
  <c r="S17"/>
  <c r="R17"/>
  <c r="Q17"/>
  <c r="P17"/>
  <c r="K17"/>
  <c r="U16"/>
  <c r="T16"/>
  <c r="S16"/>
  <c r="R16"/>
  <c r="Q16"/>
  <c r="P16"/>
  <c r="K16"/>
  <c r="U15"/>
  <c r="T15"/>
  <c r="S15"/>
  <c r="R15"/>
  <c r="Q15"/>
  <c r="P15"/>
  <c r="K15"/>
  <c r="U14"/>
  <c r="T14"/>
  <c r="S14"/>
  <c r="R14"/>
  <c r="Q14"/>
  <c r="P14"/>
  <c r="K14"/>
  <c r="U13"/>
  <c r="T13"/>
  <c r="S13"/>
  <c r="R13"/>
  <c r="Q13"/>
  <c r="P13"/>
  <c r="K13"/>
  <c r="U12"/>
  <c r="T12"/>
  <c r="S12"/>
  <c r="R12"/>
  <c r="Q12"/>
  <c r="P12"/>
  <c r="K12"/>
  <c r="U11"/>
  <c r="T11"/>
  <c r="S11"/>
  <c r="R11"/>
  <c r="Q11"/>
  <c r="P11"/>
  <c r="K11"/>
  <c r="U10"/>
  <c r="T10"/>
  <c r="S10"/>
  <c r="R10"/>
  <c r="Q10"/>
  <c r="P10"/>
  <c r="K10"/>
  <c r="U9"/>
  <c r="T9"/>
  <c r="S9"/>
  <c r="R9"/>
  <c r="Q9"/>
  <c r="P9"/>
  <c r="K9"/>
  <c r="U8"/>
  <c r="T8"/>
  <c r="S8"/>
  <c r="R8"/>
  <c r="Q8"/>
  <c r="P8"/>
  <c r="K8"/>
  <c r="U7"/>
  <c r="T7"/>
  <c r="S7"/>
  <c r="R7"/>
  <c r="Q7"/>
  <c r="P7"/>
  <c r="K7"/>
  <c r="U6"/>
  <c r="T6"/>
  <c r="S6"/>
  <c r="R6"/>
  <c r="Q6"/>
  <c r="P6"/>
  <c r="K6"/>
  <c r="U5"/>
  <c r="T5"/>
  <c r="S5"/>
  <c r="R5"/>
  <c r="Q5"/>
  <c r="P5"/>
  <c r="K5"/>
  <c r="U4"/>
  <c r="T4"/>
  <c r="S4"/>
  <c r="R4"/>
  <c r="Q4"/>
  <c r="P4"/>
  <c r="K4"/>
  <c r="U3"/>
  <c r="T3"/>
  <c r="S3"/>
  <c r="R3"/>
  <c r="Q3"/>
  <c r="P3"/>
  <c r="K3"/>
  <c r="B58" i="8"/>
  <c r="K57"/>
  <c r="J57"/>
  <c r="I57"/>
  <c r="H57"/>
  <c r="G57"/>
  <c r="F57"/>
  <c r="E57"/>
  <c r="D57"/>
  <c r="B57"/>
  <c r="B56"/>
  <c r="K55"/>
  <c r="J55"/>
  <c r="I55"/>
  <c r="H55"/>
  <c r="G55"/>
  <c r="F55"/>
  <c r="E55"/>
  <c r="D55"/>
  <c r="B55"/>
  <c r="B54"/>
  <c r="K53"/>
  <c r="J53"/>
  <c r="I53"/>
  <c r="H53"/>
  <c r="G53"/>
  <c r="F53"/>
  <c r="E53"/>
  <c r="D53"/>
  <c r="B53"/>
  <c r="B52"/>
  <c r="K51"/>
  <c r="J51"/>
  <c r="I51"/>
  <c r="H51"/>
  <c r="G51"/>
  <c r="F51"/>
  <c r="E51"/>
  <c r="D51"/>
  <c r="B51"/>
  <c r="B50"/>
  <c r="K49"/>
  <c r="J49"/>
  <c r="I49"/>
  <c r="H49"/>
  <c r="G49"/>
  <c r="F49"/>
  <c r="E49"/>
  <c r="D49"/>
  <c r="B49"/>
  <c r="C47"/>
  <c r="J44"/>
  <c r="I44"/>
  <c r="H44"/>
  <c r="G44"/>
  <c r="E44"/>
  <c r="D44"/>
  <c r="C44"/>
  <c r="J42"/>
  <c r="I42"/>
  <c r="H42"/>
  <c r="G42"/>
  <c r="E42"/>
  <c r="D42"/>
  <c r="C42"/>
  <c r="K34" i="7"/>
  <c r="J34"/>
  <c r="I34"/>
  <c r="H34"/>
  <c r="K31"/>
  <c r="J31"/>
  <c r="I31"/>
  <c r="H31"/>
  <c r="K28"/>
  <c r="J28"/>
  <c r="I28"/>
  <c r="H28"/>
  <c r="K6"/>
  <c r="J6"/>
  <c r="I6"/>
  <c r="H6"/>
  <c r="F6"/>
  <c r="Q311" i="6"/>
  <c r="P311"/>
  <c r="Q310"/>
  <c r="P310"/>
  <c r="Q309"/>
  <c r="P309"/>
  <c r="Q308"/>
  <c r="P308"/>
  <c r="Q307"/>
  <c r="P307"/>
  <c r="Q306"/>
  <c r="P306"/>
  <c r="Q305"/>
  <c r="P305"/>
  <c r="Q304"/>
  <c r="P304"/>
  <c r="Q303"/>
  <c r="P303"/>
  <c r="Q302"/>
  <c r="P302"/>
  <c r="Q301"/>
  <c r="P301"/>
  <c r="Q300"/>
  <c r="P300"/>
  <c r="Q299"/>
  <c r="P299"/>
  <c r="Q298"/>
  <c r="P298"/>
  <c r="Q297"/>
  <c r="P297"/>
  <c r="Q296"/>
  <c r="P296"/>
  <c r="Q295"/>
  <c r="P295"/>
  <c r="Q294"/>
  <c r="P294"/>
  <c r="Q293"/>
  <c r="P293"/>
  <c r="Q292"/>
  <c r="P292"/>
  <c r="Q291"/>
  <c r="P291"/>
  <c r="Q290"/>
  <c r="P290"/>
  <c r="Q289"/>
  <c r="P289"/>
  <c r="Q288"/>
  <c r="P288"/>
  <c r="Q287"/>
  <c r="P287"/>
  <c r="Q286"/>
  <c r="P286"/>
  <c r="Q285"/>
  <c r="P285"/>
  <c r="Q284"/>
  <c r="P284"/>
  <c r="Q283"/>
  <c r="P283"/>
  <c r="Q282"/>
  <c r="P282"/>
  <c r="Q281"/>
  <c r="P281"/>
  <c r="Q280"/>
  <c r="P280"/>
  <c r="Q279"/>
  <c r="P279"/>
  <c r="Q278"/>
  <c r="P278"/>
  <c r="Q277"/>
  <c r="P277"/>
  <c r="Q276"/>
  <c r="P276"/>
  <c r="Q275"/>
  <c r="P275"/>
  <c r="Q274"/>
  <c r="P274"/>
  <c r="Q273"/>
  <c r="P273"/>
  <c r="Q272"/>
  <c r="P272"/>
  <c r="Q271"/>
  <c r="P271"/>
  <c r="Q270"/>
  <c r="P270"/>
  <c r="Q269"/>
  <c r="P269"/>
  <c r="Q268"/>
  <c r="P268"/>
  <c r="Q267"/>
  <c r="P267"/>
  <c r="Q266"/>
  <c r="P266"/>
  <c r="Q265"/>
  <c r="P265"/>
  <c r="Q264"/>
  <c r="P264"/>
  <c r="Q263"/>
  <c r="P263"/>
  <c r="Q262"/>
  <c r="P262"/>
  <c r="Q261"/>
  <c r="P261"/>
  <c r="Q260"/>
  <c r="P260"/>
  <c r="Q259"/>
  <c r="P259"/>
  <c r="Q258"/>
  <c r="P258"/>
  <c r="Q257"/>
  <c r="P257"/>
  <c r="Q256"/>
  <c r="P256"/>
  <c r="Q255"/>
  <c r="P255"/>
  <c r="Q254"/>
  <c r="P254"/>
  <c r="Q253"/>
  <c r="P253"/>
  <c r="Q252"/>
  <c r="P252"/>
  <c r="Q251"/>
  <c r="P251"/>
  <c r="Q250"/>
  <c r="P250"/>
  <c r="Q249"/>
  <c r="P249"/>
  <c r="Q248"/>
  <c r="P248"/>
  <c r="Q247"/>
  <c r="P247"/>
  <c r="Q246"/>
  <c r="P246"/>
  <c r="Q245"/>
  <c r="P245"/>
  <c r="Q244"/>
  <c r="P244"/>
  <c r="Q243"/>
  <c r="P243"/>
  <c r="Q242"/>
  <c r="P242"/>
  <c r="Q241"/>
  <c r="P241"/>
  <c r="Q240"/>
  <c r="P240"/>
  <c r="Q239"/>
  <c r="P239"/>
  <c r="Q238"/>
  <c r="P238"/>
  <c r="Q237"/>
  <c r="P237"/>
  <c r="Q236"/>
  <c r="P236"/>
  <c r="Q235"/>
  <c r="P235"/>
  <c r="Q234"/>
  <c r="P234"/>
  <c r="Q233"/>
  <c r="P233"/>
  <c r="Q232"/>
  <c r="P232"/>
  <c r="Q231"/>
  <c r="P231"/>
  <c r="Q230"/>
  <c r="P230"/>
  <c r="Q229"/>
  <c r="P229"/>
  <c r="Q228"/>
  <c r="P228"/>
  <c r="Q227"/>
  <c r="P227"/>
  <c r="Q226"/>
  <c r="P226"/>
  <c r="Q225"/>
  <c r="P225"/>
  <c r="Q224"/>
  <c r="P224"/>
  <c r="Q223"/>
  <c r="P223"/>
  <c r="Q222"/>
  <c r="P222"/>
  <c r="Q221"/>
  <c r="P221"/>
  <c r="Q220"/>
  <c r="P220"/>
  <c r="Q219"/>
  <c r="P219"/>
  <c r="Q218"/>
  <c r="P218"/>
  <c r="Q217"/>
  <c r="P217"/>
  <c r="Q216"/>
  <c r="P216"/>
  <c r="Q215"/>
  <c r="P215"/>
  <c r="Q214"/>
  <c r="P214"/>
  <c r="Q213"/>
  <c r="P213"/>
  <c r="Q212"/>
  <c r="P212"/>
  <c r="Q211"/>
  <c r="P211"/>
  <c r="Q210"/>
  <c r="P210"/>
  <c r="Q209"/>
  <c r="P209"/>
  <c r="Q208"/>
  <c r="P208"/>
  <c r="Q207"/>
  <c r="P207"/>
  <c r="Q206"/>
  <c r="P206"/>
  <c r="Q205"/>
  <c r="P205"/>
  <c r="Q204"/>
  <c r="P204"/>
  <c r="Q203"/>
  <c r="P203"/>
  <c r="Q202"/>
  <c r="P202"/>
  <c r="Q201"/>
  <c r="P201"/>
  <c r="Q200"/>
  <c r="P200"/>
  <c r="Q199"/>
  <c r="P199"/>
  <c r="Q198"/>
  <c r="P198"/>
  <c r="Q197"/>
  <c r="P197"/>
  <c r="Q196"/>
  <c r="P196"/>
  <c r="Q195"/>
  <c r="P195"/>
  <c r="Q194"/>
  <c r="P194"/>
  <c r="Q193"/>
  <c r="P193"/>
  <c r="N193"/>
  <c r="Q192"/>
  <c r="P192"/>
  <c r="N192"/>
  <c r="Q191"/>
  <c r="P191"/>
  <c r="N191"/>
  <c r="Q190"/>
  <c r="P190"/>
  <c r="N190"/>
  <c r="Q189"/>
  <c r="P189"/>
  <c r="N189"/>
  <c r="Q188"/>
  <c r="P188"/>
  <c r="N188"/>
  <c r="Q187"/>
  <c r="P187"/>
  <c r="N187"/>
  <c r="Q186"/>
  <c r="P186"/>
  <c r="N186"/>
  <c r="Q185"/>
  <c r="P185"/>
  <c r="N185"/>
  <c r="Q184"/>
  <c r="P184"/>
  <c r="N184"/>
  <c r="Q183"/>
  <c r="P183"/>
  <c r="N183"/>
  <c r="Q182"/>
  <c r="P182"/>
  <c r="N182"/>
  <c r="Q181"/>
  <c r="P181"/>
  <c r="N181"/>
  <c r="Q180"/>
  <c r="P180"/>
  <c r="N180"/>
  <c r="Q179"/>
  <c r="P179"/>
  <c r="N179"/>
  <c r="Q178"/>
  <c r="P178"/>
  <c r="N178"/>
  <c r="Q177"/>
  <c r="P177"/>
  <c r="N177"/>
  <c r="Q176"/>
  <c r="P176"/>
  <c r="N176"/>
  <c r="Q175"/>
  <c r="P175"/>
  <c r="N175"/>
  <c r="Q174"/>
  <c r="P174"/>
  <c r="N174"/>
  <c r="Q173"/>
  <c r="P173"/>
  <c r="N173"/>
  <c r="Q172"/>
  <c r="P172"/>
  <c r="N172"/>
  <c r="Q171"/>
  <c r="P171"/>
  <c r="N171"/>
  <c r="Q170"/>
  <c r="P170"/>
  <c r="N170"/>
  <c r="Q169"/>
  <c r="P169"/>
  <c r="N169"/>
  <c r="Q168"/>
  <c r="P168"/>
  <c r="N168"/>
  <c r="Q167"/>
  <c r="P167"/>
  <c r="N167"/>
  <c r="Q166"/>
  <c r="P166"/>
  <c r="N166"/>
  <c r="Q165"/>
  <c r="P165"/>
  <c r="N165"/>
  <c r="Q164"/>
  <c r="P164"/>
  <c r="N164"/>
  <c r="Q163"/>
  <c r="P163"/>
  <c r="N163"/>
  <c r="Q162"/>
  <c r="P162"/>
  <c r="N162"/>
  <c r="Q161"/>
  <c r="P161"/>
  <c r="N161"/>
  <c r="Q160"/>
  <c r="P160"/>
  <c r="N160"/>
  <c r="Q159"/>
  <c r="P159"/>
  <c r="N159"/>
  <c r="Q158"/>
  <c r="P158"/>
  <c r="N158"/>
  <c r="Q157"/>
  <c r="P157"/>
  <c r="N157"/>
  <c r="Q156"/>
  <c r="P156"/>
  <c r="N156"/>
  <c r="Q155"/>
  <c r="P155"/>
  <c r="N155"/>
  <c r="Q154"/>
  <c r="P154"/>
  <c r="N154"/>
  <c r="Q153"/>
  <c r="P153"/>
  <c r="N153"/>
  <c r="Q152"/>
  <c r="P152"/>
  <c r="N152"/>
  <c r="Q151"/>
  <c r="P151"/>
  <c r="N151"/>
  <c r="Q150"/>
  <c r="P150"/>
  <c r="N150"/>
  <c r="Q149"/>
  <c r="P149"/>
  <c r="N149"/>
  <c r="Q148"/>
  <c r="P148"/>
  <c r="N148"/>
  <c r="Q147"/>
  <c r="P147"/>
  <c r="N147"/>
  <c r="Q146"/>
  <c r="P146"/>
  <c r="N146"/>
  <c r="Q145"/>
  <c r="P145"/>
  <c r="N145"/>
  <c r="Q144"/>
  <c r="P144"/>
  <c r="N144"/>
  <c r="Q143"/>
  <c r="P143"/>
  <c r="N143"/>
  <c r="Q142"/>
  <c r="P142"/>
  <c r="N142"/>
  <c r="Q141"/>
  <c r="P141"/>
  <c r="N141"/>
  <c r="Q140"/>
  <c r="P140"/>
  <c r="N140"/>
  <c r="Q139"/>
  <c r="P139"/>
  <c r="N139"/>
  <c r="Q138"/>
  <c r="P138"/>
  <c r="N138"/>
  <c r="Q137"/>
  <c r="P137"/>
  <c r="N137"/>
  <c r="Q136"/>
  <c r="P136"/>
  <c r="N136"/>
  <c r="Q135"/>
  <c r="P135"/>
  <c r="N135"/>
  <c r="Q134"/>
  <c r="P134"/>
  <c r="N134"/>
  <c r="Q133"/>
  <c r="P133"/>
  <c r="N133"/>
  <c r="Q132"/>
  <c r="P132"/>
  <c r="N132"/>
  <c r="Q131"/>
  <c r="P131"/>
  <c r="N131"/>
  <c r="Q130"/>
  <c r="P130"/>
  <c r="N130"/>
  <c r="Q129"/>
  <c r="P129"/>
  <c r="N129"/>
  <c r="Q128"/>
  <c r="P128"/>
  <c r="N128"/>
  <c r="Q127"/>
  <c r="P127"/>
  <c r="N127"/>
  <c r="Q126"/>
  <c r="P126"/>
  <c r="N126"/>
  <c r="Q125"/>
  <c r="P125"/>
  <c r="N125"/>
  <c r="Q124"/>
  <c r="P124"/>
  <c r="N124"/>
  <c r="Q123"/>
  <c r="P123"/>
  <c r="N123"/>
  <c r="Q122"/>
  <c r="P122"/>
  <c r="N122"/>
  <c r="Q121"/>
  <c r="P121"/>
  <c r="N121"/>
  <c r="Q120"/>
  <c r="P120"/>
  <c r="N120"/>
  <c r="Q119"/>
  <c r="P119"/>
  <c r="N119"/>
  <c r="Q118"/>
  <c r="P118"/>
  <c r="N118"/>
  <c r="Q117"/>
  <c r="P117"/>
  <c r="N117"/>
  <c r="Q116"/>
  <c r="P116"/>
  <c r="N116"/>
  <c r="Q115"/>
  <c r="P115"/>
  <c r="N115"/>
  <c r="Q114"/>
  <c r="P114"/>
  <c r="N114"/>
  <c r="Q113"/>
  <c r="P113"/>
  <c r="N113"/>
  <c r="Q112"/>
  <c r="P112"/>
  <c r="N112"/>
  <c r="Q111"/>
  <c r="P111"/>
  <c r="N111"/>
  <c r="Q110"/>
  <c r="P110"/>
  <c r="N110"/>
  <c r="Q109"/>
  <c r="P109"/>
  <c r="N109"/>
  <c r="Q108"/>
  <c r="P108"/>
  <c r="N108"/>
  <c r="Q107"/>
  <c r="P107"/>
  <c r="N107"/>
  <c r="Q106"/>
  <c r="P106"/>
  <c r="N106"/>
  <c r="Q105"/>
  <c r="P105"/>
  <c r="N105"/>
  <c r="Q104"/>
  <c r="P104"/>
  <c r="N104"/>
  <c r="Q103"/>
  <c r="P103"/>
  <c r="N103"/>
  <c r="Q102"/>
  <c r="P102"/>
  <c r="N102"/>
  <c r="Q101"/>
  <c r="P101"/>
  <c r="N101"/>
  <c r="Q100"/>
  <c r="P100"/>
  <c r="N100"/>
  <c r="Q99"/>
  <c r="P99"/>
  <c r="N99"/>
  <c r="Q98"/>
  <c r="P98"/>
  <c r="N98"/>
  <c r="Q97"/>
  <c r="P97"/>
  <c r="N97"/>
  <c r="Q96"/>
  <c r="P96"/>
  <c r="N96"/>
  <c r="Q95"/>
  <c r="P95"/>
  <c r="N95"/>
  <c r="Q94"/>
  <c r="P94"/>
  <c r="N94"/>
  <c r="Q93"/>
  <c r="P93"/>
  <c r="N93"/>
  <c r="Q92"/>
  <c r="P92"/>
  <c r="O92"/>
  <c r="N92"/>
  <c r="Q91"/>
  <c r="P91"/>
  <c r="O91"/>
  <c r="N91"/>
  <c r="Q90"/>
  <c r="P90"/>
  <c r="O90"/>
  <c r="N90"/>
  <c r="Q89"/>
  <c r="P89"/>
  <c r="N89"/>
  <c r="Q88"/>
  <c r="P88"/>
  <c r="O88"/>
  <c r="N88"/>
  <c r="Q87"/>
  <c r="P87"/>
  <c r="O87"/>
  <c r="N87"/>
  <c r="Q86"/>
  <c r="P86"/>
  <c r="O86"/>
  <c r="N86"/>
  <c r="Q85"/>
  <c r="P85"/>
  <c r="O85"/>
  <c r="N85"/>
  <c r="Q84"/>
  <c r="P84"/>
  <c r="O84"/>
  <c r="N84"/>
  <c r="Q83"/>
  <c r="P83"/>
  <c r="O83"/>
  <c r="N83"/>
  <c r="Q82"/>
  <c r="P82"/>
  <c r="O82"/>
  <c r="N82"/>
  <c r="Q81"/>
  <c r="P81"/>
  <c r="N81"/>
  <c r="Q80"/>
  <c r="P80"/>
  <c r="N80"/>
  <c r="Q79"/>
  <c r="P79"/>
  <c r="N79"/>
  <c r="Q78"/>
  <c r="P78"/>
  <c r="N78"/>
  <c r="Q77"/>
  <c r="P77"/>
  <c r="O77"/>
  <c r="N77"/>
  <c r="Q76"/>
  <c r="P76"/>
  <c r="N76"/>
  <c r="Q75"/>
  <c r="P75"/>
  <c r="O75"/>
  <c r="N75"/>
  <c r="Q74"/>
  <c r="P74"/>
  <c r="O74"/>
  <c r="N74"/>
  <c r="Q73"/>
  <c r="P73"/>
  <c r="N73"/>
  <c r="Q72"/>
  <c r="P72"/>
  <c r="O72"/>
  <c r="N72"/>
  <c r="Q71"/>
  <c r="P71"/>
  <c r="N71"/>
  <c r="Q70"/>
  <c r="P70"/>
  <c r="N70"/>
  <c r="Q69"/>
  <c r="P69"/>
  <c r="N69"/>
  <c r="Q68"/>
  <c r="P68"/>
  <c r="N68"/>
  <c r="Q67"/>
  <c r="P67"/>
  <c r="N67"/>
  <c r="Q66"/>
  <c r="P66"/>
  <c r="N66"/>
  <c r="Q65"/>
  <c r="P65"/>
  <c r="N65"/>
  <c r="Q64"/>
  <c r="P64"/>
  <c r="N64"/>
  <c r="Q63"/>
  <c r="P63"/>
  <c r="N63"/>
  <c r="Q62"/>
  <c r="P62"/>
  <c r="N62"/>
  <c r="Q61"/>
  <c r="P61"/>
  <c r="N61"/>
  <c r="Q60"/>
  <c r="P60"/>
  <c r="N60"/>
  <c r="Q59"/>
  <c r="P59"/>
  <c r="N59"/>
  <c r="Q58"/>
  <c r="P58"/>
  <c r="N58"/>
  <c r="Q57"/>
  <c r="P57"/>
  <c r="N57"/>
  <c r="Q56"/>
  <c r="P56"/>
  <c r="N56"/>
  <c r="Q55"/>
  <c r="P55"/>
  <c r="N55"/>
  <c r="Q54"/>
  <c r="P54"/>
  <c r="N54"/>
  <c r="Q53"/>
  <c r="P53"/>
  <c r="N53"/>
  <c r="Q52"/>
  <c r="P52"/>
  <c r="N52"/>
  <c r="Q51"/>
  <c r="P51"/>
  <c r="N51"/>
  <c r="Q50"/>
  <c r="P50"/>
  <c r="N50"/>
  <c r="Q49"/>
  <c r="P49"/>
  <c r="N49"/>
  <c r="Q48"/>
  <c r="P48"/>
  <c r="N48"/>
  <c r="Q47"/>
  <c r="P47"/>
  <c r="N47"/>
  <c r="Q46"/>
  <c r="P46"/>
  <c r="N46"/>
  <c r="Q45"/>
  <c r="P45"/>
  <c r="N45"/>
  <c r="Q44"/>
  <c r="P44"/>
  <c r="N44"/>
  <c r="Q43"/>
  <c r="P43"/>
  <c r="N43"/>
  <c r="Q42"/>
  <c r="P42"/>
  <c r="N42"/>
  <c r="Q41"/>
  <c r="P41"/>
  <c r="N41"/>
  <c r="Q40"/>
  <c r="P40"/>
  <c r="N40"/>
  <c r="Q39"/>
  <c r="P39"/>
  <c r="N39"/>
  <c r="Q38"/>
  <c r="P38"/>
  <c r="N38"/>
  <c r="Q37"/>
  <c r="P37"/>
  <c r="N37"/>
  <c r="Q36"/>
  <c r="P36"/>
  <c r="N36"/>
  <c r="Q35"/>
  <c r="P35"/>
  <c r="N35"/>
  <c r="Q34"/>
  <c r="P34"/>
  <c r="N34"/>
  <c r="Q33"/>
  <c r="P33"/>
  <c r="N33"/>
  <c r="Q32"/>
  <c r="P32"/>
  <c r="N32"/>
  <c r="Q31"/>
  <c r="P31"/>
  <c r="N31"/>
  <c r="Q30"/>
  <c r="P30"/>
  <c r="N30"/>
  <c r="Q29"/>
  <c r="P29"/>
  <c r="N29"/>
  <c r="Q28"/>
  <c r="P28"/>
  <c r="N28"/>
  <c r="Q27"/>
  <c r="P27"/>
  <c r="N27"/>
  <c r="Q26"/>
  <c r="P26"/>
  <c r="N26"/>
  <c r="Q25"/>
  <c r="P25"/>
  <c r="N25"/>
  <c r="Q24"/>
  <c r="P24"/>
  <c r="N24"/>
  <c r="Q23"/>
  <c r="P23"/>
  <c r="N23"/>
  <c r="Q22"/>
  <c r="P22"/>
  <c r="N22"/>
  <c r="Q21"/>
  <c r="P21"/>
  <c r="N21"/>
  <c r="Q20"/>
  <c r="P20"/>
  <c r="N20"/>
  <c r="Q19"/>
  <c r="P19"/>
  <c r="N19"/>
  <c r="Q18"/>
  <c r="P18"/>
  <c r="N18"/>
  <c r="K18"/>
  <c r="Q17"/>
  <c r="P17"/>
  <c r="N17"/>
  <c r="Q16"/>
  <c r="P16"/>
  <c r="N16"/>
  <c r="G16"/>
  <c r="S15"/>
  <c r="Q15"/>
  <c r="P15"/>
  <c r="N15"/>
  <c r="S14"/>
  <c r="Q14"/>
  <c r="P14"/>
  <c r="N14"/>
  <c r="K14"/>
  <c r="Q13"/>
  <c r="P13"/>
  <c r="N13"/>
  <c r="S12"/>
  <c r="Q12"/>
  <c r="P12"/>
  <c r="N12"/>
  <c r="F12"/>
  <c r="Q11"/>
  <c r="P11"/>
  <c r="N11"/>
  <c r="Q10"/>
  <c r="P10"/>
  <c r="N10"/>
  <c r="Q9"/>
  <c r="P9"/>
  <c r="N9"/>
  <c r="Q8"/>
  <c r="P8"/>
  <c r="N8"/>
  <c r="Q7"/>
  <c r="P7"/>
  <c r="N7"/>
  <c r="Q6"/>
  <c r="P6"/>
  <c r="N6"/>
  <c r="Q5"/>
  <c r="P5"/>
  <c r="N5"/>
  <c r="Q4"/>
  <c r="P4"/>
  <c r="N4"/>
  <c r="P3"/>
  <c r="J31" i="5"/>
  <c r="I31"/>
  <c r="H31"/>
  <c r="G31"/>
  <c r="F31"/>
  <c r="E31"/>
  <c r="D31"/>
  <c r="J30"/>
  <c r="I30"/>
  <c r="H30"/>
  <c r="G30"/>
  <c r="F30"/>
  <c r="E30"/>
  <c r="D30"/>
  <c r="A30"/>
  <c r="J29"/>
  <c r="I29"/>
  <c r="H29"/>
  <c r="G29"/>
  <c r="F29"/>
  <c r="E29"/>
  <c r="D29"/>
  <c r="J28"/>
  <c r="I28"/>
  <c r="H28"/>
  <c r="G28"/>
  <c r="F28"/>
  <c r="E28"/>
  <c r="D28"/>
  <c r="I27"/>
  <c r="H27"/>
  <c r="G27"/>
  <c r="F27"/>
  <c r="D27"/>
  <c r="I26"/>
  <c r="H26"/>
  <c r="G26"/>
  <c r="F26"/>
  <c r="E26"/>
  <c r="D26"/>
  <c r="J24"/>
  <c r="I24"/>
  <c r="H24"/>
  <c r="G24"/>
  <c r="F24"/>
  <c r="E24"/>
  <c r="J22"/>
  <c r="I22"/>
  <c r="H22"/>
  <c r="G22"/>
  <c r="F22"/>
  <c r="E22"/>
  <c r="L18"/>
  <c r="L17"/>
  <c r="L16"/>
  <c r="J16"/>
  <c r="I16"/>
  <c r="H16"/>
  <c r="G16"/>
  <c r="F16"/>
  <c r="L13"/>
  <c r="J12"/>
  <c r="I12"/>
  <c r="H12"/>
  <c r="G12"/>
  <c r="F12"/>
  <c r="J10"/>
  <c r="I10"/>
  <c r="H10"/>
  <c r="G10"/>
  <c r="F10"/>
  <c r="J8"/>
  <c r="D6"/>
  <c r="C56" i="4"/>
  <c r="C53"/>
  <c r="C49"/>
  <c r="C48"/>
  <c r="C47"/>
  <c r="C46"/>
  <c r="C45"/>
  <c r="C44"/>
  <c r="C40"/>
  <c r="C39"/>
  <c r="C38"/>
  <c r="C37"/>
  <c r="C36"/>
  <c r="C35"/>
  <c r="C34"/>
  <c r="C33"/>
  <c r="C32"/>
  <c r="C31"/>
  <c r="C30"/>
  <c r="C29"/>
  <c r="C28"/>
  <c r="C27"/>
  <c r="C26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I31" i="1"/>
  <c r="A29"/>
  <c r="H28"/>
  <c r="G28"/>
  <c r="AB26"/>
  <c r="Z26"/>
  <c r="A26"/>
  <c r="AC25"/>
  <c r="AD25" s="1"/>
  <c r="V25" s="1"/>
  <c r="AA25"/>
  <c r="Z25"/>
  <c r="W25"/>
  <c r="H25"/>
  <c r="G25"/>
  <c r="AA24"/>
  <c r="A24"/>
  <c r="AN23"/>
  <c r="AD23"/>
  <c r="V23" s="1"/>
  <c r="AC23"/>
  <c r="AA23"/>
  <c r="Z23"/>
  <c r="W23"/>
  <c r="H23"/>
  <c r="G23"/>
  <c r="A23"/>
  <c r="AA22"/>
  <c r="AC21"/>
  <c r="AD21" s="1"/>
  <c r="V21" s="1"/>
  <c r="AA21"/>
  <c r="W21"/>
  <c r="H21"/>
  <c r="G21"/>
  <c r="A21" a="1"/>
  <c r="A21"/>
  <c r="AA20"/>
  <c r="AD19"/>
  <c r="V19" s="1"/>
  <c r="AC19"/>
  <c r="AA19"/>
  <c r="W19"/>
  <c r="H19"/>
  <c r="G19"/>
  <c r="AA18"/>
  <c r="AD17"/>
  <c r="AC17"/>
  <c r="AA17"/>
  <c r="W17"/>
  <c r="V17"/>
  <c r="H17"/>
  <c r="G17"/>
  <c r="AA16"/>
  <c r="AD15"/>
  <c r="AC15"/>
  <c r="AA15"/>
  <c r="W15"/>
  <c r="V15"/>
  <c r="H15"/>
  <c r="G15"/>
  <c r="AA14"/>
  <c r="AD13"/>
  <c r="AC13"/>
  <c r="AA13"/>
  <c r="W13"/>
  <c r="V13"/>
  <c r="H13"/>
  <c r="G13"/>
  <c r="AA12"/>
  <c r="AD11"/>
  <c r="V11" s="1"/>
  <c r="AC11"/>
  <c r="AA11"/>
  <c r="Z11"/>
  <c r="W11"/>
  <c r="H11"/>
  <c r="G11"/>
  <c r="AB10"/>
  <c r="AA10"/>
  <c r="Z10"/>
  <c r="Y10"/>
  <c r="T7"/>
  <c r="Q7"/>
  <c r="D7"/>
  <c r="T6"/>
  <c r="AM5"/>
  <c r="W5"/>
  <c r="T5"/>
  <c r="Q5"/>
  <c r="W4"/>
  <c r="T4"/>
  <c r="AM3"/>
  <c r="T3"/>
  <c r="C3"/>
  <c r="P2"/>
  <c r="AM1"/>
  <c r="M13"/>
  <c r="AJ2"/>
  <c r="M28"/>
  <c r="M23"/>
  <c r="M17"/>
  <c r="M15"/>
  <c r="M25"/>
  <c r="M19"/>
  <c r="M11"/>
  <c r="M21"/>
  <c r="G47" i="12" l="1"/>
  <c r="G46"/>
  <c r="G45"/>
  <c r="G43"/>
  <c r="G42"/>
  <c r="AI6" i="1"/>
  <c r="AE6"/>
  <c r="AA6"/>
  <c r="AF6"/>
  <c r="AB6"/>
  <c r="AG6"/>
  <c r="AD6"/>
  <c r="Y6"/>
  <c r="AC6"/>
  <c r="Z6"/>
  <c r="AH6"/>
  <c r="I13"/>
  <c r="AM7" s="1"/>
  <c r="AJ3"/>
  <c r="AG1"/>
  <c r="AC1"/>
  <c r="Y1"/>
  <c r="AE1"/>
  <c r="I11"/>
  <c r="AF1"/>
  <c r="I28"/>
  <c r="I23"/>
  <c r="I17"/>
  <c r="I15"/>
  <c r="AJ4"/>
  <c r="AH1"/>
  <c r="AD1"/>
  <c r="Z1"/>
  <c r="AA1"/>
  <c r="AB1"/>
  <c r="I25"/>
  <c r="AJ21"/>
  <c r="O21" s="1"/>
  <c r="I19"/>
  <c r="AI1"/>
  <c r="Q4"/>
  <c r="I21"/>
  <c r="AI5"/>
  <c r="AE5"/>
  <c r="AA5"/>
  <c r="AF5"/>
  <c r="AB5"/>
  <c r="Y5"/>
  <c r="AH5"/>
  <c r="AC5"/>
  <c r="Z5"/>
  <c r="AG5"/>
  <c r="AD5"/>
  <c r="AH8"/>
  <c r="AD8"/>
  <c r="Z8"/>
  <c r="AI8"/>
  <c r="AA8"/>
  <c r="AB8"/>
  <c r="AG8"/>
  <c r="AC8"/>
  <c r="AE8"/>
  <c r="AF8"/>
  <c r="Y8"/>
  <c r="N25" s="1"/>
  <c r="AF3"/>
  <c r="AB3"/>
  <c r="AG3"/>
  <c r="Y3"/>
  <c r="AH3"/>
  <c r="AD3"/>
  <c r="AC3"/>
  <c r="AI3"/>
  <c r="Z3"/>
  <c r="AA3"/>
  <c r="AJ15" s="1"/>
  <c r="O15" s="1"/>
  <c r="AI15" s="1"/>
  <c r="Q15" s="1"/>
  <c r="AE3"/>
  <c r="AI4"/>
  <c r="AE4"/>
  <c r="AA4"/>
  <c r="AF4"/>
  <c r="AB4"/>
  <c r="AG4"/>
  <c r="AC4"/>
  <c r="Y4"/>
  <c r="Z4"/>
  <c r="AH4"/>
  <c r="AD4"/>
  <c r="AF7"/>
  <c r="AB7"/>
  <c r="AG7"/>
  <c r="AC7"/>
  <c r="Y7"/>
  <c r="Z7"/>
  <c r="AI7"/>
  <c r="AH7"/>
  <c r="AE7"/>
  <c r="S23" s="1"/>
  <c r="AD7"/>
  <c r="AA7"/>
  <c r="AI9"/>
  <c r="AE9"/>
  <c r="AA9"/>
  <c r="AB9"/>
  <c r="AG9"/>
  <c r="Y9"/>
  <c r="AH9"/>
  <c r="AF9"/>
  <c r="AC9"/>
  <c r="Z9"/>
  <c r="AD9"/>
  <c r="AI2"/>
  <c r="AE2"/>
  <c r="AA2"/>
  <c r="AG2"/>
  <c r="Y2"/>
  <c r="AF2"/>
  <c r="AB2"/>
  <c r="Z2"/>
  <c r="AC2"/>
  <c r="AD2"/>
  <c r="M31"/>
  <c r="AH2"/>
  <c r="S15" l="1"/>
  <c r="U15" s="1"/>
  <c r="T15" s="1"/>
  <c r="K13" i="12"/>
  <c r="AK25" i="1"/>
  <c r="P25" s="1"/>
  <c r="AE25" s="1"/>
  <c r="AF25" s="1"/>
  <c r="J25" s="1"/>
  <c r="S21"/>
  <c r="N23"/>
  <c r="N17"/>
  <c r="AK19"/>
  <c r="P19" s="1"/>
  <c r="AE19" s="1"/>
  <c r="AF19" s="1"/>
  <c r="AG19" s="1"/>
  <c r="N13"/>
  <c r="S28"/>
  <c r="N19"/>
  <c r="AJ11"/>
  <c r="O11" s="1"/>
  <c r="AI11" s="1"/>
  <c r="Q11" s="1"/>
  <c r="S11"/>
  <c r="AK21"/>
  <c r="P21" s="1"/>
  <c r="AE21" s="1"/>
  <c r="AF21" s="1"/>
  <c r="AH21" s="1"/>
  <c r="S13"/>
  <c r="S19"/>
  <c r="N28"/>
  <c r="AK27"/>
  <c r="P28" s="1"/>
  <c r="AE27" s="1"/>
  <c r="AF27" s="1"/>
  <c r="AG27" s="1"/>
  <c r="AK15"/>
  <c r="P15" s="1"/>
  <c r="AE15" s="1"/>
  <c r="AF15" s="1"/>
  <c r="AG15" s="1"/>
  <c r="AJ19"/>
  <c r="O19" s="1"/>
  <c r="AI19" s="1"/>
  <c r="Q19" s="1"/>
  <c r="N11"/>
  <c r="Q3" s="1"/>
  <c r="Q6" s="1"/>
  <c r="N21"/>
  <c r="AK13"/>
  <c r="P13" s="1"/>
  <c r="AE13" s="1"/>
  <c r="AF13" s="1"/>
  <c r="J13" s="1"/>
  <c r="AJ13"/>
  <c r="O13" s="1"/>
  <c r="AI13" s="1"/>
  <c r="Q13" s="1"/>
  <c r="AJ27"/>
  <c r="O28" s="1"/>
  <c r="AI27" s="1"/>
  <c r="Q28" s="1"/>
  <c r="S17"/>
  <c r="N15"/>
  <c r="S25"/>
  <c r="AJ25"/>
  <c r="O25" s="1"/>
  <c r="AI25" s="1"/>
  <c r="Q25" s="1"/>
  <c r="AJ23"/>
  <c r="O23" s="1"/>
  <c r="AI23" s="1"/>
  <c r="Q23" s="1"/>
  <c r="AK23"/>
  <c r="P23" s="1"/>
  <c r="AE23" s="1"/>
  <c r="AF23" s="1"/>
  <c r="J23" s="1"/>
  <c r="AK17"/>
  <c r="P17" s="1"/>
  <c r="AE17" s="1"/>
  <c r="AF17" s="1"/>
  <c r="AG17" s="1"/>
  <c r="AJ17"/>
  <c r="O17" s="1"/>
  <c r="AI17" s="1"/>
  <c r="Q17" s="1"/>
  <c r="AI21"/>
  <c r="Q21" s="1"/>
  <c r="AK11"/>
  <c r="P11" s="1"/>
  <c r="AE11" s="1"/>
  <c r="AF11" s="1"/>
  <c r="J11" s="1"/>
  <c r="AH25"/>
  <c r="U21"/>
  <c r="AL1"/>
  <c r="D32"/>
  <c r="AN19"/>
  <c r="AN20" s="1"/>
  <c r="AN21" s="1"/>
  <c r="AN18"/>
  <c r="AN16"/>
  <c r="AN17"/>
  <c r="J21" l="1"/>
  <c r="AG21"/>
  <c r="U17"/>
  <c r="T17" s="1"/>
  <c r="U11"/>
  <c r="T11" s="1"/>
  <c r="AH27"/>
  <c r="L25"/>
  <c r="AH13"/>
  <c r="L11"/>
  <c r="AG25"/>
  <c r="AH19"/>
  <c r="J19"/>
  <c r="L19" s="1"/>
  <c r="T21"/>
  <c r="J15"/>
  <c r="U23"/>
  <c r="T23" s="1"/>
  <c r="AH15"/>
  <c r="J17"/>
  <c r="L17" s="1"/>
  <c r="K17" s="1"/>
  <c r="L21"/>
  <c r="J28"/>
  <c r="L28" s="1"/>
  <c r="K28" s="1"/>
  <c r="AH17"/>
  <c r="U19"/>
  <c r="T19" s="1"/>
  <c r="L23"/>
  <c r="K23" s="1"/>
  <c r="L15"/>
  <c r="K15" s="1"/>
  <c r="L13"/>
  <c r="K13" s="1"/>
  <c r="AH11"/>
  <c r="AG23"/>
  <c r="U25"/>
  <c r="T25" s="1"/>
  <c r="U28"/>
  <c r="T28" s="1"/>
  <c r="AH23"/>
  <c r="AG13"/>
  <c r="AG11"/>
  <c r="U13"/>
  <c r="T13" s="1"/>
  <c r="Q31" s="1"/>
  <c r="R17"/>
  <c r="R21"/>
  <c r="K21"/>
  <c r="R11"/>
  <c r="K11"/>
  <c r="K25"/>
  <c r="R25"/>
  <c r="K19"/>
  <c r="R19"/>
  <c r="AS23"/>
  <c r="AS16"/>
  <c r="AL7"/>
  <c r="AL5"/>
  <c r="AM16" s="1"/>
  <c r="AV16" s="1"/>
  <c r="AL3"/>
  <c r="AS9"/>
  <c r="R28" l="1"/>
  <c r="R15"/>
  <c r="R13"/>
  <c r="R23"/>
  <c r="AM9"/>
  <c r="AV9" s="1"/>
  <c r="AO16"/>
  <c r="AO17" s="1"/>
  <c r="AO18" s="1"/>
  <c r="AO19" s="1"/>
  <c r="AO20" s="1"/>
  <c r="AO21" s="1"/>
  <c r="AO23"/>
  <c r="AO24" s="1"/>
  <c r="AO25" s="1"/>
  <c r="AO26" s="1"/>
  <c r="AO27" s="1"/>
  <c r="AO28" s="1"/>
  <c r="AV17"/>
  <c r="AV20"/>
  <c r="AV19"/>
  <c r="AV10"/>
  <c r="AV24"/>
  <c r="AV18"/>
  <c r="AV21"/>
  <c r="N31"/>
  <c r="AS24"/>
  <c r="AS10"/>
  <c r="AS17"/>
  <c r="AN12"/>
  <c r="AU12" s="1"/>
  <c r="AN11"/>
  <c r="AU11" s="1"/>
  <c r="AU24"/>
  <c r="AU23"/>
  <c r="AU16"/>
  <c r="AN10"/>
  <c r="AU10" s="1"/>
  <c r="AN14"/>
  <c r="AU14" s="1"/>
  <c r="AN9"/>
  <c r="AN13"/>
  <c r="AU13" s="1"/>
  <c r="AS18"/>
  <c r="AP16"/>
  <c r="AP17" s="1"/>
  <c r="AP18" s="1"/>
  <c r="AP19" s="1"/>
  <c r="AP20" s="1"/>
  <c r="AP21" s="1"/>
  <c r="AR18" s="1"/>
  <c r="AM23"/>
  <c r="AP9" l="1"/>
  <c r="AP10" s="1"/>
  <c r="AP11" s="1"/>
  <c r="AP12" s="1"/>
  <c r="AP13" s="1"/>
  <c r="AP14" s="1"/>
  <c r="AR11" s="1"/>
  <c r="AS25"/>
  <c r="AV28"/>
  <c r="AV26"/>
  <c r="AV27"/>
  <c r="AV25"/>
  <c r="AU27"/>
  <c r="AU25"/>
  <c r="AU28"/>
  <c r="AU26"/>
  <c r="AL16"/>
  <c r="AL17" s="1"/>
  <c r="AL18" s="1"/>
  <c r="AL19" s="1"/>
  <c r="AL20" s="1"/>
  <c r="AL21" s="1"/>
  <c r="AS21" s="1"/>
  <c r="AV23"/>
  <c r="AP23"/>
  <c r="AU9"/>
  <c r="AO9"/>
  <c r="AO10" s="1"/>
  <c r="AO11" s="1"/>
  <c r="AO12" s="1"/>
  <c r="AO13" s="1"/>
  <c r="AU20"/>
  <c r="AU19"/>
  <c r="AU18"/>
  <c r="AU21"/>
  <c r="AU17"/>
  <c r="AV11"/>
  <c r="AV12"/>
  <c r="AV14"/>
  <c r="AV13"/>
  <c r="AR6" l="1"/>
  <c r="AT21"/>
  <c r="AP6"/>
  <c r="AR20"/>
  <c r="AS19"/>
  <c r="AS6" s="1"/>
  <c r="AP24"/>
  <c r="AP25" s="1"/>
  <c r="AP26" s="1"/>
  <c r="AP27" s="1"/>
  <c r="AP28" s="1"/>
  <c r="AR25" s="1"/>
  <c r="AL23"/>
  <c r="AL24" s="1"/>
  <c r="AL25" s="1"/>
  <c r="AL26" s="1"/>
  <c r="AL27" s="1"/>
  <c r="AL28" s="1"/>
  <c r="AS28" s="1"/>
  <c r="AO14"/>
  <c r="AS11"/>
  <c r="AL9"/>
  <c r="AL10" s="1"/>
  <c r="AL11" s="1"/>
  <c r="AL12" s="1"/>
  <c r="AL13" s="1"/>
  <c r="AL14" s="1"/>
  <c r="AS14" s="1"/>
  <c r="AP5" l="1"/>
  <c r="AP4" s="1"/>
  <c r="L31" s="1"/>
  <c r="AR5"/>
  <c r="AR4" s="1"/>
  <c r="K31" s="1"/>
  <c r="AT14"/>
  <c r="AS12"/>
  <c r="AS5" s="1"/>
  <c r="AS4" s="1"/>
  <c r="P31" s="1"/>
  <c r="AR7"/>
  <c r="AT28"/>
  <c r="AP7"/>
  <c r="AR27"/>
  <c r="AS26"/>
  <c r="AS7" s="1"/>
  <c r="AW21"/>
  <c r="AQ6" s="1"/>
  <c r="AW17"/>
  <c r="AW20"/>
  <c r="AW18"/>
  <c r="AO6" s="1"/>
  <c r="AR13" l="1"/>
  <c r="AW28"/>
  <c r="AQ7" s="1"/>
  <c r="AW24"/>
  <c r="AW25"/>
  <c r="AO7" s="1"/>
  <c r="AW27"/>
  <c r="AW10"/>
  <c r="AW14"/>
  <c r="AQ5" s="1"/>
  <c r="AQ4" s="1"/>
  <c r="O31" s="1"/>
  <c r="AW13"/>
  <c r="AW11"/>
  <c r="AO5" s="1"/>
  <c r="AO4" s="1"/>
  <c r="J31" s="1"/>
</calcChain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family val="3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family val="3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family val="3"/>
            <charset val="134"/>
          </rPr>
          <t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family val="3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family val="3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family val="3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family val="3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family val="3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family val="3"/>
            <charset val="134"/>
          </rPr>
          <t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family val="3"/>
            <charset val="134"/>
          </rPr>
          <t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family val="3"/>
            <charset val="134"/>
          </rPr>
          <t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family val="3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family val="3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family val="3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family val="3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family val="3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family val="3"/>
            <charset val="134"/>
          </rPr>
          <t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family val="3"/>
            <charset val="134"/>
          </rPr>
          <t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family val="3"/>
            <charset val="134"/>
          </rPr>
          <t>每次加面板防御5%，上限为20%</t>
        </r>
      </text>
    </comment>
  </commentList>
</comments>
</file>

<file path=xl/sharedStrings.xml><?xml version="1.0" encoding="utf-8"?>
<sst xmlns="http://schemas.openxmlformats.org/spreadsheetml/2006/main" count="1968" uniqueCount="705">
  <si>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</si>
  <si>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</si>
  <si>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</si>
  <si>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</si>
  <si>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</si>
  <si>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</si>
  <si>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</si>
  <si>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</si>
  <si>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</si>
  <si>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</si>
  <si>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</si>
  <si>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</si>
  <si>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</si>
  <si>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</si>
  <si>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</si>
  <si>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</si>
  <si>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</si>
  <si>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</si>
  <si>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</si>
  <si>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</si>
  <si>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</si>
  <si>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</si>
  <si>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</si>
  <si>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</si>
  <si>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</si>
  <si>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</si>
  <si>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</si>
  <si>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</si>
  <si>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</si>
  <si>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</si>
  <si>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</si>
  <si>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</si>
  <si>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</si>
  <si>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</si>
  <si>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</si>
  <si>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</si>
  <si>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</si>
  <si>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</si>
  <si>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</si>
  <si>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</si>
  <si>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</si>
  <si>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</si>
  <si>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</si>
  <si>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</si>
  <si>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</si>
  <si>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</si>
  <si>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</si>
  <si>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</si>
  <si>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</si>
  <si>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</si>
  <si>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</si>
  <si>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</si>
  <si>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</si>
  <si>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</si>
  <si>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</si>
  <si>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</si>
  <si>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</si>
  <si>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</si>
  <si>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</si>
  <si>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</si>
  <si>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</si>
  <si>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</si>
  <si>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</si>
  <si>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</si>
  <si>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</si>
  <si>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</si>
  <si>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</si>
  <si>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</si>
  <si>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family val="3"/>
        <charset val="134"/>
      </rPr>
      <t>"=11</t>
    </r>
    <r>
      <rPr>
        <sz val="11"/>
        <color indexed="17"/>
        <rFont val="宋体"/>
        <family val="3"/>
        <charset val="134"/>
      </rPr>
      <t>"</t>
    </r>
  </si>
  <si>
    <t>&lt;0</t>
  </si>
  <si>
    <t>攻加成%</t>
  </si>
  <si>
    <r>
      <rPr>
        <sz val="11"/>
        <color indexed="17"/>
        <rFont val="宋体"/>
        <family val="3"/>
        <charset val="134"/>
      </rPr>
      <t>&lt;</t>
    </r>
    <r>
      <rPr>
        <sz val="11"/>
        <color indexed="17"/>
        <rFont val="宋体"/>
        <family val="3"/>
        <charset val="134"/>
      </rPr>
      <t>0</t>
    </r>
  </si>
  <si>
    <t>敌方总伤害</t>
  </si>
  <si>
    <r>
      <rPr>
        <sz val="11"/>
        <color indexed="17"/>
        <rFont val="宋体"/>
        <family val="3"/>
        <charset val="134"/>
      </rPr>
      <t>&gt;</t>
    </r>
    <r>
      <rPr>
        <sz val="11"/>
        <color indexed="17"/>
        <rFont val="宋体"/>
        <family val="3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</si>
  <si>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</si>
  <si>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</si>
  <si>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</si>
  <si>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</si>
  <si>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</si>
  <si>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</si>
  <si>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</si>
  <si>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</si>
  <si>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</si>
  <si>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</si>
  <si>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</si>
  <si>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</si>
  <si>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</si>
  <si>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</si>
  <si>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</si>
  <si>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</si>
  <si>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</si>
  <si>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</si>
  <si>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</si>
  <si>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</si>
  <si>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</si>
  <si>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</si>
  <si>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</si>
  <si>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family val="3"/>
        <charset val="134"/>
      </rPr>
      <t xml:space="preserve">    1、添加减伤栏,</t>
    </r>
    <r>
      <rPr>
        <sz val="11"/>
        <color rgb="FFFF0000"/>
        <rFont val="宋体"/>
        <family val="3"/>
        <charset val="134"/>
      </rPr>
      <t>香香减伤不计入该栏</t>
    </r>
    <r>
      <rPr>
        <sz val="11"/>
        <rFont val="宋体"/>
        <family val="3"/>
        <charset val="134"/>
      </rPr>
      <t>；</t>
    </r>
  </si>
  <si>
    <r>
      <rPr>
        <sz val="11"/>
        <rFont val="宋体"/>
        <family val="3"/>
        <charset val="134"/>
      </rPr>
      <t xml:space="preserve">   2、</t>
    </r>
    <r>
      <rPr>
        <sz val="11"/>
        <rFont val="宋体"/>
        <family val="3"/>
        <charset val="134"/>
      </rPr>
      <t>弟子属性录入框中的弟子名称改为填写和选择双模式，以防各种名字乱入；</t>
    </r>
  </si>
  <si>
    <r>
      <rPr>
        <sz val="11"/>
        <rFont val="宋体"/>
        <family val="3"/>
        <charset val="134"/>
      </rPr>
      <t xml:space="preserve">   3</t>
    </r>
    <r>
      <rPr>
        <sz val="11"/>
        <rFont val="宋体"/>
        <family val="3"/>
        <charset val="134"/>
      </rPr>
      <t>、慕容博和慕容龙城只计算单体技能伤害，且NPC中双慕容无加强效果；</t>
    </r>
  </si>
  <si>
    <r>
      <rPr>
        <sz val="11"/>
        <rFont val="宋体"/>
        <family val="3"/>
        <charset val="134"/>
      </rPr>
      <t xml:space="preserve">   4、铁中棠第一刀抵消固定伤害2000，该特效未添加请自行判断</t>
    </r>
    <r>
      <rPr>
        <sz val="11"/>
        <rFont val="宋体"/>
        <family val="3"/>
        <charset val="134"/>
      </rPr>
      <t>；</t>
    </r>
  </si>
  <si>
    <r>
      <rPr>
        <sz val="11"/>
        <rFont val="宋体"/>
        <family val="3"/>
        <charset val="134"/>
      </rPr>
      <t xml:space="preserve">   5、</t>
    </r>
    <r>
      <rPr>
        <sz val="11"/>
        <rFont val="宋体"/>
        <family val="3"/>
        <charset val="134"/>
      </rPr>
      <t>新增组合中十一郎、萧远山</t>
    </r>
    <r>
      <rPr>
        <sz val="11"/>
        <rFont val="宋体"/>
        <family val="3"/>
        <charset val="134"/>
      </rPr>
      <t>NPC</t>
    </r>
    <r>
      <rPr>
        <sz val="11"/>
        <rFont val="宋体"/>
        <family val="3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</si>
  <si>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</si>
  <si>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</si>
  <si>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family val="3"/>
        <charset val="134"/>
      </rPr>
      <t xml:space="preserve"> </t>
    </r>
    <r>
      <rPr>
        <sz val="11"/>
        <color indexed="17"/>
        <rFont val="宋体"/>
        <family val="3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</si>
  <si>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</si>
  <si>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</si>
  <si>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</si>
  <si>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</si>
  <si>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family val="3"/>
        <charset val="134"/>
      </rPr>
      <t xml:space="preserve">         联系QQ：</t>
    </r>
    <r>
      <rPr>
        <sz val="11"/>
        <color indexed="10"/>
        <rFont val="宋体"/>
        <family val="3"/>
        <charset val="134"/>
      </rPr>
      <t>745484327</t>
    </r>
    <r>
      <rPr>
        <sz val="11"/>
        <color indexed="10"/>
        <rFont val="宋体"/>
        <family val="3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</si>
  <si>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</si>
  <si>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</si>
  <si>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</si>
  <si>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</si>
  <si>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</si>
  <si>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</si>
  <si>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</si>
  <si>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family val="3"/>
        <charset val="134"/>
      </rPr>
      <t>H</t>
    </r>
    <r>
      <rPr>
        <sz val="11"/>
        <color indexed="17"/>
        <rFont val="宋体"/>
        <family val="3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</si>
  <si>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</si>
  <si>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</si>
  <si>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</si>
  <si>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</si>
  <si>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family val="3"/>
        <charset val="134"/>
      </rPr>
      <t>S</t>
    </r>
    <r>
      <rPr>
        <sz val="11"/>
        <color indexed="17"/>
        <rFont val="宋体"/>
        <family val="3"/>
        <charset val="134"/>
      </rPr>
      <t>扫地僧</t>
    </r>
  </si>
  <si>
    <t>S神雕</t>
  </si>
  <si>
    <r>
      <rPr>
        <sz val="11"/>
        <color indexed="17"/>
        <rFont val="宋体"/>
        <family val="3"/>
        <charset val="134"/>
      </rPr>
      <t>T</t>
    </r>
    <r>
      <rPr>
        <sz val="11"/>
        <color indexed="17"/>
        <rFont val="宋体"/>
        <family val="3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</si>
  <si>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</si>
  <si>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</si>
  <si>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</si>
  <si>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</si>
  <si>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</si>
  <si>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family val="3"/>
        <charset val="134"/>
      </rPr>
      <t>Z</t>
    </r>
    <r>
      <rPr>
        <sz val="11"/>
        <color indexed="17"/>
        <rFont val="宋体"/>
        <family val="3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</si>
  <si>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</si>
  <si>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</si>
  <si>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</si>
  <si>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</si>
  <si>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</si>
  <si>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</si>
  <si>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</si>
  <si>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</si>
  <si>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</si>
  <si>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</si>
  <si>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</si>
  <si>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</si>
  <si>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</si>
  <si>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</si>
  <si>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</si>
  <si>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</si>
  <si>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</si>
  <si>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</si>
  <si>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</si>
  <si>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</si>
  <si>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</si>
  <si>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</si>
  <si>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</si>
  <si>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</si>
  <si>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</si>
  <si>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</si>
  <si>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</si>
  <si>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</si>
  <si>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</si>
  <si>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</si>
  <si>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family val="3"/>
        <charset val="134"/>
      </rPr>
      <t>T</t>
    </r>
    <r>
      <rPr>
        <sz val="9"/>
        <color indexed="57"/>
        <rFont val="宋体"/>
        <family val="3"/>
        <charset val="134"/>
      </rPr>
      <t>铁中棠</t>
    </r>
  </si>
  <si>
    <r>
      <rPr>
        <sz val="9"/>
        <color indexed="57"/>
        <rFont val="宋体"/>
        <family val="3"/>
        <charset val="134"/>
      </rPr>
      <t>Z</t>
    </r>
    <r>
      <rPr>
        <sz val="9"/>
        <color indexed="57"/>
        <rFont val="宋体"/>
        <family val="3"/>
        <charset val="134"/>
      </rPr>
      <t>诸葛先生</t>
    </r>
  </si>
  <si>
    <r>
      <rPr>
        <sz val="9"/>
        <color indexed="57"/>
        <rFont val="宋体"/>
        <family val="3"/>
        <charset val="134"/>
      </rPr>
      <t>S</t>
    </r>
    <r>
      <rPr>
        <sz val="9"/>
        <color indexed="57"/>
        <rFont val="宋体"/>
        <family val="3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</si>
  <si>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</si>
  <si>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</si>
  <si>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</si>
  <si>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</si>
  <si>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</si>
  <si>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</si>
  <si>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</si>
  <si>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</si>
  <si>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</si>
  <si>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</si>
  <si>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</si>
  <si>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</si>
  <si>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</si>
  <si>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</si>
  <si>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</si>
  <si>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</si>
  <si>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</si>
  <si>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</si>
  <si>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</si>
  <si>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</si>
  <si>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</si>
  <si>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</si>
  <si>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</si>
  <si>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</si>
  <si>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</si>
  <si>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</si>
  <si>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</si>
  <si>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</si>
  <si>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</si>
  <si>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</si>
  <si>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</si>
  <si>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</si>
  <si>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</si>
  <si>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</si>
  <si>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</si>
  <si>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</si>
  <si>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</si>
  <si>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</si>
  <si>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</si>
  <si>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</si>
  <si>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</si>
  <si>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</si>
  <si>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</si>
  <si>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</si>
  <si>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</si>
  <si>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</si>
  <si>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</si>
  <si>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</si>
  <si>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</si>
  <si>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</si>
  <si>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</si>
  <si>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</si>
  <si>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</si>
  <si>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</si>
  <si>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</si>
  <si>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</si>
  <si>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</si>
  <si>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</si>
  <si>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</si>
  <si>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</si>
  <si>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</si>
  <si>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</si>
  <si>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</si>
  <si>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</si>
  <si>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</si>
  <si>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</si>
  <si>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</si>
  <si>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</si>
  <si>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</si>
  <si>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</si>
  <si>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</si>
  <si>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</si>
  <si>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</si>
  <si>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</si>
  <si>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</si>
  <si>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</si>
  <si>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</si>
  <si>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</si>
  <si>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</si>
  <si>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</si>
  <si>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</si>
  <si>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</si>
  <si>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</si>
  <si>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</si>
  <si>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</si>
  <si>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</si>
  <si>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</si>
  <si>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</si>
  <si>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</si>
  <si>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</si>
  <si>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</si>
  <si>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</si>
  <si>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</si>
  <si>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</si>
  <si>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</si>
  <si>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</si>
  <si>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</si>
  <si>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</si>
  <si>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</si>
  <si>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</si>
  <si>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</si>
  <si>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</si>
  <si>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</si>
  <si>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</si>
  <si>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</si>
  <si>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</si>
  <si>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</si>
  <si>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</si>
  <si>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</si>
  <si>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</si>
  <si>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</si>
  <si>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</si>
  <si>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</si>
  <si>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</si>
  <si>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</si>
  <si>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</si>
  <si>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</si>
  <si>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</si>
  <si>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</si>
  <si>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</si>
  <si>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</si>
  <si>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</si>
  <si>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</si>
  <si>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</si>
  <si>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</si>
  <si>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</si>
  <si>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</si>
  <si>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</si>
  <si>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</si>
  <si>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</si>
  <si>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</si>
  <si>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</si>
  <si>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</si>
  <si>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</si>
  <si>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</si>
  <si>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</si>
  <si>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</si>
  <si>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</si>
  <si>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</si>
  <si>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</si>
  <si>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</si>
  <si>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</si>
  <si>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</si>
  <si>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</si>
  <si>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</si>
  <si>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</si>
  <si>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</si>
  <si>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</si>
  <si>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</si>
  <si>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</si>
  <si>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</si>
  <si>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</si>
  <si>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</si>
  <si>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</si>
  <si>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</si>
  <si>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</si>
  <si>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</si>
  <si>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</si>
  <si>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</si>
  <si>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</si>
  <si>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</si>
  <si>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</si>
  <si>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</si>
  <si>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</si>
  <si>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</si>
  <si>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</si>
  <si>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</si>
  <si>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</si>
  <si>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</si>
  <si>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</si>
  <si>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</si>
  <si>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</si>
  <si>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</si>
  <si>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</si>
  <si>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</si>
  <si>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</si>
  <si>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</si>
  <si>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</si>
  <si>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</si>
  <si>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</si>
  <si>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</si>
  <si>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</si>
  <si>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</si>
  <si>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</si>
  <si>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</si>
  <si>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</si>
  <si>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</si>
  <si>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</si>
  <si>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</si>
  <si>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</si>
  <si>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</si>
  <si>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</si>
  <si>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</si>
  <si>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</si>
  <si>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</si>
  <si>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</si>
  <si>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</si>
  <si>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</si>
  <si>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</si>
  <si>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</si>
  <si>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</si>
  <si>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</si>
  <si>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</si>
  <si>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</si>
  <si>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</si>
  <si>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</si>
  <si>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</si>
  <si>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family val="3"/>
        <charset val="134"/>
      </rPr>
      <t xml:space="preserve">   即可在选择</t>
    </r>
    <r>
      <rPr>
        <sz val="11"/>
        <color indexed="17"/>
        <rFont val="宋体"/>
        <family val="3"/>
        <charset val="134"/>
      </rPr>
      <t>弟子</t>
    </r>
    <r>
      <rPr>
        <sz val="11"/>
        <color indexed="17"/>
        <rFont val="宋体"/>
        <family val="3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</si>
  <si>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</si>
  <si>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</si>
  <si>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</si>
  <si>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</si>
  <si>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</si>
  <si>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</si>
  <si>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</si>
  <si>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</si>
  <si>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</si>
  <si>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</si>
  <si>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</si>
  <si>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</si>
  <si>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</si>
  <si>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</si>
  <si>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</si>
  <si>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</si>
  <si>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</si>
  <si>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family val="3"/>
        <charset val="134"/>
      </rPr>
      <t xml:space="preserve">   1、该计算器最多计算至</t>
    </r>
    <r>
      <rPr>
        <sz val="11"/>
        <color indexed="10"/>
        <rFont val="宋体"/>
        <family val="3"/>
        <charset val="134"/>
      </rPr>
      <t>290</t>
    </r>
    <r>
      <rPr>
        <sz val="11"/>
        <color indexed="17"/>
        <rFont val="宋体"/>
        <family val="3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</si>
  <si>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</si>
  <si>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</si>
  <si>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</si>
  <si>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</si>
  <si>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</si>
  <si>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</si>
  <si>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</si>
  <si>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</si>
  <si>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</si>
  <si>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</si>
  <si>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</si>
  <si>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</si>
  <si>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</si>
  <si>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</si>
  <si>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</si>
  <si>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</si>
  <si>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</si>
  <si>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</si>
  <si>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</si>
  <si>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family val="3"/>
        <charset val="134"/>
      </rPr>
      <t>5</t>
    </r>
    <r>
      <rPr>
        <sz val="11"/>
        <color indexed="17"/>
        <rFont val="宋体"/>
        <family val="3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</si>
  <si>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</si>
  <si>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</si>
  <si>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</si>
  <si>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</si>
  <si>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</si>
  <si>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</si>
  <si>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</si>
  <si>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</si>
  <si>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family val="3"/>
        <charset val="134"/>
      </rPr>
      <t>成，</t>
    </r>
    <r>
      <rPr>
        <sz val="11"/>
        <color indexed="10"/>
        <rFont val="宋体"/>
        <family val="3"/>
        <charset val="134"/>
      </rPr>
      <t>一为遁甲牌，二为奇石</t>
    </r>
    <r>
      <rPr>
        <sz val="11"/>
        <color indexed="17"/>
        <rFont val="宋体"/>
        <family val="3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</si>
  <si>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</si>
  <si>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</si>
  <si>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</si>
  <si>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</si>
  <si>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</si>
  <si>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</si>
  <si>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</si>
  <si>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</si>
  <si>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</si>
  <si>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</si>
  <si>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</si>
  <si>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</si>
  <si>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</si>
  <si>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</si>
  <si>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family val="3"/>
        <charset val="134"/>
      </rPr>
      <t>6、</t>
    </r>
    <r>
      <rPr>
        <sz val="11"/>
        <color indexed="17"/>
        <rFont val="宋体"/>
        <family val="3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</si>
  <si>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</si>
  <si>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</si>
  <si>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</si>
  <si>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</si>
  <si>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family val="3"/>
        <charset val="134"/>
      </rPr>
      <t>7、在计算最终属性时，因</t>
    </r>
    <r>
      <rPr>
        <sz val="11"/>
        <color indexed="10"/>
        <rFont val="宋体"/>
        <family val="3"/>
        <charset val="134"/>
      </rPr>
      <t>冲关</t>
    </r>
  </si>
  <si>
    <t>奇石</t>
  </si>
  <si>
    <r>
      <rPr>
        <sz val="11"/>
        <color indexed="10"/>
        <rFont val="宋体"/>
        <family val="3"/>
        <charset val="134"/>
      </rPr>
      <t>第二层</t>
    </r>
    <r>
      <rPr>
        <sz val="11"/>
        <color indexed="17"/>
        <rFont val="宋体"/>
        <family val="3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</si>
  <si>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</si>
  <si>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</si>
  <si>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</si>
  <si>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</si>
  <si>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</si>
  <si>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</si>
  <si>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</si>
  <si>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</si>
  <si>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</si>
  <si>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</si>
  <si>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</si>
  <si>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</si>
  <si>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</si>
  <si>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family val="3"/>
        <charset val="134"/>
      </rPr>
      <t xml:space="preserve">        群攻</t>
    </r>
    <r>
      <rPr>
        <sz val="11"/>
        <color indexed="10"/>
        <rFont val="宋体"/>
        <family val="3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</si>
  <si>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</si>
  <si>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</si>
  <si>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family val="3"/>
        <charset val="134"/>
      </rPr>
      <t>1、此公式最好用的地方是用在血战扫星上，能精准的算出</t>
    </r>
    <r>
      <rPr>
        <sz val="11"/>
        <color indexed="17"/>
        <rFont val="宋体"/>
        <family val="3"/>
        <charset val="134"/>
      </rPr>
      <t>对</t>
    </r>
    <r>
      <rPr>
        <sz val="11"/>
        <color indexed="17"/>
        <rFont val="宋体"/>
        <family val="3"/>
        <charset val="134"/>
      </rPr>
      <t>每个敌人的</t>
    </r>
    <r>
      <rPr>
        <sz val="11"/>
        <color indexed="17"/>
        <rFont val="宋体"/>
        <family val="3"/>
        <charset val="134"/>
      </rPr>
      <t>伤害</t>
    </r>
    <r>
      <rPr>
        <sz val="11"/>
        <color indexed="17"/>
        <rFont val="宋体"/>
        <family val="3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</si>
  <si>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</si>
  <si>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</si>
  <si>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</si>
  <si>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</si>
  <si>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</si>
  <si>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</si>
  <si>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</si>
  <si>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family val="3"/>
        <charset val="134"/>
      </rPr>
      <t>5、</t>
    </r>
    <r>
      <rPr>
        <sz val="11"/>
        <color indexed="17"/>
        <rFont val="宋体"/>
        <family val="3"/>
        <charset val="134"/>
      </rPr>
      <t>橙</t>
    </r>
    <r>
      <rPr>
        <sz val="11"/>
        <color indexed="17"/>
        <rFont val="宋体"/>
        <family val="3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</si>
  <si>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</si>
  <si>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</si>
  <si>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</si>
  <si>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</si>
  <si>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</si>
  <si>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</si>
  <si>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</si>
  <si>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</si>
  <si>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</si>
  <si>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</si>
  <si>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</si>
  <si>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</si>
  <si>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</si>
  <si>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</si>
  <si>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</si>
  <si>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</si>
  <si>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</si>
  <si>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</si>
  <si>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</si>
  <si>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</si>
  <si>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</si>
  <si>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</si>
  <si>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</si>
  <si>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family val="3"/>
        <charset val="134"/>
      </rPr>
      <t>3</t>
    </r>
    <r>
      <rPr>
        <sz val="11"/>
        <color indexed="17"/>
        <rFont val="宋体"/>
        <family val="3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</si>
  <si>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</si>
  <si>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</si>
  <si>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</si>
  <si>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</si>
  <si>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</si>
  <si>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</si>
  <si>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</si>
  <si>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</si>
  <si>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</si>
  <si>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</si>
  <si>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</si>
  <si>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</si>
  <si>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</si>
  <si>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</si>
  <si>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</si>
  <si>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</si>
  <si>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</si>
  <si>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</si>
  <si>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</si>
  <si>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</si>
  <si>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</si>
  <si>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</si>
  <si>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</si>
  <si>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</si>
  <si>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</si>
  <si>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</si>
  <si>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</si>
  <si>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</si>
  <si>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</si>
  <si>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</si>
  <si>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</si>
  <si>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</si>
  <si>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</si>
  <si>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</si>
  <si>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</si>
  <si>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</si>
  <si>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</si>
  <si>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</si>
  <si>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</si>
  <si>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</si>
  <si>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</si>
  <si>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</si>
  <si>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</si>
  <si>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</si>
  <si>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</si>
  <si>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</si>
  <si>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</si>
  <si>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</si>
  <si>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</si>
  <si>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</si>
  <si>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</si>
  <si>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</si>
  <si>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</si>
  <si>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</si>
  <si>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</si>
  <si>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</si>
  <si>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</si>
  <si>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</si>
  <si>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</si>
  <si>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</si>
  <si>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</si>
  <si>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</si>
  <si>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</si>
  <si>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</si>
  <si>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</si>
  <si>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</si>
  <si>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</si>
  <si>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</si>
  <si>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</si>
  <si>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</si>
  <si>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</si>
  <si>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</si>
  <si>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</si>
  <si>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</si>
  <si>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</si>
  <si>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</si>
  <si>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</si>
  <si>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</si>
  <si>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</si>
  <si>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</si>
  <si>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</si>
  <si>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</si>
  <si>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</si>
  <si>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</si>
  <si>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</si>
  <si>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</si>
  <si>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</si>
  <si>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</si>
  <si>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</si>
  <si>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</si>
  <si>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</si>
  <si>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</si>
  <si>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</si>
  <si>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</si>
  <si>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</si>
  <si>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</si>
  <si>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</si>
  <si>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</si>
  <si>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</si>
  <si>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</si>
  <si>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</si>
  <si>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</si>
  <si>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</si>
  <si>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</si>
  <si>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</si>
  <si>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</si>
  <si>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</si>
  <si>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</si>
  <si>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</si>
  <si>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</si>
  <si>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</si>
  <si>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</si>
  <si>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</si>
  <si>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</si>
  <si>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</si>
  <si>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</si>
  <si>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</si>
  <si>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</si>
  <si>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</si>
  <si>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</si>
  <si>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</si>
  <si>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</si>
  <si>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</si>
  <si>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</si>
  <si>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</si>
  <si>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</si>
  <si>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</si>
  <si>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</si>
  <si>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</si>
  <si>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</si>
  <si>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</si>
  <si>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</si>
  <si>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</si>
  <si>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</si>
  <si>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</si>
  <si>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</si>
  <si>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</si>
  <si>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</si>
  <si>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</si>
  <si>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</si>
  <si>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</si>
  <si>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</si>
  <si>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</si>
  <si>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</si>
  <si>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</si>
  <si>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</si>
  <si>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</si>
  <si>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</si>
  <si>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</si>
  <si>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</si>
  <si>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</si>
  <si>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</si>
  <si>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</si>
  <si>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</si>
  <si>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</si>
  <si>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</si>
  <si>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</si>
  <si>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</si>
  <si>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</si>
  <si>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</si>
  <si>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</si>
  <si>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</si>
  <si>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</si>
  <si>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</si>
  <si>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</si>
  <si>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</si>
  <si>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</si>
  <si>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</si>
  <si>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</si>
  <si>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</si>
  <si>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</si>
  <si>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</si>
  <si>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</si>
  <si>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</si>
  <si>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</si>
  <si>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</si>
  <si>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</si>
  <si>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</si>
  <si>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</si>
  <si>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</si>
  <si>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</si>
  <si>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</si>
  <si>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</si>
  <si>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</si>
  <si>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</si>
  <si>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</si>
  <si>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</si>
  <si>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</si>
  <si>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</si>
  <si>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</si>
  <si>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family val="3"/>
        <charset val="134"/>
      </rPr>
      <t xml:space="preserve">            </t>
    </r>
    <r>
      <rPr>
        <sz val="11"/>
        <color indexed="17"/>
        <rFont val="宋体"/>
        <family val="3"/>
        <charset val="134"/>
      </rPr>
      <t xml:space="preserve"> </t>
    </r>
  </si>
  <si>
    <r>
      <rPr>
        <sz val="11"/>
        <color indexed="17"/>
        <rFont val="宋体"/>
        <family val="3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family val="3"/>
        <charset val="134"/>
      </rPr>
      <t>红色</t>
    </r>
    <r>
      <rPr>
        <sz val="11"/>
        <color indexed="17"/>
        <rFont val="宋体"/>
        <family val="3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</si>
  <si>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</si>
  <si>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</si>
  <si>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family val="3"/>
        <charset val="134"/>
      </rPr>
      <t xml:space="preserve">          </t>
    </r>
    <r>
      <rPr>
        <sz val="11"/>
        <color indexed="17"/>
        <rFont val="宋体"/>
        <family val="3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</si>
  <si>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</si>
  <si>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</si>
  <si>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</si>
  <si>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</si>
  <si>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</si>
  <si>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family val="3"/>
        <charset val="134"/>
      </rPr>
      <t>深入敌后（</t>
    </r>
    <r>
      <rPr>
        <sz val="11"/>
        <color indexed="17"/>
        <rFont val="宋体"/>
        <family val="3"/>
        <charset val="134"/>
      </rPr>
      <t>5人</t>
    </r>
    <r>
      <rPr>
        <sz val="11"/>
        <color indexed="17"/>
        <rFont val="宋体"/>
        <family val="3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</si>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</sst>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9">
    <numFmt numFmtId="176" formatCode="0.000"/>
    <numFmt numFmtId="178" formatCode="0.0000_ "/>
    <numFmt numFmtId="179" formatCode="0.0_ "/>
    <numFmt numFmtId="180" formatCode="0.00_);[Red]\(0.00\)"/>
    <numFmt numFmtId="182" formatCode="0.000_ "/>
    <numFmt numFmtId="183" formatCode="0.00_ "/>
    <numFmt numFmtId="184" formatCode="0_ "/>
    <numFmt numFmtId="185" formatCode="0_);[Red]\(0\)"/>
    <numFmt numFmtId="186" formatCode="0.0_);[Red]\(0.0\)"/>
  </numFmts>
  <fonts count="58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family val="3"/>
      <charset val="134"/>
    </font>
    <font>
      <sz val="11"/>
      <name val="宋体"/>
      <family val="3"/>
      <charset val="134"/>
    </font>
    <font>
      <sz val="11"/>
      <color indexed="49"/>
      <name val="宋体"/>
      <family val="3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color indexed="17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family val="3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1"/>
      <color indexed="57"/>
      <name val="宋体"/>
      <family val="3"/>
      <charset val="134"/>
    </font>
    <font>
      <sz val="9"/>
      <color indexed="57"/>
      <name val="宋体"/>
      <family val="3"/>
      <charset val="134"/>
    </font>
    <font>
      <b/>
      <sz val="12"/>
      <color indexed="10"/>
      <name val="微软雅黑"/>
      <family val="2"/>
      <charset val="134"/>
    </font>
    <font>
      <b/>
      <sz val="11"/>
      <color indexed="21"/>
      <name val="宋体"/>
      <family val="3"/>
      <charset val="134"/>
    </font>
    <font>
      <sz val="11"/>
      <color indexed="58"/>
      <name val="宋体"/>
      <family val="3"/>
      <charset val="134"/>
    </font>
    <font>
      <b/>
      <sz val="11"/>
      <color indexed="1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58"/>
      <name val="宋体"/>
      <family val="3"/>
      <charset val="134"/>
    </font>
    <font>
      <b/>
      <sz val="11"/>
      <color rgb="FF008000"/>
      <name val="宋体"/>
      <family val="3"/>
      <charset val="134"/>
    </font>
    <font>
      <b/>
      <sz val="20"/>
      <color indexed="10"/>
      <name val="宋体"/>
      <family val="3"/>
      <charset val="134"/>
      <scheme val="major"/>
    </font>
    <font>
      <b/>
      <sz val="16"/>
      <color indexed="10"/>
      <name val="宋体"/>
      <family val="3"/>
      <charset val="134"/>
    </font>
    <font>
      <b/>
      <sz val="16"/>
      <color indexed="13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family val="3"/>
      <charset val="134"/>
    </font>
    <font>
      <b/>
      <sz val="11"/>
      <color indexed="12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10"/>
      <name val="宋体"/>
      <family val="3"/>
      <charset val="134"/>
      <scheme val="minor"/>
    </font>
    <font>
      <b/>
      <sz val="11"/>
      <color rgb="FF003366"/>
      <name val="宋体"/>
      <family val="3"/>
      <charset val="134"/>
    </font>
    <font>
      <b/>
      <sz val="10"/>
      <color indexed="56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56"/>
      <name val="宋体"/>
      <family val="3"/>
      <charset val="134"/>
    </font>
    <font>
      <b/>
      <sz val="10"/>
      <color indexed="17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2"/>
      <color rgb="FF00800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</borders>
  <cellStyleXfs count="7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8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1" applyProtection="1">
      <alignment vertical="center"/>
      <protection locked="0"/>
    </xf>
    <xf numFmtId="0" fontId="2" fillId="3" borderId="0" xfId="1" applyAlignment="1" applyProtection="1">
      <alignment horizontal="center" vertical="center"/>
      <protection locked="0"/>
    </xf>
    <xf numFmtId="0" fontId="2" fillId="3" borderId="0" xfId="1" applyBorder="1" applyAlignment="1" applyProtection="1">
      <alignment horizontal="center" vertical="center"/>
      <protection locked="0"/>
    </xf>
    <xf numFmtId="0" fontId="2" fillId="3" borderId="0" xfId="1">
      <alignment vertical="center"/>
    </xf>
    <xf numFmtId="0" fontId="2" fillId="3" borderId="1" xfId="1" applyBorder="1" applyAlignment="1" applyProtection="1">
      <alignment horizontal="center" vertical="center"/>
      <protection locked="0"/>
    </xf>
    <xf numFmtId="0" fontId="2" fillId="3" borderId="1" xfId="1" applyFont="1" applyBorder="1" applyAlignment="1" applyProtection="1">
      <alignment horizontal="center" vertical="center"/>
      <protection locked="0"/>
    </xf>
    <xf numFmtId="0" fontId="2" fillId="3" borderId="2" xfId="1" applyFont="1" applyBorder="1" applyAlignment="1" applyProtection="1">
      <alignment horizontal="center" vertical="center"/>
      <protection locked="0"/>
    </xf>
    <xf numFmtId="0" fontId="2" fillId="3" borderId="2" xfId="1" applyBorder="1" applyAlignment="1" applyProtection="1">
      <alignment horizontal="center" vertical="center"/>
      <protection locked="0"/>
    </xf>
    <xf numFmtId="0" fontId="2" fillId="3" borderId="0" xfId="1" applyAlignment="1">
      <alignment horizontal="right" vertical="center"/>
    </xf>
    <xf numFmtId="0" fontId="2" fillId="3" borderId="0" xfId="1" applyAlignment="1">
      <alignment horizontal="left" vertical="center"/>
    </xf>
    <xf numFmtId="0" fontId="2" fillId="5" borderId="5" xfId="1" applyFill="1" applyBorder="1" applyAlignment="1">
      <alignment horizontal="center" vertical="center"/>
    </xf>
    <xf numFmtId="0" fontId="3" fillId="5" borderId="6" xfId="1" applyFont="1" applyFill="1" applyBorder="1">
      <alignment vertical="center"/>
    </xf>
    <xf numFmtId="0" fontId="2" fillId="5" borderId="7" xfId="1" applyFill="1" applyBorder="1" applyAlignment="1" applyProtection="1">
      <alignment horizontal="right" vertical="center"/>
    </xf>
    <xf numFmtId="0" fontId="2" fillId="5" borderId="5" xfId="1" applyFill="1" applyBorder="1" applyAlignment="1" applyProtection="1">
      <alignment horizontal="center" vertical="center"/>
    </xf>
    <xf numFmtId="0" fontId="2" fillId="5" borderId="7" xfId="1" applyFont="1" applyFill="1" applyBorder="1">
      <alignment vertical="center"/>
    </xf>
    <xf numFmtId="0" fontId="2" fillId="3" borderId="0" xfId="1" applyAlignment="1">
      <alignment vertical="center" wrapText="1"/>
    </xf>
    <xf numFmtId="0" fontId="2" fillId="3" borderId="8" xfId="1" applyBorder="1" applyAlignment="1" applyProtection="1">
      <alignment horizontal="center" vertical="center"/>
      <protection locked="0"/>
    </xf>
    <xf numFmtId="0" fontId="2" fillId="3" borderId="0" xfId="1" applyAlignment="1">
      <alignment horizontal="center" vertical="center"/>
    </xf>
    <xf numFmtId="178" fontId="2" fillId="3" borderId="0" xfId="1" applyNumberFormat="1" applyAlignment="1">
      <alignment horizontal="center" vertical="center"/>
    </xf>
    <xf numFmtId="0" fontId="2" fillId="3" borderId="0" xfId="1" applyNumberFormat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3" borderId="12" xfId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178" fontId="2" fillId="3" borderId="1" xfId="1" applyNumberFormat="1" applyBorder="1" applyAlignment="1">
      <alignment horizontal="center" vertical="center"/>
    </xf>
    <xf numFmtId="0" fontId="2" fillId="3" borderId="14" xfId="1" applyNumberFormat="1" applyBorder="1" applyAlignment="1">
      <alignment horizontal="center" vertical="center"/>
    </xf>
    <xf numFmtId="0" fontId="2" fillId="3" borderId="1" xfId="1" applyNumberFormat="1" applyBorder="1" applyAlignment="1">
      <alignment horizontal="center" vertical="center"/>
    </xf>
    <xf numFmtId="0" fontId="4" fillId="3" borderId="1" xfId="1" applyFont="1" applyBorder="1" applyAlignment="1">
      <alignment horizontal="center" vertical="center"/>
    </xf>
    <xf numFmtId="0" fontId="4" fillId="3" borderId="12" xfId="1" applyFont="1" applyBorder="1" applyAlignment="1">
      <alignment horizontal="center" vertical="center"/>
    </xf>
    <xf numFmtId="0" fontId="2" fillId="3" borderId="0" xfId="1" applyFont="1" applyAlignment="1">
      <alignment horizontal="center" vertical="center"/>
    </xf>
    <xf numFmtId="0" fontId="2" fillId="3" borderId="0" xfId="1" applyBorder="1" applyAlignment="1">
      <alignment horizontal="center" vertical="center"/>
    </xf>
    <xf numFmtId="0" fontId="4" fillId="3" borderId="0" xfId="1" applyFont="1" applyAlignment="1">
      <alignment horizontal="center" vertical="center"/>
    </xf>
    <xf numFmtId="0" fontId="2" fillId="3" borderId="11" xfId="1" applyBorder="1" applyAlignment="1" applyProtection="1">
      <alignment horizontal="center" vertical="center"/>
    </xf>
    <xf numFmtId="0" fontId="2" fillId="3" borderId="12" xfId="1" applyBorder="1" applyAlignment="1" applyProtection="1">
      <alignment horizontal="center" vertical="center"/>
    </xf>
    <xf numFmtId="0" fontId="2" fillId="3" borderId="14" xfId="1" applyFont="1" applyBorder="1" applyProtection="1">
      <alignment vertical="center"/>
    </xf>
    <xf numFmtId="0" fontId="2" fillId="3" borderId="0" xfId="1" applyFont="1" applyBorder="1" applyProtection="1">
      <alignment vertical="center"/>
    </xf>
    <xf numFmtId="0" fontId="2" fillId="3" borderId="20" xfId="1" applyBorder="1" applyAlignment="1" applyProtection="1">
      <alignment horizontal="center" vertical="center"/>
    </xf>
    <xf numFmtId="176" fontId="2" fillId="3" borderId="21" xfId="1" applyNumberFormat="1" applyBorder="1" applyAlignment="1" applyProtection="1">
      <alignment horizontal="center" vertical="center"/>
    </xf>
    <xf numFmtId="182" fontId="2" fillId="3" borderId="21" xfId="1" applyNumberFormat="1" applyBorder="1" applyAlignment="1" applyProtection="1">
      <alignment horizontal="center" vertical="center"/>
    </xf>
    <xf numFmtId="183" fontId="2" fillId="3" borderId="21" xfId="1" applyNumberFormat="1" applyBorder="1" applyAlignment="1" applyProtection="1">
      <alignment horizontal="center" vertical="center"/>
    </xf>
    <xf numFmtId="0" fontId="2" fillId="3" borderId="14" xfId="1" applyBorder="1" applyProtection="1">
      <alignment vertical="center"/>
    </xf>
    <xf numFmtId="0" fontId="2" fillId="3" borderId="0" xfId="1" applyBorder="1" applyProtection="1">
      <alignment vertical="center"/>
    </xf>
    <xf numFmtId="0" fontId="2" fillId="3" borderId="22" xfId="1" applyBorder="1" applyAlignment="1" applyProtection="1">
      <alignment horizontal="center" vertical="center"/>
    </xf>
    <xf numFmtId="0" fontId="2" fillId="3" borderId="23" xfId="1" applyBorder="1" applyAlignment="1" applyProtection="1">
      <alignment horizontal="center" vertical="center"/>
    </xf>
    <xf numFmtId="182" fontId="2" fillId="3" borderId="23" xfId="1" applyNumberFormat="1" applyBorder="1" applyAlignment="1" applyProtection="1">
      <alignment horizontal="center" vertical="center"/>
    </xf>
    <xf numFmtId="183" fontId="2" fillId="3" borderId="23" xfId="1" applyNumberFormat="1" applyBorder="1" applyAlignment="1" applyProtection="1">
      <alignment horizontal="center" vertical="center"/>
    </xf>
    <xf numFmtId="0" fontId="2" fillId="3" borderId="14" xfId="1" applyBorder="1" applyAlignment="1" applyProtection="1">
      <alignment horizontal="left" vertical="center"/>
    </xf>
    <xf numFmtId="0" fontId="2" fillId="3" borderId="0" xfId="1" applyBorder="1" applyAlignment="1" applyProtection="1">
      <alignment horizontal="left" vertical="center"/>
    </xf>
    <xf numFmtId="176" fontId="2" fillId="3" borderId="23" xfId="1" applyNumberFormat="1" applyBorder="1" applyAlignment="1" applyProtection="1">
      <alignment horizontal="center" vertical="center"/>
    </xf>
    <xf numFmtId="0" fontId="2" fillId="3" borderId="25" xfId="1" applyBorder="1" applyAlignment="1" applyProtection="1">
      <alignment horizontal="center" vertical="center"/>
    </xf>
    <xf numFmtId="0" fontId="2" fillId="3" borderId="26" xfId="1" applyBorder="1" applyAlignment="1" applyProtection="1">
      <alignment horizontal="center" vertical="center"/>
    </xf>
    <xf numFmtId="182" fontId="2" fillId="3" borderId="26" xfId="1" applyNumberFormat="1" applyBorder="1" applyAlignment="1" applyProtection="1">
      <alignment horizontal="center" vertical="center"/>
    </xf>
    <xf numFmtId="183" fontId="2" fillId="3" borderId="26" xfId="1" applyNumberFormat="1" applyBorder="1" applyAlignment="1" applyProtection="1">
      <alignment horizontal="center" vertical="center"/>
    </xf>
    <xf numFmtId="0" fontId="2" fillId="3" borderId="27" xfId="1" applyFont="1" applyBorder="1" applyProtection="1">
      <alignment vertical="center"/>
    </xf>
    <xf numFmtId="0" fontId="2" fillId="3" borderId="28" xfId="1" applyFont="1" applyBorder="1" applyProtection="1">
      <alignment vertical="center"/>
    </xf>
    <xf numFmtId="0" fontId="2" fillId="3" borderId="0" xfId="1" applyBorder="1" applyProtection="1">
      <alignment vertical="center"/>
      <protection locked="0"/>
    </xf>
    <xf numFmtId="0" fontId="2" fillId="3" borderId="12" xfId="1" applyFont="1" applyBorder="1" applyAlignment="1" applyProtection="1">
      <alignment horizontal="center" vertical="center"/>
    </xf>
    <xf numFmtId="0" fontId="2" fillId="3" borderId="9" xfId="1" applyFont="1" applyBorder="1" applyAlignment="1" applyProtection="1">
      <alignment horizontal="center" vertical="center"/>
    </xf>
    <xf numFmtId="0" fontId="2" fillId="3" borderId="20" xfId="1" applyFont="1" applyBorder="1" applyAlignment="1" applyProtection="1">
      <alignment horizontal="center" vertical="center"/>
    </xf>
    <xf numFmtId="0" fontId="2" fillId="3" borderId="21" xfId="1" applyBorder="1" applyAlignment="1" applyProtection="1">
      <alignment horizontal="center" vertical="center"/>
      <protection locked="0"/>
    </xf>
    <xf numFmtId="0" fontId="2" fillId="3" borderId="29" xfId="1" applyFont="1" applyBorder="1" applyAlignment="1" applyProtection="1">
      <alignment horizontal="center" vertical="center"/>
    </xf>
    <xf numFmtId="0" fontId="2" fillId="3" borderId="30" xfId="1" applyBorder="1" applyAlignment="1" applyProtection="1">
      <alignment horizontal="center" vertical="center"/>
      <protection locked="0"/>
    </xf>
    <xf numFmtId="0" fontId="2" fillId="3" borderId="32" xfId="1" applyFont="1" applyBorder="1" applyAlignment="1" applyProtection="1">
      <alignment horizontal="center"/>
    </xf>
    <xf numFmtId="0" fontId="2" fillId="3" borderId="26" xfId="1" applyFont="1" applyBorder="1" applyAlignment="1" applyProtection="1">
      <alignment horizontal="center" vertical="top"/>
    </xf>
    <xf numFmtId="0" fontId="2" fillId="3" borderId="34" xfId="1" applyFont="1" applyBorder="1" applyAlignment="1" applyProtection="1">
      <alignment horizontal="center" vertical="center"/>
    </xf>
    <xf numFmtId="0" fontId="2" fillId="3" borderId="12" xfId="1" applyBorder="1" applyAlignment="1" applyProtection="1">
      <alignment horizontal="center" vertical="center"/>
      <protection locked="0"/>
    </xf>
    <xf numFmtId="0" fontId="2" fillId="3" borderId="35" xfId="1" applyFont="1" applyBorder="1" applyAlignment="1" applyProtection="1">
      <alignment horizontal="center" vertical="center"/>
    </xf>
    <xf numFmtId="0" fontId="2" fillId="3" borderId="1" xfId="1" applyBorder="1" applyAlignment="1" applyProtection="1">
      <alignment horizontal="center" vertical="center"/>
    </xf>
    <xf numFmtId="0" fontId="2" fillId="3" borderId="36" xfId="1" applyFont="1" applyBorder="1" applyAlignment="1" applyProtection="1">
      <alignment horizontal="center" vertical="center"/>
    </xf>
    <xf numFmtId="0" fontId="2" fillId="3" borderId="37" xfId="1" applyBorder="1" applyAlignment="1" applyProtection="1">
      <alignment horizontal="center" vertical="center"/>
      <protection locked="0"/>
    </xf>
    <xf numFmtId="0" fontId="2" fillId="3" borderId="37" xfId="1" applyBorder="1" applyAlignment="1" applyProtection="1">
      <alignment horizontal="center" vertical="center"/>
    </xf>
    <xf numFmtId="0" fontId="2" fillId="3" borderId="38" xfId="1" applyFont="1" applyBorder="1" applyAlignment="1" applyProtection="1">
      <alignment horizontal="center" vertical="center"/>
    </xf>
    <xf numFmtId="0" fontId="2" fillId="3" borderId="30" xfId="1" applyBorder="1" applyAlignment="1" applyProtection="1">
      <alignment horizontal="center" vertical="center"/>
    </xf>
    <xf numFmtId="0" fontId="2" fillId="3" borderId="39" xfId="1" applyBorder="1" applyAlignment="1" applyProtection="1">
      <alignment horizontal="center" vertical="center"/>
    </xf>
    <xf numFmtId="0" fontId="2" fillId="3" borderId="40" xfId="1" applyBorder="1" applyAlignment="1" applyProtection="1">
      <alignment horizontal="center" vertical="center"/>
    </xf>
    <xf numFmtId="0" fontId="2" fillId="3" borderId="41" xfId="1" applyBorder="1" applyAlignment="1" applyProtection="1">
      <alignment horizontal="center" vertical="center"/>
    </xf>
    <xf numFmtId="0" fontId="2" fillId="7" borderId="35" xfId="1" applyFont="1" applyFill="1" applyBorder="1" applyAlignment="1" applyProtection="1">
      <alignment horizontal="center" vertical="center"/>
      <protection locked="0"/>
    </xf>
    <xf numFmtId="0" fontId="2" fillId="7" borderId="1" xfId="1" applyFill="1" applyBorder="1" applyAlignment="1" applyProtection="1">
      <alignment horizontal="center" vertical="center"/>
      <protection locked="0"/>
    </xf>
    <xf numFmtId="0" fontId="2" fillId="3" borderId="42" xfId="1" applyBorder="1" applyAlignment="1" applyProtection="1">
      <alignment horizontal="center" vertical="center"/>
    </xf>
    <xf numFmtId="0" fontId="2" fillId="3" borderId="0" xfId="1" applyBorder="1" applyAlignment="1" applyProtection="1">
      <alignment horizontal="center" vertical="center"/>
    </xf>
    <xf numFmtId="0" fontId="7" fillId="3" borderId="8" xfId="1" applyFont="1" applyBorder="1" applyAlignment="1" applyProtection="1">
      <alignment horizontal="center" vertical="center"/>
    </xf>
    <xf numFmtId="0" fontId="2" fillId="3" borderId="13" xfId="1" applyBorder="1" applyAlignment="1" applyProtection="1">
      <alignment horizontal="center" vertical="center"/>
    </xf>
    <xf numFmtId="0" fontId="2" fillId="7" borderId="30" xfId="1" applyFill="1" applyBorder="1" applyAlignment="1" applyProtection="1">
      <alignment horizontal="center" vertical="center"/>
      <protection locked="0"/>
    </xf>
    <xf numFmtId="0" fontId="8" fillId="8" borderId="43" xfId="1" applyFont="1" applyFill="1" applyBorder="1" applyAlignment="1" applyProtection="1">
      <alignment vertical="center"/>
    </xf>
    <xf numFmtId="0" fontId="8" fillId="8" borderId="19" xfId="1" applyFont="1" applyFill="1" applyBorder="1" applyAlignment="1" applyProtection="1">
      <alignment horizontal="center" vertical="center"/>
      <protection locked="0"/>
    </xf>
    <xf numFmtId="0" fontId="2" fillId="3" borderId="9" xfId="1" applyBorder="1" applyAlignment="1" applyProtection="1">
      <alignment horizontal="center" vertical="center"/>
    </xf>
    <xf numFmtId="0" fontId="2" fillId="3" borderId="2" xfId="1" applyBorder="1" applyAlignment="1" applyProtection="1">
      <alignment horizontal="center" vertical="center"/>
    </xf>
    <xf numFmtId="0" fontId="2" fillId="3" borderId="35" xfId="1" applyBorder="1" applyAlignment="1" applyProtection="1">
      <alignment horizontal="center" vertical="center"/>
    </xf>
    <xf numFmtId="0" fontId="8" fillId="8" borderId="46" xfId="1" applyFont="1" applyFill="1" applyBorder="1" applyAlignment="1" applyProtection="1">
      <alignment horizontal="center" vertical="center"/>
    </xf>
    <xf numFmtId="0" fontId="8" fillId="8" borderId="19" xfId="1" applyFont="1" applyFill="1" applyBorder="1" applyAlignment="1" applyProtection="1">
      <alignment horizontal="center" vertical="center"/>
    </xf>
    <xf numFmtId="0" fontId="8" fillId="8" borderId="48" xfId="1" applyFont="1" applyFill="1" applyBorder="1" applyAlignment="1" applyProtection="1">
      <alignment horizontal="center" vertical="center"/>
    </xf>
    <xf numFmtId="0" fontId="8" fillId="8" borderId="0" xfId="1" applyFont="1" applyFill="1" applyProtection="1">
      <alignment vertical="center"/>
    </xf>
    <xf numFmtId="0" fontId="8" fillId="8" borderId="24" xfId="1" applyFont="1" applyFill="1" applyBorder="1" applyProtection="1">
      <alignment vertical="center"/>
    </xf>
    <xf numFmtId="0" fontId="2" fillId="3" borderId="50" xfId="1" applyBorder="1" applyAlignment="1" applyProtection="1">
      <alignment horizontal="center" vertical="center"/>
    </xf>
    <xf numFmtId="0" fontId="2" fillId="3" borderId="51" xfId="1" applyBorder="1" applyAlignment="1" applyProtection="1">
      <alignment horizontal="center" vertical="center"/>
      <protection locked="0"/>
    </xf>
    <xf numFmtId="0" fontId="2" fillId="3" borderId="52" xfId="1" applyFont="1" applyBorder="1" applyProtection="1">
      <alignment vertical="center"/>
    </xf>
    <xf numFmtId="0" fontId="2" fillId="3" borderId="52" xfId="1" applyBorder="1" applyProtection="1">
      <alignment vertical="center"/>
    </xf>
    <xf numFmtId="0" fontId="2" fillId="3" borderId="52" xfId="1" applyBorder="1" applyAlignment="1" applyProtection="1">
      <alignment horizontal="left" vertical="center"/>
    </xf>
    <xf numFmtId="0" fontId="2" fillId="3" borderId="53" xfId="1" applyFont="1" applyBorder="1" applyProtection="1">
      <alignment vertical="center"/>
    </xf>
    <xf numFmtId="0" fontId="2" fillId="3" borderId="15" xfId="1" applyFont="1" applyBorder="1" applyAlignment="1" applyProtection="1">
      <alignment horizontal="center" vertical="center"/>
    </xf>
    <xf numFmtId="0" fontId="2" fillId="3" borderId="54" xfId="1" applyBorder="1" applyAlignment="1" applyProtection="1">
      <alignment vertical="center"/>
    </xf>
    <xf numFmtId="0" fontId="3" fillId="3" borderId="55" xfId="1" applyFont="1" applyBorder="1" applyAlignment="1" applyProtection="1">
      <alignment vertical="center"/>
    </xf>
    <xf numFmtId="0" fontId="2" fillId="3" borderId="56" xfId="1" applyBorder="1" applyAlignment="1" applyProtection="1">
      <alignment horizontal="center" vertical="center"/>
      <protection locked="0"/>
    </xf>
    <xf numFmtId="0" fontId="2" fillId="3" borderId="49" xfId="1" applyBorder="1" applyAlignment="1" applyProtection="1">
      <alignment horizontal="center" vertical="center"/>
      <protection locked="0"/>
    </xf>
    <xf numFmtId="0" fontId="9" fillId="3" borderId="57" xfId="1" applyFont="1" applyBorder="1" applyAlignment="1" applyProtection="1">
      <alignment vertical="top"/>
    </xf>
    <xf numFmtId="0" fontId="2" fillId="3" borderId="39" xfId="1" applyBorder="1" applyAlignment="1" applyProtection="1">
      <alignment horizontal="center" vertical="center"/>
      <protection locked="0"/>
    </xf>
    <xf numFmtId="0" fontId="2" fillId="3" borderId="50" xfId="1" applyBorder="1" applyAlignment="1" applyProtection="1">
      <alignment horizontal="center" vertical="center"/>
      <protection locked="0"/>
    </xf>
    <xf numFmtId="0" fontId="2" fillId="3" borderId="35" xfId="1" applyBorder="1" applyAlignment="1" applyProtection="1">
      <alignment horizontal="center" vertical="center"/>
      <protection locked="0"/>
    </xf>
    <xf numFmtId="0" fontId="2" fillId="3" borderId="58" xfId="1" applyBorder="1" applyAlignment="1" applyProtection="1">
      <alignment horizontal="center" vertical="center"/>
    </xf>
    <xf numFmtId="0" fontId="2" fillId="3" borderId="51" xfId="1" applyBorder="1" applyAlignment="1" applyProtection="1">
      <alignment horizontal="center" vertical="center"/>
    </xf>
    <xf numFmtId="0" fontId="2" fillId="3" borderId="59" xfId="1" applyBorder="1" applyAlignment="1" applyProtection="1">
      <alignment horizontal="center" vertical="center"/>
    </xf>
    <xf numFmtId="0" fontId="2" fillId="3" borderId="60" xfId="1" applyBorder="1" applyAlignment="1" applyProtection="1">
      <alignment horizontal="center" vertical="center"/>
    </xf>
    <xf numFmtId="0" fontId="2" fillId="3" borderId="38" xfId="1" applyBorder="1" applyAlignment="1" applyProtection="1">
      <alignment horizontal="center" vertical="center"/>
      <protection locked="0"/>
    </xf>
    <xf numFmtId="0" fontId="2" fillId="3" borderId="60" xfId="1" applyBorder="1" applyAlignment="1" applyProtection="1">
      <alignment horizontal="center" vertical="center"/>
      <protection locked="0"/>
    </xf>
    <xf numFmtId="0" fontId="2" fillId="3" borderId="32" xfId="1" applyBorder="1" applyAlignment="1" applyProtection="1">
      <alignment horizontal="center" vertical="center"/>
    </xf>
    <xf numFmtId="0" fontId="2" fillId="3" borderId="54" xfId="1" applyBorder="1" applyAlignment="1" applyProtection="1">
      <alignment horizontal="center" vertical="center"/>
    </xf>
    <xf numFmtId="0" fontId="2" fillId="3" borderId="51" xfId="1" applyFont="1" applyBorder="1" applyAlignment="1" applyProtection="1">
      <alignment horizontal="center" vertical="center"/>
    </xf>
    <xf numFmtId="0" fontId="4" fillId="3" borderId="0" xfId="1" applyFont="1" applyAlignment="1" applyProtection="1">
      <alignment horizontal="right" vertical="center"/>
    </xf>
    <xf numFmtId="0" fontId="2" fillId="3" borderId="61" xfId="1" applyBorder="1" applyAlignment="1" applyProtection="1">
      <alignment horizontal="center" vertical="center"/>
    </xf>
    <xf numFmtId="0" fontId="2" fillId="3" borderId="0" xfId="1" applyProtection="1">
      <alignment vertical="center"/>
    </xf>
    <xf numFmtId="0" fontId="2" fillId="3" borderId="38" xfId="1" applyBorder="1" applyAlignment="1" applyProtection="1">
      <alignment horizontal="center" vertical="center"/>
    </xf>
    <xf numFmtId="0" fontId="2" fillId="3" borderId="41" xfId="1" applyBorder="1" applyAlignment="1" applyProtection="1">
      <alignment horizontal="center" vertical="center"/>
      <protection locked="0"/>
    </xf>
    <xf numFmtId="0" fontId="2" fillId="3" borderId="40" xfId="1" applyBorder="1" applyAlignment="1" applyProtection="1">
      <alignment horizontal="center" vertical="center"/>
      <protection locked="0"/>
    </xf>
    <xf numFmtId="0" fontId="2" fillId="3" borderId="63" xfId="1" applyBorder="1" applyAlignment="1" applyProtection="1">
      <alignment horizontal="center" vertical="center"/>
      <protection locked="0"/>
    </xf>
    <xf numFmtId="58" fontId="2" fillId="3" borderId="35" xfId="1" applyNumberFormat="1" applyBorder="1" applyAlignment="1" applyProtection="1">
      <alignment horizontal="center" vertical="center"/>
      <protection locked="0"/>
    </xf>
    <xf numFmtId="0" fontId="2" fillId="3" borderId="9" xfId="1" applyBorder="1" applyAlignment="1" applyProtection="1">
      <alignment horizontal="center" vertical="center"/>
      <protection locked="0"/>
    </xf>
    <xf numFmtId="0" fontId="2" fillId="3" borderId="45" xfId="1" applyBorder="1" applyAlignment="1" applyProtection="1">
      <alignment horizontal="center" vertical="center"/>
      <protection locked="0"/>
    </xf>
    <xf numFmtId="0" fontId="2" fillId="3" borderId="64" xfId="1" applyBorder="1" applyAlignment="1" applyProtection="1">
      <alignment horizontal="center" vertical="center"/>
      <protection locked="0"/>
    </xf>
    <xf numFmtId="0" fontId="2" fillId="3" borderId="20" xfId="1" applyBorder="1" applyAlignment="1" applyProtection="1">
      <alignment horizontal="center" vertical="center"/>
      <protection locked="0"/>
    </xf>
    <xf numFmtId="0" fontId="2" fillId="3" borderId="29" xfId="1" applyBorder="1" applyAlignment="1" applyProtection="1">
      <alignment horizontal="center" vertical="center"/>
      <protection locked="0"/>
    </xf>
    <xf numFmtId="0" fontId="10" fillId="5" borderId="65" xfId="1" applyFont="1" applyFill="1" applyBorder="1" applyAlignment="1">
      <alignment horizontal="center" vertical="center"/>
    </xf>
    <xf numFmtId="0" fontId="3" fillId="5" borderId="32" xfId="1" applyFont="1" applyFill="1" applyBorder="1" applyAlignment="1">
      <alignment horizontal="center" vertical="center"/>
    </xf>
    <xf numFmtId="0" fontId="12" fillId="3" borderId="39" xfId="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1" applyFont="1">
      <alignment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1" applyFont="1" applyAlignment="1">
      <alignment horizontal="right" vertical="center"/>
    </xf>
    <xf numFmtId="0" fontId="14" fillId="3" borderId="40" xfId="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1" applyFont="1" applyAlignment="1">
      <alignment horizontal="left" vertical="center"/>
    </xf>
    <xf numFmtId="0" fontId="14" fillId="3" borderId="1" xfId="1" applyFont="1" applyBorder="1" applyAlignment="1">
      <alignment horizontal="center" vertical="center"/>
    </xf>
    <xf numFmtId="0" fontId="2" fillId="3" borderId="21" xfId="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0" xfId="1" applyBorder="1" applyAlignment="1">
      <alignment horizontal="center" vertical="center"/>
    </xf>
    <xf numFmtId="0" fontId="14" fillId="3" borderId="21" xfId="1" applyFont="1" applyBorder="1" applyAlignment="1">
      <alignment horizontal="center" vertical="center"/>
    </xf>
    <xf numFmtId="0" fontId="1" fillId="3" borderId="0" xfId="1" applyFont="1" applyAlignment="1">
      <alignment horizontal="right" vertical="center"/>
    </xf>
    <xf numFmtId="185" fontId="4" fillId="3" borderId="68" xfId="1" applyNumberFormat="1" applyFont="1" applyBorder="1" applyAlignment="1">
      <alignment horizontal="center" vertical="center"/>
    </xf>
    <xf numFmtId="0" fontId="3" fillId="5" borderId="54" xfId="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5" fontId="4" fillId="3" borderId="71" xfId="1" applyNumberFormat="1" applyFont="1" applyBorder="1" applyAlignment="1">
      <alignment horizontal="center" vertical="center"/>
    </xf>
    <xf numFmtId="0" fontId="15" fillId="3" borderId="0" xfId="1" applyFont="1" applyAlignment="1">
      <alignment horizontal="center" vertical="center"/>
    </xf>
    <xf numFmtId="0" fontId="2" fillId="3" borderId="42" xfId="1" applyBorder="1">
      <alignment vertical="center"/>
    </xf>
    <xf numFmtId="0" fontId="2" fillId="3" borderId="52" xfId="1" applyBorder="1">
      <alignment vertical="center"/>
    </xf>
    <xf numFmtId="0" fontId="2" fillId="3" borderId="73" xfId="1" applyBorder="1">
      <alignment vertical="center"/>
    </xf>
    <xf numFmtId="0" fontId="2" fillId="3" borderId="53" xfId="1" applyBorder="1">
      <alignment vertical="center"/>
    </xf>
    <xf numFmtId="0" fontId="2" fillId="3" borderId="0" xfId="1" applyFont="1">
      <alignment vertical="center"/>
    </xf>
    <xf numFmtId="0" fontId="23" fillId="5" borderId="5" xfId="1" applyFont="1" applyFill="1" applyBorder="1" applyAlignment="1">
      <alignment vertical="center"/>
    </xf>
    <xf numFmtId="0" fontId="9" fillId="3" borderId="0" xfId="1" applyFont="1" applyAlignment="1">
      <alignment horizontal="right" vertical="center"/>
    </xf>
    <xf numFmtId="0" fontId="24" fillId="0" borderId="5" xfId="1" applyFont="1" applyFill="1" applyBorder="1" applyAlignment="1" applyProtection="1">
      <alignment horizontal="center" vertical="center"/>
      <protection locked="0"/>
    </xf>
    <xf numFmtId="0" fontId="2" fillId="3" borderId="0" xfId="1" applyAlignment="1">
      <alignment vertical="center"/>
    </xf>
    <xf numFmtId="0" fontId="2" fillId="3" borderId="1" xfId="1" applyBorder="1" applyAlignment="1">
      <alignment horizontal="left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Font="1" applyBorder="1" applyAlignment="1">
      <alignment horizontal="left" vertical="center" wrapText="1"/>
    </xf>
    <xf numFmtId="9" fontId="2" fillId="3" borderId="1" xfId="1" applyNumberFormat="1" applyBorder="1" applyAlignment="1">
      <alignment horizontal="center" vertical="center" wrapText="1"/>
    </xf>
    <xf numFmtId="0" fontId="2" fillId="3" borderId="1" xfId="1" applyFont="1" applyBorder="1" applyAlignment="1">
      <alignment horizontal="center" vertical="center" wrapText="1"/>
    </xf>
    <xf numFmtId="185" fontId="2" fillId="3" borderId="1" xfId="1" applyNumberFormat="1" applyBorder="1" applyAlignment="1">
      <alignment horizontal="center" vertical="center" wrapText="1"/>
    </xf>
    <xf numFmtId="180" fontId="2" fillId="3" borderId="1" xfId="1" applyNumberFormat="1" applyBorder="1" applyAlignment="1">
      <alignment horizontal="center" vertical="center" wrapText="1"/>
    </xf>
    <xf numFmtId="180" fontId="2" fillId="3" borderId="0" xfId="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1" applyBorder="1">
      <alignment vertical="center"/>
    </xf>
    <xf numFmtId="179" fontId="2" fillId="3" borderId="0" xfId="1" applyNumberFormat="1">
      <alignment vertical="center"/>
    </xf>
    <xf numFmtId="179" fontId="2" fillId="3" borderId="1" xfId="1" applyNumberFormat="1" applyBorder="1" applyAlignment="1">
      <alignment horizontal="center" vertical="center"/>
    </xf>
    <xf numFmtId="0" fontId="2" fillId="3" borderId="12" xfId="1" applyBorder="1">
      <alignment vertical="center"/>
    </xf>
    <xf numFmtId="179" fontId="2" fillId="3" borderId="12" xfId="1" applyNumberFormat="1" applyBorder="1">
      <alignment vertical="center"/>
    </xf>
    <xf numFmtId="0" fontId="2" fillId="3" borderId="1" xfId="1" applyBorder="1">
      <alignment vertical="center"/>
    </xf>
    <xf numFmtId="179" fontId="2" fillId="3" borderId="1" xfId="1" applyNumberFormat="1" applyBorder="1">
      <alignment vertical="center"/>
    </xf>
    <xf numFmtId="0" fontId="2" fillId="3" borderId="1" xfId="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5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4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5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5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2" fillId="11" borderId="72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5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5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top"/>
    </xf>
    <xf numFmtId="185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5" fontId="9" fillId="9" borderId="50" xfId="0" applyNumberFormat="1" applyFont="1" applyFill="1" applyBorder="1" applyAlignment="1" applyProtection="1">
      <alignment horizontal="center" vertical="center"/>
      <protection locked="0"/>
    </xf>
    <xf numFmtId="185" fontId="2" fillId="9" borderId="51" xfId="0" applyNumberFormat="1" applyFont="1" applyFill="1" applyBorder="1" applyAlignment="1" applyProtection="1">
      <alignment horizontal="center" vertical="center"/>
      <protection locked="0"/>
    </xf>
    <xf numFmtId="185" fontId="37" fillId="14" borderId="34" xfId="0" applyNumberFormat="1" applyFont="1" applyFill="1" applyBorder="1" applyAlignment="1">
      <alignment horizontal="center" vertical="center"/>
    </xf>
    <xf numFmtId="185" fontId="37" fillId="14" borderId="35" xfId="0" applyNumberFormat="1" applyFont="1" applyFill="1" applyBorder="1" applyAlignment="1">
      <alignment horizontal="center" vertical="center"/>
    </xf>
    <xf numFmtId="185" fontId="2" fillId="9" borderId="64" xfId="0" applyNumberFormat="1" applyFont="1" applyFill="1" applyBorder="1" applyAlignment="1" applyProtection="1">
      <alignment horizontal="center" vertical="center"/>
      <protection locked="0"/>
    </xf>
    <xf numFmtId="185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5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5" fontId="44" fillId="16" borderId="11" xfId="0" applyNumberFormat="1" applyFont="1" applyFill="1" applyBorder="1" applyAlignment="1">
      <alignment horizontal="center" vertical="center"/>
    </xf>
    <xf numFmtId="185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5" fontId="44" fillId="16" borderId="12" xfId="0" applyNumberFormat="1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185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5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2" fillId="11" borderId="0" xfId="0" applyFont="1" applyFill="1" applyAlignment="1" applyProtection="1">
      <alignment vertical="center"/>
    </xf>
    <xf numFmtId="0" fontId="2" fillId="11" borderId="15" xfId="0" applyFont="1" applyFill="1" applyBorder="1" applyAlignment="1">
      <alignment horizontal="center" vertical="center"/>
    </xf>
    <xf numFmtId="185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5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5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185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4" fontId="2" fillId="11" borderId="97" xfId="0" applyNumberFormat="1" applyFont="1" applyFill="1" applyBorder="1" applyAlignment="1" applyProtection="1">
      <alignment horizontal="center" vertical="center"/>
    </xf>
    <xf numFmtId="185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4" fontId="2" fillId="11" borderId="0" xfId="0" applyNumberFormat="1" applyFont="1" applyFill="1" applyBorder="1" applyAlignment="1" applyProtection="1">
      <alignment horizontal="center" vertical="center"/>
    </xf>
    <xf numFmtId="185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5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4" fontId="2" fillId="11" borderId="100" xfId="0" applyNumberFormat="1" applyFont="1" applyFill="1" applyBorder="1" applyAlignment="1">
      <alignment horizontal="center" vertical="center"/>
    </xf>
    <xf numFmtId="185" fontId="2" fillId="11" borderId="101" xfId="0" applyNumberFormat="1" applyFont="1" applyFill="1" applyBorder="1" applyAlignment="1" applyProtection="1">
      <alignment vertical="center"/>
    </xf>
    <xf numFmtId="184" fontId="2" fillId="11" borderId="97" xfId="0" applyNumberFormat="1" applyFont="1" applyFill="1" applyBorder="1" applyAlignment="1" applyProtection="1">
      <alignment vertical="center"/>
    </xf>
    <xf numFmtId="184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4" fontId="2" fillId="11" borderId="0" xfId="0" applyNumberFormat="1" applyFont="1" applyFill="1">
      <alignment vertical="center"/>
    </xf>
    <xf numFmtId="185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5" fontId="2" fillId="11" borderId="117" xfId="0" applyNumberFormat="1" applyFont="1" applyFill="1" applyBorder="1" applyAlignment="1">
      <alignment horizontal="center" vertical="center"/>
    </xf>
    <xf numFmtId="184" fontId="2" fillId="11" borderId="104" xfId="0" applyNumberFormat="1" applyFont="1" applyFill="1" applyBorder="1" applyAlignment="1" applyProtection="1">
      <alignment horizontal="center" vertical="center"/>
    </xf>
    <xf numFmtId="185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4" fontId="2" fillId="11" borderId="106" xfId="0" applyNumberFormat="1" applyFont="1" applyFill="1" applyBorder="1" applyAlignment="1" applyProtection="1">
      <alignment horizontal="center" vertical="center"/>
    </xf>
    <xf numFmtId="185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4" fontId="2" fillId="11" borderId="120" xfId="0" applyNumberFormat="1" applyFont="1" applyFill="1" applyBorder="1" applyAlignment="1" applyProtection="1">
      <alignment horizontal="center" vertical="center"/>
    </xf>
    <xf numFmtId="185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4" fontId="2" fillId="11" borderId="121" xfId="0" applyNumberFormat="1" applyFont="1" applyFill="1" applyBorder="1" applyAlignment="1" applyProtection="1">
      <alignment horizontal="center" vertical="center"/>
    </xf>
    <xf numFmtId="185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4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5" fontId="2" fillId="11" borderId="120" xfId="0" applyNumberFormat="1" applyFont="1" applyFill="1" applyBorder="1" applyAlignment="1">
      <alignment horizontal="center" vertical="center"/>
    </xf>
    <xf numFmtId="184" fontId="2" fillId="11" borderId="123" xfId="0" applyNumberFormat="1" applyFont="1" applyFill="1" applyBorder="1" applyAlignment="1">
      <alignment horizontal="center" vertical="center"/>
    </xf>
    <xf numFmtId="185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4" fontId="2" fillId="11" borderId="106" xfId="0" applyNumberFormat="1" applyFont="1" applyFill="1" applyBorder="1" applyAlignment="1">
      <alignment horizontal="center" vertical="center"/>
    </xf>
    <xf numFmtId="185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5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4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185" fontId="2" fillId="11" borderId="114" xfId="0" applyNumberFormat="1" applyFont="1" applyFill="1" applyBorder="1" applyAlignment="1">
      <alignment horizontal="center" vertical="center"/>
    </xf>
    <xf numFmtId="184" fontId="2" fillId="11" borderId="103" xfId="0" applyNumberFormat="1" applyFont="1" applyFill="1" applyBorder="1" applyAlignment="1">
      <alignment horizontal="center" vertical="center"/>
    </xf>
    <xf numFmtId="185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4" fontId="2" fillId="11" borderId="1" xfId="0" applyNumberFormat="1" applyFont="1" applyFill="1" applyBorder="1" applyAlignment="1" applyProtection="1">
      <alignment horizontal="center" vertical="center"/>
    </xf>
    <xf numFmtId="185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4" fontId="2" fillId="11" borderId="30" xfId="0" applyNumberFormat="1" applyFont="1" applyFill="1" applyBorder="1" applyAlignment="1" applyProtection="1">
      <alignment horizontal="center" vertical="center"/>
    </xf>
    <xf numFmtId="185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4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4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4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5" fontId="2" fillId="11" borderId="39" xfId="0" applyNumberFormat="1" applyFont="1" applyFill="1" applyBorder="1" applyAlignment="1">
      <alignment horizontal="center" vertical="center"/>
    </xf>
    <xf numFmtId="185" fontId="2" fillId="11" borderId="50" xfId="0" applyNumberFormat="1" applyFont="1" applyFill="1" applyBorder="1" applyAlignment="1">
      <alignment horizontal="center" vertical="center"/>
    </xf>
    <xf numFmtId="184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4" fontId="2" fillId="11" borderId="64" xfId="0" applyNumberFormat="1" applyFont="1" applyFill="1" applyBorder="1" applyAlignment="1">
      <alignment horizontal="center" vertical="center"/>
    </xf>
    <xf numFmtId="185" fontId="2" fillId="11" borderId="35" xfId="0" applyNumberFormat="1" applyFont="1" applyFill="1" applyBorder="1" applyAlignment="1">
      <alignment horizontal="center" vertical="center"/>
    </xf>
    <xf numFmtId="184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4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5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4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  <xf numFmtId="0" fontId="37" fillId="14" borderId="3" xfId="0" applyFont="1" applyFill="1" applyBorder="1" applyAlignment="1">
      <alignment horizontal="center"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2" fillId="11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top"/>
    </xf>
    <xf numFmtId="0" fontId="13" fillId="11" borderId="0" xfId="0" applyFont="1" applyFill="1" applyAlignment="1">
      <alignment horizontal="center" vertical="center"/>
    </xf>
    <xf numFmtId="185" fontId="4" fillId="11" borderId="0" xfId="0" applyNumberFormat="1" applyFont="1" applyFill="1" applyAlignment="1">
      <alignment horizontal="left" vertical="center"/>
    </xf>
    <xf numFmtId="0" fontId="27" fillId="11" borderId="42" xfId="0" applyFont="1" applyFill="1" applyBorder="1" applyAlignment="1">
      <alignment horizontal="center"/>
    </xf>
    <xf numFmtId="0" fontId="3" fillId="5" borderId="77" xfId="0" applyFont="1" applyFill="1" applyBorder="1" applyAlignment="1">
      <alignment horizontal="center" vertical="center"/>
    </xf>
    <xf numFmtId="0" fontId="3" fillId="5" borderId="75" xfId="0" applyFont="1" applyFill="1" applyBorder="1" applyAlignment="1">
      <alignment horizontal="center" vertical="center"/>
    </xf>
    <xf numFmtId="0" fontId="30" fillId="5" borderId="16" xfId="0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0" fontId="35" fillId="5" borderId="81" xfId="0" applyFont="1" applyFill="1" applyBorder="1" applyAlignment="1">
      <alignment horizontal="center" vertical="center" wrapText="1"/>
    </xf>
    <xf numFmtId="0" fontId="35" fillId="5" borderId="83" xfId="0" applyFont="1" applyFill="1" applyBorder="1" applyAlignment="1">
      <alignment horizontal="center" vertical="center" wrapText="1"/>
    </xf>
    <xf numFmtId="0" fontId="35" fillId="5" borderId="87" xfId="0" applyFont="1" applyFill="1" applyBorder="1" applyAlignment="1">
      <alignment horizontal="center" vertical="center" wrapText="1"/>
    </xf>
    <xf numFmtId="185" fontId="30" fillId="5" borderId="39" xfId="0" applyNumberFormat="1" applyFont="1" applyFill="1" applyBorder="1" applyAlignment="1">
      <alignment horizontal="center" vertical="center"/>
    </xf>
    <xf numFmtId="185" fontId="30" fillId="5" borderId="38" xfId="0" applyNumberFormat="1" applyFont="1" applyFill="1" applyBorder="1" applyAlignment="1">
      <alignment horizontal="center" vertical="center"/>
    </xf>
    <xf numFmtId="185" fontId="31" fillId="3" borderId="11" xfId="0" applyNumberFormat="1" applyFont="1" applyFill="1" applyBorder="1" applyAlignment="1">
      <alignment horizontal="center" vertical="center"/>
    </xf>
    <xf numFmtId="185" fontId="31" fillId="3" borderId="9" xfId="0" applyNumberFormat="1" applyFont="1" applyFill="1" applyBorder="1" applyAlignment="1">
      <alignment horizontal="center" vertical="center"/>
    </xf>
    <xf numFmtId="185" fontId="31" fillId="3" borderId="35" xfId="0" applyNumberFormat="1" applyFont="1" applyFill="1" applyBorder="1" applyAlignment="1">
      <alignment horizontal="center" vertical="center"/>
    </xf>
    <xf numFmtId="185" fontId="31" fillId="3" borderId="38" xfId="0" applyNumberFormat="1" applyFont="1" applyFill="1" applyBorder="1" applyAlignment="1">
      <alignment horizontal="center" vertical="center"/>
    </xf>
    <xf numFmtId="185" fontId="31" fillId="13" borderId="39" xfId="0" applyNumberFormat="1" applyFont="1" applyFill="1" applyBorder="1" applyAlignment="1">
      <alignment horizontal="center" vertical="center"/>
    </xf>
    <xf numFmtId="185" fontId="31" fillId="13" borderId="38" xfId="0" applyNumberFormat="1" applyFont="1" applyFill="1" applyBorder="1" applyAlignment="1">
      <alignment horizontal="center" vertical="center"/>
    </xf>
    <xf numFmtId="185" fontId="36" fillId="14" borderId="82" xfId="0" applyNumberFormat="1" applyFont="1" applyFill="1" applyBorder="1" applyAlignment="1">
      <alignment horizontal="center" vertical="center" wrapText="1"/>
    </xf>
    <xf numFmtId="185" fontId="36" fillId="14" borderId="84" xfId="0" applyNumberFormat="1" applyFont="1" applyFill="1" applyBorder="1" applyAlignment="1">
      <alignment horizontal="center" vertical="center" wrapText="1"/>
    </xf>
    <xf numFmtId="185" fontId="36" fillId="14" borderId="88" xfId="0" applyNumberFormat="1" applyFont="1" applyFill="1" applyBorder="1" applyAlignment="1">
      <alignment horizontal="center" vertical="center" wrapText="1"/>
    </xf>
    <xf numFmtId="185" fontId="30" fillId="5" borderId="40" xfId="0" applyNumberFormat="1" applyFont="1" applyFill="1" applyBorder="1" applyAlignment="1">
      <alignment horizontal="center" vertical="center"/>
    </xf>
    <xf numFmtId="185" fontId="30" fillId="5" borderId="30" xfId="0" applyNumberFormat="1" applyFont="1" applyFill="1" applyBorder="1" applyAlignment="1">
      <alignment horizontal="center" vertical="center"/>
    </xf>
    <xf numFmtId="185" fontId="32" fillId="3" borderId="12" xfId="0" applyNumberFormat="1" applyFont="1" applyFill="1" applyBorder="1" applyAlignment="1">
      <alignment horizontal="center" vertical="center"/>
    </xf>
    <xf numFmtId="185" fontId="32" fillId="3" borderId="1" xfId="0" applyNumberFormat="1" applyFont="1" applyFill="1" applyBorder="1" applyAlignment="1">
      <alignment horizontal="center" vertical="center"/>
    </xf>
    <xf numFmtId="185" fontId="32" fillId="3" borderId="30" xfId="0" applyNumberFormat="1" applyFont="1" applyFill="1" applyBorder="1" applyAlignment="1">
      <alignment horizontal="center" vertical="center"/>
    </xf>
    <xf numFmtId="185" fontId="32" fillId="13" borderId="40" xfId="0" applyNumberFormat="1" applyFont="1" applyFill="1" applyBorder="1" applyAlignment="1">
      <alignment horizontal="center" vertical="center"/>
    </xf>
    <xf numFmtId="185" fontId="32" fillId="13" borderId="30" xfId="0" applyNumberFormat="1" applyFont="1" applyFill="1" applyBorder="1" applyAlignment="1">
      <alignment horizontal="center" vertical="center"/>
    </xf>
    <xf numFmtId="185" fontId="33" fillId="12" borderId="85" xfId="0" applyNumberFormat="1" applyFont="1" applyFill="1" applyBorder="1" applyAlignment="1" applyProtection="1">
      <alignment horizontal="center" vertical="center"/>
      <protection locked="0"/>
    </xf>
    <xf numFmtId="185" fontId="33" fillId="12" borderId="89" xfId="0" applyNumberFormat="1" applyFont="1" applyFill="1" applyBorder="1" applyAlignment="1" applyProtection="1">
      <alignment horizontal="center" vertical="center"/>
      <protection locked="0"/>
    </xf>
    <xf numFmtId="185" fontId="31" fillId="13" borderId="1" xfId="0" applyNumberFormat="1" applyFont="1" applyFill="1" applyBorder="1" applyAlignment="1">
      <alignment horizontal="center" vertical="center"/>
    </xf>
    <xf numFmtId="185" fontId="31" fillId="13" borderId="30" xfId="0" applyNumberFormat="1" applyFont="1" applyFill="1" applyBorder="1" applyAlignment="1">
      <alignment horizontal="center" vertical="center"/>
    </xf>
    <xf numFmtId="185" fontId="39" fillId="3" borderId="40" xfId="0" applyNumberFormat="1" applyFont="1" applyFill="1" applyBorder="1" applyAlignment="1">
      <alignment horizontal="center" vertical="center"/>
    </xf>
    <xf numFmtId="185" fontId="39" fillId="3" borderId="1" xfId="0" applyNumberFormat="1" applyFont="1" applyFill="1" applyBorder="1" applyAlignment="1">
      <alignment horizontal="center" vertical="center"/>
    </xf>
    <xf numFmtId="185" fontId="42" fillId="3" borderId="1" xfId="0" applyNumberFormat="1" applyFont="1" applyFill="1" applyBorder="1" applyAlignment="1">
      <alignment horizontal="center" vertical="center"/>
    </xf>
    <xf numFmtId="185" fontId="39" fillId="3" borderId="30" xfId="0" applyNumberFormat="1" applyFont="1" applyFill="1" applyBorder="1" applyAlignment="1">
      <alignment horizontal="center" vertical="center"/>
    </xf>
    <xf numFmtId="185" fontId="39" fillId="13" borderId="40" xfId="0" applyNumberFormat="1" applyFont="1" applyFill="1" applyBorder="1" applyAlignment="1">
      <alignment horizontal="center" vertical="center"/>
    </xf>
    <xf numFmtId="185" fontId="39" fillId="13" borderId="30" xfId="0" applyNumberFormat="1" applyFont="1" applyFill="1" applyBorder="1" applyAlignment="1">
      <alignment horizontal="center" vertical="center"/>
    </xf>
    <xf numFmtId="185" fontId="39" fillId="13" borderId="1" xfId="0" applyNumberFormat="1" applyFont="1" applyFill="1" applyBorder="1" applyAlignment="1">
      <alignment horizontal="center" vertical="center"/>
    </xf>
    <xf numFmtId="185" fontId="30" fillId="5" borderId="54" xfId="0" applyNumberFormat="1" applyFont="1" applyFill="1" applyBorder="1" applyAlignment="1">
      <alignment horizontal="center" vertical="center"/>
    </xf>
    <xf numFmtId="185" fontId="30" fillId="5" borderId="57" xfId="0" applyNumberFormat="1" applyFont="1" applyFill="1" applyBorder="1" applyAlignment="1">
      <alignment horizontal="center" vertical="center"/>
    </xf>
    <xf numFmtId="185" fontId="39" fillId="3" borderId="50" xfId="0" applyNumberFormat="1" applyFont="1" applyFill="1" applyBorder="1" applyAlignment="1">
      <alignment horizontal="center" vertical="center"/>
    </xf>
    <xf numFmtId="185" fontId="39" fillId="3" borderId="51" xfId="0" applyNumberFormat="1" applyFont="1" applyFill="1" applyBorder="1" applyAlignment="1">
      <alignment horizontal="center" vertical="center"/>
    </xf>
    <xf numFmtId="185" fontId="39" fillId="3" borderId="60" xfId="0" applyNumberFormat="1" applyFont="1" applyFill="1" applyBorder="1" applyAlignment="1">
      <alignment horizontal="center" vertical="center"/>
    </xf>
    <xf numFmtId="185" fontId="39" fillId="13" borderId="50" xfId="0" applyNumberFormat="1" applyFont="1" applyFill="1" applyBorder="1" applyAlignment="1">
      <alignment horizontal="center" vertical="center"/>
    </xf>
    <xf numFmtId="185" fontId="39" fillId="13" borderId="60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45" xfId="0" applyFont="1" applyFill="1" applyBorder="1" applyAlignment="1">
      <alignment horizontal="left" vertical="center"/>
    </xf>
    <xf numFmtId="0" fontId="17" fillId="3" borderId="33" xfId="0" applyFont="1" applyFill="1" applyBorder="1" applyAlignment="1">
      <alignment horizontal="left" vertical="center"/>
    </xf>
    <xf numFmtId="0" fontId="43" fillId="13" borderId="39" xfId="0" applyFont="1" applyFill="1" applyBorder="1" applyAlignment="1">
      <alignment horizontal="left" vertical="center"/>
    </xf>
    <xf numFmtId="0" fontId="43" fillId="13" borderId="38" xfId="0" applyFont="1" applyFill="1" applyBorder="1" applyAlignment="1">
      <alignment horizontal="left" vertical="center"/>
    </xf>
    <xf numFmtId="0" fontId="43" fillId="13" borderId="35" xfId="0" applyFont="1" applyFill="1" applyBorder="1" applyAlignment="1">
      <alignment horizontal="left" vertical="center"/>
    </xf>
    <xf numFmtId="185" fontId="30" fillId="5" borderId="32" xfId="0" applyNumberFormat="1" applyFont="1" applyFill="1" applyBorder="1" applyAlignment="1">
      <alignment horizontal="center" vertical="center"/>
    </xf>
    <xf numFmtId="185" fontId="30" fillId="5" borderId="26" xfId="0" applyNumberFormat="1" applyFont="1" applyFill="1" applyBorder="1" applyAlignment="1">
      <alignment horizontal="center" vertical="center"/>
    </xf>
    <xf numFmtId="185" fontId="31" fillId="3" borderId="40" xfId="0" applyNumberFormat="1" applyFont="1" applyFill="1" applyBorder="1" applyAlignment="1">
      <alignment horizontal="center" vertical="center"/>
    </xf>
    <xf numFmtId="185" fontId="31" fillId="3" borderId="1" xfId="0" applyNumberFormat="1" applyFont="1" applyFill="1" applyBorder="1" applyAlignment="1">
      <alignment horizontal="center" vertical="center"/>
    </xf>
    <xf numFmtId="185" fontId="31" fillId="3" borderId="30" xfId="0" applyNumberFormat="1" applyFont="1" applyFill="1" applyBorder="1" applyAlignment="1">
      <alignment horizontal="center" vertical="center"/>
    </xf>
    <xf numFmtId="185" fontId="31" fillId="13" borderId="40" xfId="0" applyNumberFormat="1" applyFont="1" applyFill="1" applyBorder="1" applyAlignment="1">
      <alignment horizontal="center" vertical="center"/>
    </xf>
    <xf numFmtId="185" fontId="41" fillId="3" borderId="40" xfId="0" applyNumberFormat="1" applyFont="1" applyFill="1" applyBorder="1" applyAlignment="1">
      <alignment horizontal="center" vertical="center"/>
    </xf>
    <xf numFmtId="185" fontId="41" fillId="3" borderId="1" xfId="0" applyNumberFormat="1" applyFont="1" applyFill="1" applyBorder="1" applyAlignment="1">
      <alignment horizontal="center" vertical="center"/>
    </xf>
    <xf numFmtId="185" fontId="41" fillId="3" borderId="30" xfId="0" applyNumberFormat="1" applyFont="1" applyFill="1" applyBorder="1" applyAlignment="1">
      <alignment horizontal="center" vertical="center"/>
    </xf>
    <xf numFmtId="185" fontId="41" fillId="13" borderId="40" xfId="0" applyNumberFormat="1" applyFont="1" applyFill="1" applyBorder="1" applyAlignment="1">
      <alignment horizontal="center" vertical="center"/>
    </xf>
    <xf numFmtId="185" fontId="41" fillId="13" borderId="30" xfId="0" applyNumberFormat="1" applyFont="1" applyFill="1" applyBorder="1" applyAlignment="1">
      <alignment horizontal="center" vertical="center"/>
    </xf>
    <xf numFmtId="185" fontId="32" fillId="3" borderId="40" xfId="0" applyNumberFormat="1" applyFont="1" applyFill="1" applyBorder="1" applyAlignment="1">
      <alignment horizontal="center" vertical="center"/>
    </xf>
    <xf numFmtId="185" fontId="36" fillId="14" borderId="34" xfId="0" applyNumberFormat="1" applyFont="1" applyFill="1" applyBorder="1" applyAlignment="1">
      <alignment horizontal="center" vertical="center" wrapText="1"/>
    </xf>
    <xf numFmtId="185" fontId="36" fillId="14" borderId="35" xfId="0" applyNumberFormat="1" applyFont="1" applyFill="1" applyBorder="1" applyAlignment="1">
      <alignment horizontal="center" vertical="center" wrapText="1"/>
    </xf>
    <xf numFmtId="185" fontId="36" fillId="14" borderId="93" xfId="0" applyNumberFormat="1" applyFont="1" applyFill="1" applyBorder="1" applyAlignment="1">
      <alignment horizontal="center" vertical="center" wrapText="1"/>
    </xf>
    <xf numFmtId="0" fontId="30" fillId="5" borderId="3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184" fontId="39" fillId="3" borderId="40" xfId="0" applyNumberFormat="1" applyFont="1" applyFill="1" applyBorder="1" applyAlignment="1">
      <alignment horizontal="center" vertical="center"/>
    </xf>
    <xf numFmtId="184" fontId="39" fillId="3" borderId="1" xfId="0" applyNumberFormat="1" applyFont="1" applyFill="1" applyBorder="1" applyAlignment="1">
      <alignment horizontal="center" vertical="center"/>
    </xf>
    <xf numFmtId="184" fontId="39" fillId="3" borderId="30" xfId="0" applyNumberFormat="1" applyFont="1" applyFill="1" applyBorder="1" applyAlignment="1">
      <alignment horizontal="center" vertical="center"/>
    </xf>
    <xf numFmtId="184" fontId="39" fillId="13" borderId="40" xfId="0" applyNumberFormat="1" applyFont="1" applyFill="1" applyBorder="1" applyAlignment="1">
      <alignment horizontal="center" vertical="center"/>
    </xf>
    <xf numFmtId="184" fontId="39" fillId="13" borderId="30" xfId="0" applyNumberFormat="1" applyFont="1" applyFill="1" applyBorder="1" applyAlignment="1">
      <alignment horizontal="center" vertical="center"/>
    </xf>
    <xf numFmtId="185" fontId="49" fillId="7" borderId="85" xfId="0" applyNumberFormat="1" applyFont="1" applyFill="1" applyBorder="1" applyAlignment="1" applyProtection="1">
      <alignment horizontal="center" vertical="center"/>
      <protection locked="0"/>
    </xf>
    <xf numFmtId="185" fontId="49" fillId="7" borderId="89" xfId="0" applyNumberFormat="1" applyFont="1" applyFill="1" applyBorder="1" applyAlignment="1" applyProtection="1">
      <alignment horizontal="center" vertical="center"/>
      <protection locked="0"/>
    </xf>
    <xf numFmtId="0" fontId="30" fillId="5" borderId="76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1" fontId="39" fillId="3" borderId="39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185" fontId="33" fillId="7" borderId="9" xfId="0" applyNumberFormat="1" applyFont="1" applyFill="1" applyBorder="1" applyAlignment="1" applyProtection="1">
      <alignment horizontal="center" vertical="center"/>
      <protection locked="0"/>
    </xf>
    <xf numFmtId="185" fontId="33" fillId="7" borderId="94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53" xfId="0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1" fontId="2" fillId="11" borderId="1" xfId="0" applyNumberFormat="1" applyFont="1" applyFill="1" applyBorder="1" applyAlignment="1" applyProtection="1">
      <alignment horizontal="center"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185" fontId="2" fillId="11" borderId="0" xfId="0" applyNumberFormat="1" applyFont="1" applyFill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0" fontId="2" fillId="3" borderId="0" xfId="1" applyFont="1" applyAlignment="1">
      <alignment horizontal="left" vertical="center"/>
    </xf>
    <xf numFmtId="0" fontId="2" fillId="3" borderId="0" xfId="1" applyAlignment="1">
      <alignment horizontal="left" vertical="center"/>
    </xf>
    <xf numFmtId="0" fontId="4" fillId="3" borderId="0" xfId="1" applyFont="1" applyAlignment="1">
      <alignment horizontal="left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2" fillId="5" borderId="24" xfId="0" applyFont="1" applyFill="1" applyBorder="1" applyAlignment="1" applyProtection="1">
      <alignment horizontal="center" vertical="center" shrinkToFit="1"/>
    </xf>
    <xf numFmtId="0" fontId="17" fillId="5" borderId="16" xfId="1" applyFont="1" applyFill="1" applyBorder="1" applyAlignment="1">
      <alignment horizontal="center" vertical="center"/>
    </xf>
    <xf numFmtId="0" fontId="17" fillId="5" borderId="19" xfId="1" applyFont="1" applyFill="1" applyBorder="1" applyAlignment="1">
      <alignment horizontal="center" vertical="center"/>
    </xf>
    <xf numFmtId="0" fontId="17" fillId="5" borderId="77" xfId="1" applyFont="1" applyFill="1" applyBorder="1" applyAlignment="1">
      <alignment horizontal="center" vertical="center"/>
    </xf>
    <xf numFmtId="0" fontId="17" fillId="5" borderId="74" xfId="1" applyFont="1" applyFill="1" applyBorder="1" applyAlignment="1">
      <alignment horizontal="center" vertical="center"/>
    </xf>
    <xf numFmtId="0" fontId="17" fillId="5" borderId="75" xfId="1" applyFont="1" applyFill="1" applyBorder="1" applyAlignment="1">
      <alignment horizontal="center" vertical="center"/>
    </xf>
    <xf numFmtId="0" fontId="17" fillId="5" borderId="24" xfId="1" applyFont="1" applyFill="1" applyBorder="1" applyAlignment="1">
      <alignment horizontal="center" vertical="center"/>
    </xf>
    <xf numFmtId="0" fontId="23" fillId="5" borderId="6" xfId="1" applyFont="1" applyFill="1" applyBorder="1" applyAlignment="1">
      <alignment horizontal="center" vertical="center"/>
    </xf>
    <xf numFmtId="0" fontId="21" fillId="5" borderId="6" xfId="1" applyFont="1" applyFill="1" applyBorder="1" applyAlignment="1">
      <alignment horizontal="center" vertical="center"/>
    </xf>
    <xf numFmtId="0" fontId="21" fillId="5" borderId="39" xfId="1" applyFont="1" applyFill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" fillId="3" borderId="0" xfId="1" applyAlignment="1">
      <alignment horizontal="center" vertical="center"/>
    </xf>
    <xf numFmtId="0" fontId="23" fillId="5" borderId="72" xfId="1" applyFont="1" applyFill="1" applyBorder="1" applyAlignment="1">
      <alignment horizontal="center" vertical="center"/>
    </xf>
    <xf numFmtId="0" fontId="23" fillId="5" borderId="28" xfId="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0" fontId="17" fillId="5" borderId="78" xfId="1" applyFont="1" applyFill="1" applyBorder="1" applyAlignment="1">
      <alignment horizontal="center" vertical="center"/>
    </xf>
    <xf numFmtId="0" fontId="17" fillId="5" borderId="61" xfId="1" applyFont="1" applyFill="1" applyBorder="1" applyAlignment="1">
      <alignment horizontal="center" vertical="center"/>
    </xf>
    <xf numFmtId="0" fontId="17" fillId="5" borderId="69" xfId="1" applyFont="1" applyFill="1" applyBorder="1" applyAlignment="1">
      <alignment horizontal="center" vertical="center"/>
    </xf>
    <xf numFmtId="0" fontId="23" fillId="5" borderId="68" xfId="1" applyFont="1" applyFill="1" applyBorder="1" applyAlignment="1">
      <alignment horizontal="center" vertical="center"/>
    </xf>
    <xf numFmtId="184" fontId="18" fillId="3" borderId="68" xfId="1" applyNumberFormat="1" applyFont="1" applyBorder="1" applyAlignment="1">
      <alignment horizontal="center" vertical="center"/>
    </xf>
    <xf numFmtId="184" fontId="18" fillId="3" borderId="32" xfId="1" applyNumberFormat="1" applyFont="1" applyBorder="1" applyAlignment="1">
      <alignment horizontal="center" vertical="center"/>
    </xf>
    <xf numFmtId="184" fontId="18" fillId="3" borderId="30" xfId="1" applyNumberFormat="1" applyFont="1" applyBorder="1" applyAlignment="1">
      <alignment horizontal="center" vertical="center"/>
    </xf>
    <xf numFmtId="0" fontId="23" fillId="5" borderId="31" xfId="1" applyFont="1" applyFill="1" applyBorder="1" applyAlignment="1">
      <alignment horizontal="center" vertical="center"/>
    </xf>
    <xf numFmtId="0" fontId="23" fillId="5" borderId="33" xfId="1" applyFont="1" applyFill="1" applyBorder="1" applyAlignment="1">
      <alignment horizontal="center" vertical="center"/>
    </xf>
    <xf numFmtId="185" fontId="18" fillId="9" borderId="31" xfId="0" applyNumberFormat="1" applyFont="1" applyFill="1" applyBorder="1" applyAlignment="1" applyProtection="1">
      <alignment horizontal="center" vertical="center"/>
      <protection locked="0"/>
    </xf>
    <xf numFmtId="185" fontId="18" fillId="9" borderId="33" xfId="0" applyNumberFormat="1" applyFont="1" applyFill="1" applyBorder="1" applyAlignment="1" applyProtection="1">
      <alignment horizontal="center" vertical="center"/>
      <protection locked="0"/>
    </xf>
    <xf numFmtId="185" fontId="18" fillId="3" borderId="39" xfId="1" applyNumberFormat="1" applyFont="1" applyBorder="1" applyAlignment="1">
      <alignment horizontal="center" vertical="center"/>
    </xf>
    <xf numFmtId="185" fontId="18" fillId="3" borderId="35" xfId="1" applyNumberFormat="1" applyFont="1" applyBorder="1" applyAlignment="1">
      <alignment horizontal="center" vertical="center"/>
    </xf>
    <xf numFmtId="186" fontId="18" fillId="3" borderId="35" xfId="1" applyNumberFormat="1" applyFont="1" applyBorder="1" applyAlignment="1">
      <alignment horizontal="center" vertical="center"/>
    </xf>
    <xf numFmtId="185" fontId="18" fillId="3" borderId="38" xfId="1" applyNumberFormat="1" applyFont="1" applyBorder="1" applyAlignment="1">
      <alignment horizontal="center" vertical="center"/>
    </xf>
    <xf numFmtId="0" fontId="23" fillId="5" borderId="32" xfId="1" applyFont="1" applyFill="1" applyBorder="1" applyAlignment="1">
      <alignment horizontal="center" vertical="center"/>
    </xf>
    <xf numFmtId="0" fontId="23" fillId="5" borderId="26" xfId="1" applyFont="1" applyFill="1" applyBorder="1" applyAlignment="1">
      <alignment horizontal="center" vertical="center"/>
    </xf>
    <xf numFmtId="185" fontId="18" fillId="9" borderId="32" xfId="0" applyNumberFormat="1" applyFont="1" applyFill="1" applyBorder="1" applyAlignment="1" applyProtection="1">
      <alignment horizontal="center" vertical="center"/>
      <protection locked="0"/>
    </xf>
    <xf numFmtId="185" fontId="18" fillId="9" borderId="23" xfId="0" applyNumberFormat="1" applyFont="1" applyFill="1" applyBorder="1" applyAlignment="1" applyProtection="1">
      <alignment horizontal="center" vertical="center"/>
      <protection locked="0"/>
    </xf>
    <xf numFmtId="185" fontId="18" fillId="3" borderId="40" xfId="1" applyNumberFormat="1" applyFont="1" applyBorder="1" applyAlignment="1">
      <alignment horizontal="center" vertical="center"/>
    </xf>
    <xf numFmtId="185" fontId="18" fillId="3" borderId="1" xfId="1" applyNumberFormat="1" applyFont="1" applyBorder="1" applyAlignment="1">
      <alignment horizontal="center" vertical="center"/>
    </xf>
    <xf numFmtId="186" fontId="18" fillId="3" borderId="1" xfId="1" applyNumberFormat="1" applyFont="1" applyBorder="1" applyAlignment="1">
      <alignment horizontal="center" vertical="center"/>
    </xf>
    <xf numFmtId="185" fontId="18" fillId="3" borderId="30" xfId="1" applyNumberFormat="1" applyFont="1" applyBorder="1" applyAlignment="1">
      <alignment horizontal="center" vertical="center"/>
    </xf>
    <xf numFmtId="0" fontId="23" fillId="5" borderId="54" xfId="1" applyFont="1" applyFill="1" applyBorder="1" applyAlignment="1">
      <alignment horizontal="center" vertical="center"/>
    </xf>
    <xf numFmtId="0" fontId="23" fillId="5" borderId="57" xfId="1" applyFont="1" applyFill="1" applyBorder="1" applyAlignment="1">
      <alignment horizontal="center" vertical="center"/>
    </xf>
    <xf numFmtId="185" fontId="18" fillId="9" borderId="54" xfId="0" applyNumberFormat="1" applyFont="1" applyFill="1" applyBorder="1" applyAlignment="1" applyProtection="1">
      <alignment horizontal="center" vertical="center"/>
      <protection locked="0"/>
    </xf>
    <xf numFmtId="185" fontId="18" fillId="9" borderId="55" xfId="0" applyNumberFormat="1" applyFont="1" applyFill="1" applyBorder="1" applyAlignment="1" applyProtection="1">
      <alignment horizontal="center" vertical="center"/>
      <protection locked="0"/>
    </xf>
    <xf numFmtId="185" fontId="18" fillId="3" borderId="50" xfId="1" applyNumberFormat="1" applyFont="1" applyBorder="1" applyAlignment="1">
      <alignment horizontal="center" vertical="center"/>
    </xf>
    <xf numFmtId="185" fontId="18" fillId="3" borderId="51" xfId="1" applyNumberFormat="1" applyFont="1" applyBorder="1" applyAlignment="1">
      <alignment horizontal="center" vertical="center"/>
    </xf>
    <xf numFmtId="186" fontId="18" fillId="3" borderId="51" xfId="1" applyNumberFormat="1" applyFont="1" applyBorder="1" applyAlignment="1">
      <alignment horizontal="center" vertical="center"/>
    </xf>
    <xf numFmtId="185" fontId="18" fillId="3" borderId="60" xfId="1" applyNumberFormat="1" applyFont="1" applyBorder="1" applyAlignment="1">
      <alignment horizontal="center" vertical="center"/>
    </xf>
    <xf numFmtId="0" fontId="23" fillId="5" borderId="62" xfId="1" applyFont="1" applyFill="1" applyBorder="1" applyAlignment="1">
      <alignment horizontal="center" vertical="center"/>
    </xf>
    <xf numFmtId="0" fontId="23" fillId="5" borderId="53" xfId="1" applyFont="1" applyFill="1" applyBorder="1" applyAlignment="1">
      <alignment horizontal="center" vertical="center"/>
    </xf>
    <xf numFmtId="185" fontId="18" fillId="3" borderId="62" xfId="1" applyNumberFormat="1" applyFont="1" applyBorder="1" applyAlignment="1">
      <alignment horizontal="center" vertical="center"/>
    </xf>
    <xf numFmtId="185" fontId="18" fillId="3" borderId="52" xfId="1" applyNumberFormat="1" applyFont="1" applyBorder="1" applyAlignment="1">
      <alignment horizontal="center" vertical="center"/>
    </xf>
    <xf numFmtId="185" fontId="18" fillId="3" borderId="61" xfId="1" applyNumberFormat="1" applyFont="1" applyBorder="1" applyAlignment="1">
      <alignment horizontal="center" vertical="center"/>
    </xf>
    <xf numFmtId="0" fontId="18" fillId="3" borderId="61" xfId="1" applyNumberFormat="1" applyFont="1" applyBorder="1" applyAlignment="1">
      <alignment horizontal="center" vertical="center"/>
    </xf>
    <xf numFmtId="185" fontId="18" fillId="3" borderId="69" xfId="1" applyNumberFormat="1" applyFont="1" applyBorder="1" applyAlignment="1">
      <alignment horizontal="center" vertical="center"/>
    </xf>
    <xf numFmtId="185" fontId="18" fillId="3" borderId="79" xfId="1" applyNumberFormat="1" applyFont="1" applyBorder="1" applyAlignment="1">
      <alignment horizontal="center" vertical="center"/>
    </xf>
    <xf numFmtId="185" fontId="18" fillId="3" borderId="46" xfId="1" applyNumberFormat="1" applyFont="1" applyBorder="1" applyAlignment="1">
      <alignment horizontal="center" vertical="center"/>
    </xf>
    <xf numFmtId="185" fontId="18" fillId="3" borderId="24" xfId="1" applyNumberFormat="1" applyFont="1" applyBorder="1" applyAlignment="1">
      <alignment horizontal="center" vertical="center"/>
    </xf>
    <xf numFmtId="0" fontId="23" fillId="5" borderId="71" xfId="1" applyFont="1" applyFill="1" applyBorder="1" applyAlignment="1">
      <alignment horizontal="center" vertical="center"/>
    </xf>
    <xf numFmtId="184" fontId="18" fillId="3" borderId="71" xfId="1" applyNumberFormat="1" applyFont="1" applyBorder="1" applyAlignment="1">
      <alignment horizontal="center" vertical="center"/>
    </xf>
    <xf numFmtId="184" fontId="18" fillId="3" borderId="54" xfId="1" applyNumberFormat="1" applyFont="1" applyBorder="1" applyAlignment="1">
      <alignment horizontal="center" vertical="center"/>
    </xf>
    <xf numFmtId="184" fontId="18" fillId="3" borderId="60" xfId="1" applyNumberFormat="1" applyFont="1" applyBorder="1" applyAlignment="1">
      <alignment horizontal="center" vertical="center"/>
    </xf>
    <xf numFmtId="0" fontId="21" fillId="5" borderId="65" xfId="1" applyFont="1" applyFill="1" applyBorder="1" applyAlignment="1">
      <alignment horizontal="center" vertical="center"/>
    </xf>
    <xf numFmtId="0" fontId="21" fillId="5" borderId="62" xfId="1" applyFont="1" applyFill="1" applyBorder="1" applyAlignment="1">
      <alignment horizontal="center" vertical="center"/>
    </xf>
    <xf numFmtId="0" fontId="21" fillId="5" borderId="73" xfId="1" applyFont="1" applyFill="1" applyBorder="1" applyAlignment="1">
      <alignment horizontal="center" vertical="center"/>
    </xf>
    <xf numFmtId="0" fontId="21" fillId="5" borderId="53" xfId="1" applyFont="1" applyFill="1" applyBorder="1" applyAlignment="1">
      <alignment horizontal="center" vertical="center"/>
    </xf>
    <xf numFmtId="0" fontId="2" fillId="3" borderId="65" xfId="1" applyBorder="1" applyAlignment="1" applyProtection="1">
      <alignment horizontal="center" vertical="center"/>
      <protection locked="0"/>
    </xf>
    <xf numFmtId="0" fontId="2" fillId="3" borderId="62" xfId="1" applyBorder="1" applyAlignment="1" applyProtection="1">
      <alignment horizontal="center" vertical="center"/>
      <protection locked="0"/>
    </xf>
    <xf numFmtId="0" fontId="2" fillId="3" borderId="42" xfId="1" applyBorder="1" applyAlignment="1" applyProtection="1">
      <alignment horizontal="center" vertical="center"/>
      <protection locked="0"/>
    </xf>
    <xf numFmtId="0" fontId="2" fillId="3" borderId="52" xfId="1" applyBorder="1" applyAlignment="1" applyProtection="1">
      <alignment horizontal="center" vertical="center"/>
      <protection locked="0"/>
    </xf>
    <xf numFmtId="0" fontId="2" fillId="3" borderId="73" xfId="1" applyBorder="1" applyAlignment="1" applyProtection="1">
      <alignment horizontal="center" vertical="center"/>
      <protection locked="0"/>
    </xf>
    <xf numFmtId="0" fontId="2" fillId="3" borderId="53" xfId="1" applyBorder="1" applyAlignment="1" applyProtection="1">
      <alignment horizontal="center" vertical="center"/>
      <protection locked="0"/>
    </xf>
    <xf numFmtId="0" fontId="20" fillId="3" borderId="0" xfId="1" applyFont="1" applyAlignment="1">
      <alignment horizontal="center" vertical="center"/>
    </xf>
    <xf numFmtId="0" fontId="17" fillId="5" borderId="65" xfId="1" applyFont="1" applyFill="1" applyBorder="1" applyAlignment="1">
      <alignment horizontal="center" vertical="center"/>
    </xf>
    <xf numFmtId="0" fontId="17" fillId="5" borderId="62" xfId="1" applyFont="1" applyFill="1" applyBorder="1" applyAlignment="1">
      <alignment horizontal="center" vertical="center"/>
    </xf>
    <xf numFmtId="0" fontId="17" fillId="5" borderId="73" xfId="1" applyFont="1" applyFill="1" applyBorder="1" applyAlignment="1">
      <alignment horizontal="center" vertical="center"/>
    </xf>
    <xf numFmtId="0" fontId="17" fillId="5" borderId="53" xfId="1" applyFont="1" applyFill="1" applyBorder="1" applyAlignment="1">
      <alignment horizontal="center" vertical="center"/>
    </xf>
    <xf numFmtId="0" fontId="10" fillId="5" borderId="16" xfId="1" applyFont="1" applyFill="1" applyBorder="1" applyAlignment="1">
      <alignment horizontal="center" vertical="center" shrinkToFit="1"/>
    </xf>
    <xf numFmtId="0" fontId="10" fillId="5" borderId="24" xfId="1" applyFont="1" applyFill="1" applyBorder="1" applyAlignment="1">
      <alignment horizontal="center" vertical="center" shrinkToFit="1"/>
    </xf>
    <xf numFmtId="0" fontId="16" fillId="3" borderId="16" xfId="1" applyFont="1" applyBorder="1" applyAlignment="1">
      <alignment horizontal="center"/>
    </xf>
    <xf numFmtId="0" fontId="16" fillId="3" borderId="19" xfId="1" applyFont="1" applyBorder="1" applyAlignment="1">
      <alignment horizontal="center"/>
    </xf>
    <xf numFmtId="0" fontId="16" fillId="3" borderId="19" xfId="1" applyFont="1" applyBorder="1" applyAlignment="1">
      <alignment horizontal="center" vertical="top"/>
    </xf>
    <xf numFmtId="0" fontId="16" fillId="3" borderId="24" xfId="1" applyFont="1" applyBorder="1" applyAlignment="1">
      <alignment horizontal="center" vertical="top"/>
    </xf>
    <xf numFmtId="0" fontId="17" fillId="3" borderId="16" xfId="1" applyFont="1" applyBorder="1" applyAlignment="1">
      <alignment horizontal="center" vertical="center"/>
    </xf>
    <xf numFmtId="0" fontId="17" fillId="3" borderId="48" xfId="1" applyFont="1" applyBorder="1" applyAlignment="1">
      <alignment horizontal="center" vertical="center"/>
    </xf>
    <xf numFmtId="0" fontId="4" fillId="3" borderId="46" xfId="1" applyFont="1" applyBorder="1" applyAlignment="1">
      <alignment horizontal="center" vertical="center"/>
    </xf>
    <xf numFmtId="0" fontId="4" fillId="3" borderId="24" xfId="1" applyFont="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1" applyBorder="1" applyAlignment="1">
      <alignment horizontal="center" vertical="center"/>
    </xf>
    <xf numFmtId="0" fontId="2" fillId="3" borderId="75" xfId="1" applyBorder="1" applyAlignment="1">
      <alignment horizontal="center" vertical="center"/>
    </xf>
    <xf numFmtId="0" fontId="2" fillId="3" borderId="72" xfId="1" applyBorder="1" applyAlignment="1">
      <alignment horizontal="center" vertical="center"/>
    </xf>
    <xf numFmtId="0" fontId="2" fillId="3" borderId="0" xfId="1" applyBorder="1" applyAlignment="1">
      <alignment horizontal="center" vertical="center"/>
    </xf>
    <xf numFmtId="0" fontId="2" fillId="3" borderId="28" xfId="1" applyBorder="1" applyAlignment="1">
      <alignment horizontal="center"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2" fillId="3" borderId="35" xfId="1" applyBorder="1" applyAlignment="1">
      <alignment horizontal="center" vertical="center"/>
    </xf>
    <xf numFmtId="0" fontId="2" fillId="3" borderId="38" xfId="1" applyBorder="1" applyAlignment="1">
      <alignment horizontal="center" vertical="center"/>
    </xf>
    <xf numFmtId="0" fontId="17" fillId="3" borderId="76" xfId="1" applyFont="1" applyBorder="1" applyAlignment="1">
      <alignment horizontal="center" vertical="center"/>
    </xf>
    <xf numFmtId="0" fontId="17" fillId="3" borderId="14" xfId="1" applyFont="1" applyBorder="1" applyAlignment="1">
      <alignment horizontal="center" vertical="center"/>
    </xf>
    <xf numFmtId="0" fontId="17" fillId="3" borderId="27" xfId="1" applyFont="1" applyBorder="1" applyAlignment="1">
      <alignment horizontal="center" vertical="center"/>
    </xf>
    <xf numFmtId="0" fontId="17" fillId="3" borderId="66" xfId="1" applyFont="1" applyBorder="1" applyAlignment="1">
      <alignment horizontal="center" vertical="center"/>
    </xf>
    <xf numFmtId="0" fontId="17" fillId="3" borderId="22" xfId="1" applyFont="1" applyBorder="1" applyAlignment="1">
      <alignment horizontal="center" vertical="center"/>
    </xf>
    <xf numFmtId="0" fontId="17" fillId="3" borderId="25" xfId="1" applyFont="1" applyBorder="1" applyAlignment="1">
      <alignment horizontal="center" vertical="center"/>
    </xf>
    <xf numFmtId="0" fontId="4" fillId="3" borderId="54" xfId="1" applyFont="1" applyBorder="1" applyAlignment="1">
      <alignment horizontal="center" vertical="center"/>
    </xf>
    <xf numFmtId="0" fontId="4" fillId="3" borderId="55" xfId="1" applyFont="1" applyBorder="1" applyAlignment="1">
      <alignment horizontal="center" vertical="center"/>
    </xf>
    <xf numFmtId="0" fontId="4" fillId="3" borderId="57" xfId="1" applyFont="1" applyBorder="1" applyAlignment="1">
      <alignment horizontal="center" vertical="center"/>
    </xf>
    <xf numFmtId="0" fontId="19" fillId="3" borderId="54" xfId="1" applyFont="1" applyBorder="1" applyAlignment="1">
      <alignment horizontal="center" vertical="center"/>
    </xf>
    <xf numFmtId="0" fontId="19" fillId="3" borderId="55" xfId="1" applyFont="1" applyBorder="1" applyAlignment="1">
      <alignment horizontal="center" vertical="center"/>
    </xf>
    <xf numFmtId="0" fontId="19" fillId="3" borderId="57" xfId="1" applyFont="1" applyBorder="1" applyAlignment="1">
      <alignment horizontal="center" vertical="center"/>
    </xf>
    <xf numFmtId="0" fontId="16" fillId="5" borderId="65" xfId="1" applyFont="1" applyFill="1" applyBorder="1" applyAlignment="1">
      <alignment horizontal="center" vertical="center"/>
    </xf>
    <xf numFmtId="0" fontId="16" fillId="5" borderId="62" xfId="1" applyFont="1" applyFill="1" applyBorder="1" applyAlignment="1">
      <alignment horizontal="center" vertical="center"/>
    </xf>
    <xf numFmtId="0" fontId="16" fillId="5" borderId="73" xfId="1" applyFont="1" applyFill="1" applyBorder="1" applyAlignment="1">
      <alignment horizontal="center" vertical="center"/>
    </xf>
    <xf numFmtId="0" fontId="16" fillId="5" borderId="53" xfId="1" applyFont="1" applyFill="1" applyBorder="1" applyAlignment="1">
      <alignment horizontal="center" vertical="center"/>
    </xf>
    <xf numFmtId="0" fontId="15" fillId="3" borderId="0" xfId="1" applyFont="1" applyAlignment="1">
      <alignment horizontal="center" vertical="center"/>
    </xf>
    <xf numFmtId="0" fontId="16" fillId="5" borderId="72" xfId="1" applyFont="1" applyFill="1" applyBorder="1" applyAlignment="1">
      <alignment horizontal="center" vertical="center"/>
    </xf>
    <xf numFmtId="0" fontId="16" fillId="5" borderId="28" xfId="1" applyFont="1" applyFill="1" applyBorder="1" applyAlignment="1">
      <alignment horizontal="center" vertical="center"/>
    </xf>
    <xf numFmtId="0" fontId="10" fillId="5" borderId="65" xfId="1" applyFont="1" applyFill="1" applyBorder="1" applyAlignment="1">
      <alignment horizontal="center" vertical="center"/>
    </xf>
    <xf numFmtId="0" fontId="10" fillId="5" borderId="66" xfId="1" applyFont="1" applyFill="1" applyBorder="1" applyAlignment="1">
      <alignment horizontal="center" vertical="center"/>
    </xf>
    <xf numFmtId="0" fontId="12" fillId="3" borderId="39" xfId="1" applyFont="1" applyBorder="1" applyAlignment="1">
      <alignment horizontal="center" vertical="center"/>
    </xf>
    <xf numFmtId="0" fontId="12" fillId="3" borderId="40" xfId="1" applyFont="1" applyBorder="1" applyAlignment="1">
      <alignment horizontal="center" vertical="center"/>
    </xf>
    <xf numFmtId="0" fontId="12" fillId="3" borderId="35" xfId="1" applyFont="1" applyBorder="1" applyAlignment="1">
      <alignment horizontal="center" vertical="center"/>
    </xf>
    <xf numFmtId="0" fontId="12" fillId="3" borderId="1" xfId="1" applyFont="1" applyBorder="1" applyAlignment="1">
      <alignment horizontal="center" vertical="center"/>
    </xf>
    <xf numFmtId="0" fontId="12" fillId="3" borderId="38" xfId="1" applyFont="1" applyBorder="1" applyAlignment="1">
      <alignment horizontal="center" vertical="center"/>
    </xf>
    <xf numFmtId="0" fontId="12" fillId="3" borderId="30" xfId="1" applyFont="1" applyBorder="1" applyAlignment="1">
      <alignment horizontal="center" vertical="center"/>
    </xf>
    <xf numFmtId="0" fontId="12" fillId="3" borderId="3" xfId="1" applyFont="1" applyBorder="1" applyAlignment="1">
      <alignment horizontal="center" vertical="center"/>
    </xf>
    <xf numFmtId="0" fontId="12" fillId="3" borderId="18" xfId="1" applyFont="1" applyBorder="1" applyAlignment="1">
      <alignment horizontal="center" vertical="center"/>
    </xf>
    <xf numFmtId="0" fontId="14" fillId="3" borderId="39" xfId="1" applyFont="1" applyBorder="1" applyAlignment="1">
      <alignment horizontal="center" vertical="center"/>
    </xf>
    <xf numFmtId="0" fontId="14" fillId="3" borderId="40" xfId="1" applyFont="1" applyBorder="1" applyAlignment="1">
      <alignment horizontal="center" vertical="center"/>
    </xf>
    <xf numFmtId="0" fontId="2" fillId="3" borderId="39" xfId="1" applyBorder="1" applyAlignment="1">
      <alignment horizontal="center" vertical="center"/>
    </xf>
    <xf numFmtId="0" fontId="2" fillId="3" borderId="40" xfId="1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2" fillId="3" borderId="45" xfId="1" applyBorder="1" applyAlignment="1">
      <alignment horizontal="center" vertical="center"/>
    </xf>
    <xf numFmtId="0" fontId="2" fillId="3" borderId="21" xfId="1" applyBorder="1" applyAlignment="1">
      <alignment horizontal="center" vertical="center"/>
    </xf>
    <xf numFmtId="0" fontId="2" fillId="3" borderId="67" xfId="1" applyBorder="1" applyAlignment="1">
      <alignment horizontal="center" vertical="center"/>
    </xf>
    <xf numFmtId="0" fontId="2" fillId="3" borderId="9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18" xfId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68" xfId="1" applyFont="1" applyFill="1" applyBorder="1" applyAlignment="1">
      <alignment horizontal="center" vertical="center"/>
    </xf>
    <xf numFmtId="0" fontId="13" fillId="3" borderId="0" xfId="1" applyFont="1" applyAlignment="1">
      <alignment horizontal="center" vertical="center"/>
    </xf>
    <xf numFmtId="0" fontId="2" fillId="3" borderId="47" xfId="1" applyBorder="1" applyAlignment="1">
      <alignment horizontal="center" vertical="center"/>
    </xf>
    <xf numFmtId="0" fontId="2" fillId="7" borderId="47" xfId="1" applyFill="1" applyBorder="1" applyAlignment="1" applyProtection="1">
      <alignment horizontal="center" vertical="center"/>
      <protection locked="0"/>
    </xf>
    <xf numFmtId="0" fontId="2" fillId="7" borderId="34" xfId="1" applyFill="1" applyBorder="1" applyAlignment="1" applyProtection="1">
      <alignment horizontal="center" vertical="center"/>
      <protection locked="0"/>
    </xf>
    <xf numFmtId="0" fontId="2" fillId="3" borderId="33" xfId="1" applyBorder="1" applyAlignment="1">
      <alignment horizontal="center" vertical="center"/>
    </xf>
    <xf numFmtId="0" fontId="2" fillId="3" borderId="34" xfId="1" applyBorder="1" applyAlignment="1">
      <alignment horizontal="center" vertical="center"/>
    </xf>
    <xf numFmtId="0" fontId="2" fillId="3" borderId="31" xfId="1" applyBorder="1" applyAlignment="1">
      <alignment horizontal="center" vertical="center"/>
    </xf>
    <xf numFmtId="0" fontId="11" fillId="3" borderId="0" xfId="1" applyFont="1" applyAlignment="1">
      <alignment horizontal="center" vertical="center"/>
    </xf>
    <xf numFmtId="0" fontId="4" fillId="5" borderId="3" xfId="2" applyFont="1" applyFill="1" applyBorder="1" applyAlignment="1" applyProtection="1">
      <alignment horizontal="left" vertical="center"/>
    </xf>
    <xf numFmtId="0" fontId="4" fillId="5" borderId="17" xfId="2" applyFont="1" applyFill="1" applyBorder="1" applyAlignment="1" applyProtection="1">
      <alignment horizontal="left" vertical="center"/>
    </xf>
    <xf numFmtId="0" fontId="4" fillId="5" borderId="18" xfId="2" applyFont="1" applyFill="1" applyBorder="1" applyAlignment="1" applyProtection="1">
      <alignment horizontal="left" vertical="center"/>
    </xf>
    <xf numFmtId="0" fontId="4" fillId="5" borderId="7" xfId="1" applyFont="1" applyFill="1" applyBorder="1" applyAlignment="1" applyProtection="1">
      <alignment horizontal="center" vertical="center"/>
    </xf>
    <xf numFmtId="0" fontId="4" fillId="5" borderId="17" xfId="1" applyFont="1" applyFill="1" applyBorder="1" applyAlignment="1" applyProtection="1">
      <alignment horizontal="center" vertical="center"/>
    </xf>
    <xf numFmtId="0" fontId="4" fillId="5" borderId="4" xfId="1" applyFont="1" applyFill="1" applyBorder="1" applyAlignment="1" applyProtection="1">
      <alignment horizontal="center" vertical="center"/>
    </xf>
    <xf numFmtId="0" fontId="2" fillId="3" borderId="14" xfId="1" applyBorder="1" applyAlignment="1" applyProtection="1">
      <alignment horizontal="left" vertical="center"/>
    </xf>
    <xf numFmtId="0" fontId="2" fillId="3" borderId="0" xfId="1" applyBorder="1" applyAlignment="1" applyProtection="1">
      <alignment horizontal="left" vertical="center"/>
    </xf>
    <xf numFmtId="0" fontId="2" fillId="3" borderId="52" xfId="1" applyBorder="1" applyAlignment="1" applyProtection="1">
      <alignment horizontal="left" vertical="center"/>
    </xf>
    <xf numFmtId="0" fontId="4" fillId="5" borderId="3" xfId="1" applyFont="1" applyFill="1" applyBorder="1" applyAlignment="1" applyProtection="1">
      <alignment horizontal="center" vertical="center"/>
    </xf>
    <xf numFmtId="0" fontId="2" fillId="5" borderId="17" xfId="1" applyFill="1" applyBorder="1" applyAlignment="1" applyProtection="1">
      <alignment horizontal="center" vertical="center"/>
    </xf>
    <xf numFmtId="0" fontId="2" fillId="5" borderId="4" xfId="1" applyFill="1" applyBorder="1" applyAlignment="1" applyProtection="1">
      <alignment horizontal="center" vertical="center"/>
    </xf>
    <xf numFmtId="0" fontId="4" fillId="3" borderId="0" xfId="1" applyFont="1" applyAlignment="1" applyProtection="1">
      <alignment horizontal="left" vertical="center"/>
    </xf>
    <xf numFmtId="0" fontId="2" fillId="3" borderId="44" xfId="1" applyBorder="1" applyAlignment="1" applyProtection="1">
      <alignment horizontal="center" vertical="center"/>
    </xf>
    <xf numFmtId="0" fontId="2" fillId="3" borderId="39" xfId="1" applyBorder="1" applyAlignment="1" applyProtection="1">
      <alignment horizontal="center" vertical="center"/>
    </xf>
    <xf numFmtId="0" fontId="2" fillId="3" borderId="40" xfId="1" applyBorder="1" applyAlignment="1" applyProtection="1">
      <alignment horizontal="center" vertical="center"/>
    </xf>
    <xf numFmtId="0" fontId="2" fillId="3" borderId="50" xfId="1" applyBorder="1" applyAlignment="1" applyProtection="1">
      <alignment horizontal="center" vertical="center"/>
    </xf>
    <xf numFmtId="0" fontId="4" fillId="3" borderId="0" xfId="1" applyFont="1" applyAlignment="1" applyProtection="1">
      <alignment horizontal="left" vertical="center"/>
      <protection locked="0"/>
    </xf>
    <xf numFmtId="0" fontId="4" fillId="5" borderId="3" xfId="1" applyFont="1" applyFill="1" applyBorder="1" applyAlignment="1" applyProtection="1">
      <alignment horizontal="center" vertical="center"/>
      <protection locked="0"/>
    </xf>
    <xf numFmtId="0" fontId="4" fillId="5" borderId="17" xfId="1" applyFont="1" applyFill="1" applyBorder="1" applyAlignment="1" applyProtection="1">
      <alignment horizontal="center" vertical="center"/>
      <protection locked="0"/>
    </xf>
    <xf numFmtId="0" fontId="4" fillId="5" borderId="4" xfId="1" applyFont="1" applyFill="1" applyBorder="1" applyAlignment="1" applyProtection="1">
      <alignment horizontal="center" vertical="center"/>
      <protection locked="0"/>
    </xf>
    <xf numFmtId="0" fontId="5" fillId="6" borderId="16" xfId="1" applyFont="1" applyFill="1" applyBorder="1" applyAlignment="1" applyProtection="1">
      <alignment horizontal="center" vertical="center"/>
    </xf>
    <xf numFmtId="0" fontId="6" fillId="6" borderId="19" xfId="1" applyFont="1" applyFill="1" applyBorder="1" applyAlignment="1" applyProtection="1">
      <alignment horizontal="center" vertical="center"/>
    </xf>
    <xf numFmtId="0" fontId="6" fillId="6" borderId="24" xfId="1" applyFont="1" applyFill="1" applyBorder="1" applyAlignment="1" applyProtection="1">
      <alignment horizontal="center" vertical="center"/>
    </xf>
    <xf numFmtId="0" fontId="5" fillId="6" borderId="19" xfId="1" applyFont="1" applyFill="1" applyBorder="1" applyAlignment="1" applyProtection="1">
      <alignment horizontal="center" vertical="center"/>
    </xf>
    <xf numFmtId="0" fontId="5" fillId="6" borderId="24" xfId="1" applyFont="1" applyFill="1" applyBorder="1" applyAlignment="1" applyProtection="1">
      <alignment horizontal="center" vertical="center"/>
    </xf>
    <xf numFmtId="0" fontId="5" fillId="6" borderId="62" xfId="1" applyFont="1" applyFill="1" applyBorder="1" applyAlignment="1" applyProtection="1">
      <alignment horizontal="center" vertical="center"/>
    </xf>
    <xf numFmtId="0" fontId="5" fillId="6" borderId="52" xfId="1" applyFont="1" applyFill="1" applyBorder="1" applyAlignment="1" applyProtection="1">
      <alignment horizontal="center" vertical="center"/>
    </xf>
    <xf numFmtId="0" fontId="5" fillId="6" borderId="53" xfId="1" applyFont="1" applyFill="1" applyBorder="1" applyAlignment="1" applyProtection="1">
      <alignment horizontal="center" vertical="center"/>
    </xf>
    <xf numFmtId="0" fontId="2" fillId="3" borderId="31" xfId="1" applyFont="1" applyBorder="1" applyAlignment="1" applyProtection="1">
      <alignment horizontal="center" vertical="center"/>
    </xf>
    <xf numFmtId="0" fontId="2" fillId="3" borderId="33" xfId="1" applyFont="1" applyBorder="1" applyAlignment="1" applyProtection="1">
      <alignment horizontal="center" vertical="center"/>
    </xf>
    <xf numFmtId="0" fontId="2" fillId="3" borderId="32" xfId="1" applyFont="1" applyBorder="1" applyAlignment="1" applyProtection="1">
      <alignment horizontal="center" vertical="center"/>
    </xf>
    <xf numFmtId="0" fontId="2" fillId="3" borderId="26" xfId="1" applyFont="1" applyBorder="1" applyAlignment="1" applyProtection="1">
      <alignment horizontal="center" vertical="center"/>
    </xf>
    <xf numFmtId="0" fontId="4" fillId="3" borderId="31" xfId="1" applyFont="1" applyBorder="1" applyAlignment="1" applyProtection="1">
      <alignment horizontal="center" vertical="center"/>
    </xf>
    <xf numFmtId="0" fontId="4" fillId="3" borderId="34" xfId="1" applyFont="1" applyBorder="1" applyAlignment="1" applyProtection="1">
      <alignment horizontal="center" vertical="center"/>
    </xf>
    <xf numFmtId="0" fontId="2" fillId="3" borderId="45" xfId="1" applyBorder="1" applyAlignment="1" applyProtection="1">
      <alignment horizontal="center" vertical="center"/>
    </xf>
    <xf numFmtId="0" fontId="2" fillId="3" borderId="47" xfId="1" applyBorder="1" applyAlignment="1" applyProtection="1">
      <alignment horizontal="center" vertical="center"/>
    </xf>
    <xf numFmtId="0" fontId="2" fillId="3" borderId="33" xfId="1" applyBorder="1" applyAlignment="1" applyProtection="1">
      <alignment horizontal="center" vertical="center"/>
    </xf>
    <xf numFmtId="184" fontId="2" fillId="3" borderId="9" xfId="1" applyNumberFormat="1" applyBorder="1" applyAlignment="1" applyProtection="1">
      <alignment horizontal="center" vertical="center"/>
    </xf>
    <xf numFmtId="184" fontId="2" fillId="3" borderId="29" xfId="1" applyNumberFormat="1" applyBorder="1" applyAlignment="1" applyProtection="1">
      <alignment horizontal="center" vertical="center"/>
    </xf>
    <xf numFmtId="184" fontId="2" fillId="3" borderId="1" xfId="1" applyNumberFormat="1" applyBorder="1" applyAlignment="1" applyProtection="1">
      <alignment horizontal="center" vertical="center"/>
    </xf>
    <xf numFmtId="184" fontId="2" fillId="3" borderId="30" xfId="1" applyNumberFormat="1" applyBorder="1" applyAlignment="1" applyProtection="1">
      <alignment horizontal="center" vertical="center"/>
    </xf>
    <xf numFmtId="184" fontId="2" fillId="3" borderId="2" xfId="1" applyNumberFormat="1" applyBorder="1" applyAlignment="1" applyProtection="1">
      <alignment horizontal="center" vertical="center"/>
    </xf>
    <xf numFmtId="184" fontId="2" fillId="3" borderId="49" xfId="1" applyNumberFormat="1" applyBorder="1" applyAlignment="1" applyProtection="1">
      <alignment horizontal="center" vertical="center"/>
    </xf>
    <xf numFmtId="184" fontId="2" fillId="3" borderId="35" xfId="1" applyNumberFormat="1" applyBorder="1" applyAlignment="1" applyProtection="1">
      <alignment horizontal="center" vertical="center"/>
    </xf>
    <xf numFmtId="184" fontId="2" fillId="3" borderId="38" xfId="1" applyNumberFormat="1" applyBorder="1" applyAlignment="1" applyProtection="1">
      <alignment horizontal="center" vertical="center"/>
    </xf>
    <xf numFmtId="0" fontId="2" fillId="3" borderId="54" xfId="1" applyFont="1" applyBorder="1" applyAlignment="1" applyProtection="1">
      <alignment horizontal="center" vertical="center"/>
    </xf>
    <xf numFmtId="0" fontId="2" fillId="3" borderId="57" xfId="1" applyFont="1" applyBorder="1" applyAlignment="1" applyProtection="1">
      <alignment horizontal="center" vertical="center"/>
    </xf>
    <xf numFmtId="184" fontId="2" fillId="3" borderId="51" xfId="1" applyNumberFormat="1" applyBorder="1" applyAlignment="1" applyProtection="1">
      <alignment horizontal="center" vertical="center"/>
    </xf>
    <xf numFmtId="184" fontId="2" fillId="3" borderId="60" xfId="1" applyNumberFormat="1" applyBorder="1" applyAlignment="1" applyProtection="1">
      <alignment horizontal="center" vertical="center"/>
    </xf>
    <xf numFmtId="0" fontId="3" fillId="3" borderId="55" xfId="1" applyFont="1" applyBorder="1" applyAlignment="1" applyProtection="1">
      <alignment horizontal="center"/>
    </xf>
    <xf numFmtId="0" fontId="3" fillId="3" borderId="55" xfId="1" applyFont="1" applyBorder="1" applyAlignment="1" applyProtection="1">
      <alignment horizontal="center" vertical="top"/>
    </xf>
    <xf numFmtId="0" fontId="2" fillId="3" borderId="2" xfId="1" applyBorder="1" applyAlignment="1">
      <alignment horizontal="center" vertical="center"/>
    </xf>
    <xf numFmtId="0" fontId="2" fillId="3" borderId="15" xfId="1" applyFont="1" applyBorder="1" applyAlignment="1">
      <alignment horizontal="center" vertical="center"/>
    </xf>
    <xf numFmtId="0" fontId="2" fillId="3" borderId="11" xfId="1" applyBorder="1" applyAlignment="1">
      <alignment horizontal="center" vertical="center"/>
    </xf>
    <xf numFmtId="0" fontId="2" fillId="3" borderId="15" xfId="1" applyBorder="1" applyAlignment="1">
      <alignment horizontal="center" vertical="center"/>
    </xf>
    <xf numFmtId="0" fontId="2" fillId="3" borderId="10" xfId="1" applyBorder="1" applyAlignment="1">
      <alignment horizontal="center" vertical="center"/>
    </xf>
    <xf numFmtId="178" fontId="2" fillId="3" borderId="1" xfId="1" applyNumberFormat="1" applyBorder="1" applyAlignment="1">
      <alignment horizontal="center" vertical="center"/>
    </xf>
    <xf numFmtId="0" fontId="2" fillId="3" borderId="2" xfId="1" applyNumberFormat="1" applyBorder="1" applyAlignment="1">
      <alignment horizontal="center" vertical="center"/>
    </xf>
    <xf numFmtId="0" fontId="2" fillId="3" borderId="13" xfId="1" applyNumberFormat="1" applyBorder="1" applyAlignment="1">
      <alignment horizontal="center" vertical="center"/>
    </xf>
    <xf numFmtId="0" fontId="2" fillId="3" borderId="9" xfId="1" applyNumberFormat="1" applyBorder="1" applyAlignment="1">
      <alignment horizontal="center" vertical="center"/>
    </xf>
    <xf numFmtId="0" fontId="2" fillId="3" borderId="8" xfId="1" applyFont="1" applyBorder="1" applyAlignment="1">
      <alignment horizontal="center" vertical="center"/>
    </xf>
    <xf numFmtId="0" fontId="2" fillId="3" borderId="8" xfId="1" applyBorder="1" applyAlignment="1">
      <alignment horizontal="center" vertical="center"/>
    </xf>
    <xf numFmtId="0" fontId="2" fillId="4" borderId="3" xfId="1" applyFill="1" applyBorder="1" applyAlignment="1" applyProtection="1">
      <alignment horizontal="center" vertical="center"/>
    </xf>
    <xf numFmtId="0" fontId="2" fillId="4" borderId="4" xfId="1" applyFill="1" applyBorder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常规" xfId="0" builtinId="0"/>
    <cellStyle name="常规 2" xfId="3"/>
    <cellStyle name="常规 3" xfId="4"/>
    <cellStyle name="常规 4" xfId="5"/>
    <cellStyle name="常规 5" xfId="6"/>
    <cellStyle name="好" xfId="1" builtinId="26"/>
    <cellStyle name="适中" xfId="2" builtinId="28"/>
  </cellStyles>
  <dxfs count="59"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58"/>
        <name val="宋体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</dxfs>
  <tableStyles count="0" defaultTableStyle="TableStyleMedium2"/>
  <colors>
    <mruColors>
      <color rgb="FFCCFFCC"/>
      <color rgb="FF008000"/>
      <color rgb="FF003366"/>
      <color rgb="FFFFCC00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0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0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0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0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 macro="" textlink=""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</a:p>
      </xdr:txBody>
    </xdr:sp>
    <xdr:clientData/>
  </xdr:twoCellAnchor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 macro="" textlink=""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 macro="" textlink=""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xmlns:r="http://schemas.openxmlformats.org/officeDocument/2006/relationships" xmlns="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8" Type="http://schemas.openxmlformats.org/officeDocument/2006/relationships/ctrlProp" Target="../ctrlProps/ctrlProp15.xml"/><Relationship Id="rId13" Type="http://schemas.openxmlformats.org/officeDocument/2006/relationships/ctrlProp" Target="../ctrlProps/ctrlProp10.x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7" Type="http://schemas.openxmlformats.org/officeDocument/2006/relationships/ctrlProp" Target="../ctrlProps/ctrlProp14.xml"/><Relationship Id="rId12" Type="http://schemas.openxmlformats.org/officeDocument/2006/relationships/ctrlProp" Target="../ctrlProps/ctrlProp9.xml"/><Relationship Id="rId2" Type="http://schemas.openxmlformats.org/officeDocument/2006/relationships/comments" Target="../comments1.xml"/><Relationship Id="rId20" Type="http://schemas.openxmlformats.org/officeDocument/2006/relationships/ctrlProp" Target="../ctrlProps/ctrlProp17.xml"/><Relationship Id="rId16" Type="http://schemas.openxmlformats.org/officeDocument/2006/relationships/ctrlProp" Target="../ctrlProps/ctrlProp13.xml"/><Relationship Id="rId1" Type="http://schemas.openxmlformats.org/officeDocument/2006/relationships/vmlDrawing" Target="../drawings/vmlDrawing1.vml"/><Relationship Id="rId6" Type="http://schemas.openxmlformats.org/officeDocument/2006/relationships/ctrlProp" Target="../ctrlProps/ctrlProp3.xml"/><Relationship Id="rId24" Type="http://schemas.openxmlformats.org/officeDocument/2006/relationships/ctrlProp" Target="../ctrlProps/ctrlProp21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23" Type="http://schemas.openxmlformats.org/officeDocument/2006/relationships/ctrlProp" Target="../ctrlProps/ctrlProp20.xml"/><Relationship Id="rId15" Type="http://schemas.openxmlformats.org/officeDocument/2006/relationships/ctrlProp" Target="../ctrlProps/ctrlProp12.xml"/><Relationship Id="rId19" Type="http://schemas.openxmlformats.org/officeDocument/2006/relationships/ctrlProp" Target="../ctrlProps/ctrlProp16.xml"/><Relationship Id="rId10" Type="http://schemas.openxmlformats.org/officeDocument/2006/relationships/ctrlProp" Target="../ctrlProps/ctrlProp7.xml"/><Relationship Id="rId9" Type="http://schemas.openxmlformats.org/officeDocument/2006/relationships/ctrlProp" Target="../ctrlProps/ctrlProp6.xml"/><Relationship Id="rId4" Type="http://schemas.openxmlformats.org/officeDocument/2006/relationships/ctrlProp" Target="../ctrlProps/ctrlProp1.xml"/><Relationship Id="rId22" Type="http://schemas.openxmlformats.org/officeDocument/2006/relationships/ctrlProp" Target="../ctrlProps/ctrlProp19.xml"/><Relationship Id="rId1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5.vml"/><Relationship Id="rId4" Type="http://schemas.openxmlformats.org/officeDocument/2006/relationships/ctrlProp" Target="../ctrlProps/ctrlProp2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6.vml"/><Relationship Id="rId4" Type="http://schemas.openxmlformats.org/officeDocument/2006/relationships/ctrlProp" Target="../ctrlProps/ctrlProp2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200" customWidth="1"/>
    <col min="2" max="2" width="0.875" style="201" customWidth="1"/>
    <col min="3" max="3" width="7.875" style="201" customWidth="1"/>
    <col min="4" max="4" width="8.25" style="201" customWidth="1"/>
    <col min="5" max="5" width="0.875" style="201" customWidth="1"/>
    <col min="6" max="6" width="8.625" style="201" customWidth="1"/>
    <col min="7" max="10" width="8.125" style="202" customWidth="1"/>
    <col min="11" max="11" width="8.5" style="202" customWidth="1"/>
    <col min="12" max="12" width="8.125" style="203" customWidth="1"/>
    <col min="13" max="13" width="8.5" style="203" customWidth="1"/>
    <col min="14" max="16" width="8.125" style="202" customWidth="1"/>
    <col min="17" max="17" width="8.625" style="202" customWidth="1"/>
    <col min="18" max="18" width="8.5" style="202" customWidth="1"/>
    <col min="19" max="19" width="7" style="203" hidden="1" customWidth="1"/>
    <col min="20" max="20" width="8.125" style="203" customWidth="1"/>
    <col min="21" max="21" width="9.25" style="201" hidden="1" customWidth="1"/>
    <col min="22" max="22" width="8.5" style="201" customWidth="1"/>
    <col min="23" max="23" width="7.875" style="201" customWidth="1"/>
    <col min="24" max="24" width="0.125" style="201" hidden="1" customWidth="1"/>
    <col min="25" max="25" width="3.5" style="201" hidden="1" customWidth="1"/>
    <col min="26" max="26" width="8" style="201" hidden="1" customWidth="1"/>
    <col min="27" max="27" width="6" style="201" hidden="1" customWidth="1"/>
    <col min="28" max="28" width="5.875" style="201" hidden="1" customWidth="1"/>
    <col min="29" max="29" width="8.625" style="201" hidden="1" customWidth="1"/>
    <col min="30" max="30" width="8.375" style="201" hidden="1" customWidth="1"/>
    <col min="31" max="31" width="8.75" style="204" hidden="1" customWidth="1"/>
    <col min="32" max="32" width="10.375" style="202" hidden="1" customWidth="1"/>
    <col min="33" max="33" width="8.25" style="203" hidden="1" customWidth="1"/>
    <col min="34" max="34" width="8.875" style="204" hidden="1" customWidth="1"/>
    <col min="35" max="35" width="9.5" style="202" hidden="1" customWidth="1"/>
    <col min="36" max="36" width="6.5" style="202" hidden="1" customWidth="1"/>
    <col min="37" max="37" width="8.25" style="202" hidden="1" customWidth="1"/>
    <col min="38" max="38" width="8.875" style="204" hidden="1" customWidth="1"/>
    <col min="39" max="39" width="9.125" style="203" hidden="1" customWidth="1"/>
    <col min="40" max="40" width="10.125" style="203" hidden="1" customWidth="1"/>
    <col min="41" max="41" width="0.5" style="201" hidden="1" customWidth="1"/>
    <col min="42" max="42" width="11.125" style="201" hidden="1" customWidth="1"/>
    <col min="43" max="43" width="8.125" style="201" hidden="1" customWidth="1"/>
    <col min="44" max="44" width="7.75" style="201" hidden="1" customWidth="1"/>
    <col min="45" max="45" width="11.875" style="201" hidden="1" customWidth="1"/>
    <col min="46" max="46" width="7.75" style="203" hidden="1" customWidth="1"/>
    <col min="47" max="47" width="12" style="203" hidden="1" customWidth="1"/>
    <col min="48" max="48" width="10.375" style="203" hidden="1" customWidth="1"/>
    <col min="49" max="49" width="9.875" style="203" hidden="1" customWidth="1"/>
    <col min="50" max="50" width="7.875" style="201" hidden="1" customWidth="1"/>
    <col min="51" max="54" width="8.625" style="201" customWidth="1"/>
    <col min="55" max="58" width="9" style="201"/>
    <col min="59" max="60" width="9" style="201" customWidth="1"/>
    <col min="61" max="16384" width="9" style="201"/>
  </cols>
  <sheetData>
    <row r="1" spans="1:50" ht="9" customHeight="1">
      <c r="A1" s="458" t="s">
        <v>0</v>
      </c>
      <c r="B1" s="205"/>
      <c r="C1" s="205"/>
      <c r="D1" s="205"/>
      <c r="E1" s="206"/>
      <c r="F1" s="207"/>
      <c r="G1" s="208"/>
      <c r="H1" s="208"/>
      <c r="I1" s="208"/>
      <c r="J1" s="208"/>
      <c r="K1" s="208"/>
      <c r="M1" s="270"/>
      <c r="N1" s="208"/>
      <c r="O1" s="265"/>
      <c r="P1" s="265"/>
      <c r="S1" s="289"/>
      <c r="T1" s="289"/>
      <c r="U1" s="290"/>
      <c r="V1" s="290"/>
      <c r="W1" s="290"/>
      <c r="Y1" s="318">
        <f ca="1">VLOOKUP($M$11,弟子基础属性!$C$1:$T$189,5,0)</f>
        <v>280</v>
      </c>
      <c r="Z1" s="319">
        <f ca="1">VLOOKUP(M11,弟子基础属性!$C$1:$T$189,10,0)</f>
        <v>12</v>
      </c>
      <c r="AA1" s="320">
        <f ca="1">VLOOKUP($M$11,弟子基础属性!$C$1:$T$189,6,0)</f>
        <v>100</v>
      </c>
      <c r="AB1" s="321">
        <f ca="1">VLOOKUP(M11,弟子基础属性!$C$1:$T$189,11,0)</f>
        <v>4.0999999999999996</v>
      </c>
      <c r="AC1" s="322">
        <f ca="1">VLOOKUP($M$11,弟子基础属性!$C$1:$T$189,7,0)</f>
        <v>95</v>
      </c>
      <c r="AD1" s="320">
        <f ca="1">VLOOKUP(M11,弟子基础属性!$C$1:$T$189,12,0)</f>
        <v>6.4</v>
      </c>
      <c r="AE1" s="321">
        <f ca="1">VLOOKUP(M11,弟子基础属性!$C$1:$V$191,8,0)</f>
        <v>390</v>
      </c>
      <c r="AF1" s="320">
        <f ca="1">VLOOKUP(M11,弟子基础属性!$C$1:$V$191,13,0)</f>
        <v>12</v>
      </c>
      <c r="AG1" s="322" t="str">
        <f ca="1">VLOOKUP(M11,弟子基础属性!$C$1:$V$191,2,0)</f>
        <v>打狗棍法</v>
      </c>
      <c r="AH1" s="322">
        <f ca="1">VLOOKUP(M11,弟子基础属性!$C$1:$V$191,3,0)</f>
        <v>20</v>
      </c>
      <c r="AI1" s="360" t="str">
        <f ca="1">$M$11</f>
        <v>郭襄</v>
      </c>
      <c r="AJ1" s="361"/>
      <c r="AK1" s="360"/>
      <c r="AL1" s="362" t="str">
        <f ca="1">M31</f>
        <v>天山童姥</v>
      </c>
      <c r="AM1" s="363" t="str">
        <f>H31</f>
        <v>十一郎</v>
      </c>
      <c r="AN1" s="364"/>
      <c r="AO1" s="398"/>
      <c r="AP1" s="399"/>
      <c r="AQ1" s="398"/>
      <c r="AR1" s="400"/>
      <c r="AS1" s="401"/>
      <c r="AT1" s="322"/>
      <c r="AU1" s="402"/>
      <c r="AV1" s="402"/>
      <c r="AW1" s="402"/>
      <c r="AX1" s="437"/>
    </row>
    <row r="2" spans="1:50" ht="15" customHeight="1">
      <c r="A2" s="458"/>
      <c r="B2" s="205"/>
      <c r="C2" s="209"/>
      <c r="D2" s="209"/>
      <c r="E2" s="206"/>
      <c r="F2" s="210" t="s">
        <v>1</v>
      </c>
      <c r="G2" s="211" t="s">
        <v>2</v>
      </c>
      <c r="H2" s="212" t="s">
        <v>3</v>
      </c>
      <c r="I2" s="212" t="s">
        <v>4</v>
      </c>
      <c r="J2" s="212" t="s">
        <v>5</v>
      </c>
      <c r="K2" s="212" t="s">
        <v>6</v>
      </c>
      <c r="L2" s="212" t="s">
        <v>7</v>
      </c>
      <c r="M2" s="212" t="s">
        <v>8</v>
      </c>
      <c r="N2" s="212" t="s">
        <v>9</v>
      </c>
      <c r="O2" s="271" t="s">
        <v>10</v>
      </c>
      <c r="P2" s="443" t="str">
        <f>INDEX(总队伍,A19,1)</f>
        <v>G郭襄</v>
      </c>
      <c r="Q2" s="444"/>
      <c r="R2" s="444"/>
      <c r="S2" s="444"/>
      <c r="T2" s="445"/>
      <c r="U2" s="291"/>
      <c r="V2" s="591" t="s">
        <v>11</v>
      </c>
      <c r="W2" s="592"/>
      <c r="Y2" s="323">
        <f ca="1">VLOOKUP($M$13,弟子基础属性!$C$1:$T$189,5,0)</f>
        <v>10</v>
      </c>
      <c r="Z2" s="324">
        <f ca="1">VLOOKUP(M13,弟子基础属性!$C$1:$T$189,10,0)</f>
        <v>10</v>
      </c>
      <c r="AA2" s="325">
        <f ca="1">VLOOKUP($M$13,弟子基础属性!$C$1:$T$189,6,0)</f>
        <v>10</v>
      </c>
      <c r="AB2" s="326">
        <f ca="1">VLOOKUP(M13,弟子基础属性!$C$1:$T$189,11,0)</f>
        <v>7.1</v>
      </c>
      <c r="AC2" s="311">
        <f ca="1">VLOOKUP($M$13,弟子基础属性!$C$1:$T$189,7,0)</f>
        <v>10</v>
      </c>
      <c r="AD2" s="325">
        <f ca="1">VLOOKUP(M13,弟子基础属性!$C$1:$T$189,12,0)</f>
        <v>2.2999999999999998</v>
      </c>
      <c r="AE2" s="326">
        <f ca="1">VLOOKUP(M13,弟子基础属性!$C$1:$V$191,8,0)</f>
        <v>0</v>
      </c>
      <c r="AF2" s="325">
        <f ca="1">VLOOKUP(M13,弟子基础属性!$C$1:$V$191,13,0)</f>
        <v>21</v>
      </c>
      <c r="AG2" s="311" t="str">
        <f ca="1">VLOOKUP(M13,弟子基础属性!$C$1:$V$191,2,0)</f>
        <v>天山六阳掌</v>
      </c>
      <c r="AH2" s="311">
        <f ca="1">VLOOKUP(M13,弟子基础属性!$C$1:$V$191,3,0)</f>
        <v>52</v>
      </c>
      <c r="AI2" s="225" t="str">
        <f ca="1">$M$13</f>
        <v>天山童姥</v>
      </c>
      <c r="AJ2" s="365" t="str">
        <f ca="1">INDIRECT("队伍表!"&amp;ADDRESS(2,$A$21))</f>
        <v>郭襄</v>
      </c>
      <c r="AK2" s="225"/>
      <c r="AL2" s="366" t="s">
        <v>12</v>
      </c>
      <c r="AM2" s="367" t="s">
        <v>12</v>
      </c>
      <c r="AN2" s="368"/>
      <c r="AO2" s="403"/>
      <c r="AP2" s="404"/>
      <c r="AQ2" s="403"/>
      <c r="AR2" s="405"/>
      <c r="AS2" s="406"/>
      <c r="AT2" s="311"/>
      <c r="AU2" s="243"/>
      <c r="AV2" s="243"/>
      <c r="AW2" s="243"/>
      <c r="AX2" s="373"/>
    </row>
    <row r="3" spans="1:50" ht="15" customHeight="1">
      <c r="A3" s="213"/>
      <c r="B3" s="203"/>
      <c r="C3" s="459" t="str">
        <f>A17&amp;"人阵"</f>
        <v>8人阵</v>
      </c>
      <c r="D3" s="214"/>
      <c r="E3" s="215"/>
      <c r="F3" s="216" t="s">
        <v>13</v>
      </c>
      <c r="G3" s="217">
        <v>43442</v>
      </c>
      <c r="H3" s="146">
        <v>24194</v>
      </c>
      <c r="I3" s="146">
        <v>50257</v>
      </c>
      <c r="J3" s="146">
        <v>23148</v>
      </c>
      <c r="K3" s="146">
        <v>59213</v>
      </c>
      <c r="L3" s="146">
        <v>26990</v>
      </c>
      <c r="M3" s="146">
        <v>21598</v>
      </c>
      <c r="N3" s="146">
        <v>90243</v>
      </c>
      <c r="O3" s="272">
        <v>20087</v>
      </c>
      <c r="P3" s="273" t="s">
        <v>14</v>
      </c>
      <c r="Q3" s="292">
        <f ca="1">N11</f>
        <v>514230</v>
      </c>
      <c r="R3" s="293" t="s">
        <v>15</v>
      </c>
      <c r="S3" s="243"/>
      <c r="T3" s="294">
        <f>D7</f>
        <v>28546</v>
      </c>
      <c r="U3" s="290"/>
      <c r="V3" s="593"/>
      <c r="W3" s="594"/>
      <c r="Y3" s="323">
        <f ca="1">VLOOKUP($M$15,弟子基础属性!$C$1:$T$189,5,0)</f>
        <v>280</v>
      </c>
      <c r="Z3" s="324">
        <f ca="1">VLOOKUP(M15,弟子基础属性!$C$1:$T$189,10,0)</f>
        <v>10</v>
      </c>
      <c r="AA3" s="325">
        <f ca="1">VLOOKUP($M$15,弟子基础属性!$C$1:$T$189,6,0)</f>
        <v>150</v>
      </c>
      <c r="AB3" s="326">
        <f ca="1">VLOOKUP(M15,弟子基础属性!$C$1:$T$189,11,0)</f>
        <v>4.0999999999999996</v>
      </c>
      <c r="AC3" s="311">
        <f ca="1">VLOOKUP($M$15,弟子基础属性!$C$1:$T$189,7,0)</f>
        <v>160</v>
      </c>
      <c r="AD3" s="325">
        <f ca="1">VLOOKUP(M15,弟子基础属性!$C$1:$T$189,12,0)</f>
        <v>4.0999999999999996</v>
      </c>
      <c r="AE3" s="326">
        <f ca="1">VLOOKUP(M15,弟子基础属性!$C$1:$V$191,8,0)</f>
        <v>500</v>
      </c>
      <c r="AF3" s="325">
        <f ca="1">VLOOKUP(M15,弟子基础属性!$C$1:$V$191,13,0)</f>
        <v>16</v>
      </c>
      <c r="AG3" s="311" t="str">
        <f ca="1">VLOOKUP(M15,弟子基础属性!$C$1:$V$191,2,0)</f>
        <v>太极拳</v>
      </c>
      <c r="AH3" s="311">
        <f ca="1">VLOOKUP(M15,弟子基础属性!$C$1:$V$191,3,0)</f>
        <v>54</v>
      </c>
      <c r="AI3" s="225" t="str">
        <f ca="1">$M$15</f>
        <v>张三丰</v>
      </c>
      <c r="AJ3" s="365">
        <f ca="1">VLOOKUP(M11,弟子基础属性!C3:O239,5,0)</f>
        <v>280</v>
      </c>
      <c r="AK3" s="225"/>
      <c r="AL3" s="366">
        <f ca="1">VLOOKUP(AL1,$M$11:$P$33,2,0)</f>
        <v>428190</v>
      </c>
      <c r="AM3" s="367">
        <f>VLOOKUP(AM1,$F$11:$H$32,2,0)</f>
        <v>191359</v>
      </c>
      <c r="AN3" s="369"/>
      <c r="AO3" s="407"/>
      <c r="AP3" s="408"/>
      <c r="AQ3" s="407"/>
      <c r="AR3" s="409"/>
      <c r="AS3" s="410"/>
      <c r="AT3" s="311"/>
      <c r="AU3" s="243"/>
      <c r="AV3" s="243"/>
      <c r="AW3" s="243"/>
      <c r="AX3" s="373"/>
    </row>
    <row r="4" spans="1:50" ht="15" customHeight="1">
      <c r="A4" s="218"/>
      <c r="B4" s="203"/>
      <c r="C4" s="460"/>
      <c r="D4" s="219"/>
      <c r="E4" s="215"/>
      <c r="F4" s="220" t="s">
        <v>16</v>
      </c>
      <c r="G4" s="217">
        <v>69812</v>
      </c>
      <c r="H4" s="146">
        <v>31490</v>
      </c>
      <c r="I4" s="146">
        <v>68277</v>
      </c>
      <c r="J4" s="146">
        <v>28908</v>
      </c>
      <c r="K4" s="146">
        <v>48018</v>
      </c>
      <c r="L4" s="146">
        <v>25828</v>
      </c>
      <c r="M4" s="146">
        <v>45115</v>
      </c>
      <c r="N4" s="146">
        <v>65393</v>
      </c>
      <c r="O4" s="272">
        <v>21218</v>
      </c>
      <c r="P4" s="274" t="s">
        <v>17</v>
      </c>
      <c r="Q4" s="295" t="str">
        <f ca="1">M11</f>
        <v>郭襄</v>
      </c>
      <c r="R4" s="296" t="s">
        <v>18</v>
      </c>
      <c r="S4" s="243"/>
      <c r="T4" s="297">
        <f>IF(VLOOKUP(P2,加成系数!A:E,2,0)="","",IF(ISNUMBER(VLOOKUP(P2,加成系数!A:E,2,0))=FALSE,"",VLOOKUP(P2,加成系数!A:E,2,0)))</f>
        <v>1.5</v>
      </c>
      <c r="U4" s="290"/>
      <c r="V4" s="298" t="s">
        <v>19</v>
      </c>
      <c r="W4" s="299">
        <f>Z25*(C19+100)*0.01</f>
        <v>3093</v>
      </c>
      <c r="Y4" s="323">
        <f ca="1">VLOOKUP($M$17,弟子基础属性!$C$1:$T$189,5,0)</f>
        <v>120</v>
      </c>
      <c r="Z4" s="324">
        <f ca="1">VLOOKUP(M17,弟子基础属性!$C$1:$T$189,10,0)</f>
        <v>8</v>
      </c>
      <c r="AA4" s="325">
        <f ca="1">VLOOKUP($M$17,弟子基础属性!$C$1:$T$189,6,0)</f>
        <v>79</v>
      </c>
      <c r="AB4" s="326">
        <f ca="1">VLOOKUP(M17,弟子基础属性!$C$1:$T$189,11,0)</f>
        <v>5.3</v>
      </c>
      <c r="AC4" s="311">
        <f ca="1">VLOOKUP($M$17,弟子基础属性!$C$1:$T$189,7,0)</f>
        <v>42</v>
      </c>
      <c r="AD4" s="325">
        <f ca="1">VLOOKUP(M17,弟子基础属性!$C$1:$T$189,12,0)</f>
        <v>2.8</v>
      </c>
      <c r="AE4" s="326">
        <f ca="1">VLOOKUP(M17,弟子基础属性!$C$1:$V$191,8,0)</f>
        <v>90</v>
      </c>
      <c r="AF4" s="325">
        <f ca="1">VLOOKUP(M17,弟子基础属性!$C$1:$V$191,13,0)</f>
        <v>6</v>
      </c>
      <c r="AG4" s="311" t="str">
        <f ca="1">VLOOKUP(M17,弟子基础属性!$C$1:$V$191,2,0)</f>
        <v>鹰爪手</v>
      </c>
      <c r="AH4" s="311">
        <f ca="1">VLOOKUP(M17,弟子基础属性!$C$1:$V$191,3,0)</f>
        <v>23</v>
      </c>
      <c r="AI4" s="225" t="str">
        <f ca="1">$M$17</f>
        <v>白眉鹰王</v>
      </c>
      <c r="AJ4" s="370">
        <f ca="1">VLOOKUP(M11,弟子基础属性!C3:O239,10,0)</f>
        <v>12</v>
      </c>
      <c r="AK4" s="225"/>
      <c r="AL4" s="366" t="s">
        <v>20</v>
      </c>
      <c r="AM4" s="371" t="s">
        <v>20</v>
      </c>
      <c r="AN4" s="372"/>
      <c r="AO4" s="411">
        <f ca="1">IF(H31="十一郎",AO5,IF(H31="萧远山",AO6,AO7))</f>
        <v>153573</v>
      </c>
      <c r="AP4" s="412">
        <f ca="1">IF(H31="十一郎",AP5,IF(H31="萧远山",AP6,AP7))</f>
        <v>-3</v>
      </c>
      <c r="AQ4" s="411">
        <f ca="1">IF(H31="十一郎",AQ5,IF(H31="萧远山",AQ6,AQ7))</f>
        <v>765299.52</v>
      </c>
      <c r="AR4" s="411">
        <f ca="1">IF(H31="十一郎",AR5,IF(H31="萧远山",AR6,AR7))</f>
        <v>0</v>
      </c>
      <c r="AS4" s="413">
        <f ca="1">IF(H31="十一郎",AS5,IF(H31="萧远山",AS6,AS7))</f>
        <v>274617</v>
      </c>
      <c r="AT4" s="311"/>
      <c r="AU4" s="243"/>
      <c r="AV4" s="243"/>
      <c r="AW4" s="243"/>
      <c r="AX4" s="373"/>
    </row>
    <row r="5" spans="1:50" ht="15" customHeight="1">
      <c r="A5" s="218"/>
      <c r="B5" s="203"/>
      <c r="E5" s="215"/>
      <c r="F5" s="221" t="s">
        <v>21</v>
      </c>
      <c r="G5" s="222">
        <v>24792</v>
      </c>
      <c r="H5" s="136">
        <v>43391</v>
      </c>
      <c r="I5" s="136">
        <v>17340</v>
      </c>
      <c r="J5" s="136">
        <v>38689</v>
      </c>
      <c r="K5" s="136">
        <v>12863</v>
      </c>
      <c r="L5" s="136">
        <v>37885</v>
      </c>
      <c r="M5" s="136">
        <v>14628</v>
      </c>
      <c r="N5" s="136">
        <v>7841</v>
      </c>
      <c r="O5" s="275">
        <v>11496</v>
      </c>
      <c r="P5" s="274" t="s">
        <v>22</v>
      </c>
      <c r="Q5" s="295">
        <f>A17</f>
        <v>8</v>
      </c>
      <c r="R5" s="296" t="s">
        <v>23</v>
      </c>
      <c r="S5" s="243"/>
      <c r="T5" s="297">
        <f>IF(VLOOKUP(P2,加成系数!A:E,3,0)="","",IF(ISNUMBER(VLOOKUP(P2,加成系数!A:E,3,0))=FALSE,"",VLOOKUP(P2,加成系数!A:E,3,0)))</f>
        <v>1.5</v>
      </c>
      <c r="U5" s="290"/>
      <c r="V5" s="300" t="s">
        <v>24</v>
      </c>
      <c r="W5" s="301">
        <f>VLOOKUP($Y$10,武功表!$A$2:$W$153,4,0)+AB10*(W6-1)</f>
        <v>35</v>
      </c>
      <c r="Y5" s="323">
        <f ca="1">VLOOKUP($M$19,弟子基础属性!$C$1:$T$189,5,0)</f>
        <v>200</v>
      </c>
      <c r="Z5" s="324">
        <f ca="1">VLOOKUP(M19,弟子基础属性!$C$1:$T$189,10,0)</f>
        <v>10</v>
      </c>
      <c r="AA5" s="325">
        <f ca="1">VLOOKUP($M$19,弟子基础属性!$C$1:$T$189,6,0)</f>
        <v>88</v>
      </c>
      <c r="AB5" s="326">
        <f ca="1">VLOOKUP(M19,弟子基础属性!$C$1:$T$189,11,0)</f>
        <v>4.4000000000000004</v>
      </c>
      <c r="AC5" s="311">
        <f ca="1">VLOOKUP($M$19,弟子基础属性!$C$1:$T$189,7,0)</f>
        <v>104</v>
      </c>
      <c r="AD5" s="325">
        <f ca="1">VLOOKUP(M19,弟子基础属性!$C$1:$T$189,12,0)</f>
        <v>5.2</v>
      </c>
      <c r="AE5" s="326">
        <f ca="1">VLOOKUP(M19,弟子基础属性!$C$1:$V$191,8,0)</f>
        <v>270</v>
      </c>
      <c r="AF5" s="325">
        <f ca="1">VLOOKUP(M19,弟子基础属性!$C$1:$V$191,13,0)</f>
        <v>10</v>
      </c>
      <c r="AG5" s="311" t="str">
        <f ca="1">VLOOKUP(M19,弟子基础属性!$C$1:$V$191,2,0)</f>
        <v>乾坤大挪移</v>
      </c>
      <c r="AH5" s="311">
        <f ca="1">VLOOKUP(M19,弟子基础属性!$C$1:$V$191,3,0)</f>
        <v>68</v>
      </c>
      <c r="AI5" s="373" t="str">
        <f ca="1">$M$19</f>
        <v>张无忌</v>
      </c>
      <c r="AJ5" s="243"/>
      <c r="AK5" s="225"/>
      <c r="AL5" s="366">
        <f ca="1">VLOOKUP(AL1,$M$11:$P$33,3,0)</f>
        <v>304018</v>
      </c>
      <c r="AM5" s="371">
        <f>VLOOKUP(AM1,$F$11:$H$32,3,0)</f>
        <v>180796</v>
      </c>
      <c r="AN5" s="368" t="s">
        <v>7</v>
      </c>
      <c r="AO5" s="403">
        <f ca="1">IF(AS14=11,SUM(AU9:AU14),IF(AS14&lt;0,AW11,AW10))</f>
        <v>153573</v>
      </c>
      <c r="AP5" s="414">
        <f ca="1">AS14</f>
        <v>-3</v>
      </c>
      <c r="AQ5" s="403">
        <f ca="1">IF(AS14=11,SUM(AV9:AV14),IF(AS14&lt;0,AW14,AW13))</f>
        <v>765299.52</v>
      </c>
      <c r="AR5" s="405">
        <f ca="1">IF(AS14=11,AR11,IF(AS14&lt;0,AR12,AR13))</f>
        <v>0</v>
      </c>
      <c r="AS5" s="406">
        <f ca="1">IF(AS14=11,AS11,IF(AS14&lt;0,AS12,AS13))</f>
        <v>274617</v>
      </c>
      <c r="AT5" s="311"/>
      <c r="AU5" s="243"/>
      <c r="AV5" s="243"/>
      <c r="AW5" s="243"/>
      <c r="AX5" s="373"/>
    </row>
    <row r="6" spans="1:50" ht="15" customHeight="1">
      <c r="A6" s="218"/>
      <c r="B6" s="203"/>
      <c r="C6" s="223" t="s">
        <v>25</v>
      </c>
      <c r="D6" s="224"/>
      <c r="E6" s="225"/>
      <c r="F6" s="221" t="s">
        <v>26</v>
      </c>
      <c r="G6" s="222">
        <v>8706</v>
      </c>
      <c r="H6" s="136">
        <v>4126</v>
      </c>
      <c r="I6" s="136">
        <v>9012</v>
      </c>
      <c r="J6" s="136">
        <v>5755</v>
      </c>
      <c r="K6" s="136">
        <v>3111</v>
      </c>
      <c r="L6" s="136">
        <v>3487</v>
      </c>
      <c r="M6" s="136">
        <v>3093</v>
      </c>
      <c r="N6" s="136">
        <v>5721</v>
      </c>
      <c r="O6" s="275">
        <v>8505</v>
      </c>
      <c r="P6" s="276" t="s">
        <v>27</v>
      </c>
      <c r="Q6" s="302">
        <f ca="1">IF(ROUNDUP((Q3/T4-AJ3)/AJ4,)+1&lt;1,"",ROUNDUP((Q3/T4-AJ3)/AJ4,)+1)</f>
        <v>28546</v>
      </c>
      <c r="R6" s="296" t="s">
        <v>28</v>
      </c>
      <c r="S6" s="243"/>
      <c r="T6" s="297">
        <f>IF(VLOOKUP(P2,加成系数!A:E,4,0)="","",IF(ISNUMBER(VLOOKUP(P2,加成系数!A:E,4,0))=FALSE,"",VLOOKUP(P2,加成系数!A:E,4,0)))</f>
        <v>1.8</v>
      </c>
      <c r="U6" s="290"/>
      <c r="V6" s="303" t="s">
        <v>29</v>
      </c>
      <c r="W6" s="304">
        <v>3</v>
      </c>
      <c r="Y6" s="323">
        <f ca="1">VLOOKUP($M$21,弟子基础属性!$C$1:$T$189,5,0)</f>
        <v>180</v>
      </c>
      <c r="Z6" s="324">
        <f ca="1">VLOOKUP(M21,弟子基础属性!$C$1:$T$189,10,0)</f>
        <v>10</v>
      </c>
      <c r="AA6" s="325">
        <f ca="1">VLOOKUP($M$21,弟子基础属性!$C$1:$T$189,6,0)</f>
        <v>100</v>
      </c>
      <c r="AB6" s="326">
        <f ca="1">VLOOKUP(M21,弟子基础属性!$C$1:$T$189,11,0)</f>
        <v>4.5999999999999996</v>
      </c>
      <c r="AC6" s="311">
        <f ca="1">VLOOKUP($M$21,弟子基础属性!$C$1:$T$189,7,0)</f>
        <v>120</v>
      </c>
      <c r="AD6" s="325">
        <f ca="1">VLOOKUP(M21,弟子基础属性!$C$1:$T$189,12,0)</f>
        <v>6.5</v>
      </c>
      <c r="AE6" s="326">
        <f ca="1">VLOOKUP(M21,弟子基础属性!$C$1:$V$191,8,0)</f>
        <v>360</v>
      </c>
      <c r="AF6" s="325">
        <f ca="1">VLOOKUP(M21,弟子基础属性!$C$1:$V$191,13,0)</f>
        <v>12</v>
      </c>
      <c r="AG6" s="311" t="str">
        <f ca="1">VLOOKUP(M21,弟子基础属性!$C$1:$V$191,2,0)</f>
        <v>玉女心经</v>
      </c>
      <c r="AH6" s="311">
        <f ca="1">VLOOKUP(M21,弟子基础属性!$C$1:$V$191,3,0)</f>
        <v>0</v>
      </c>
      <c r="AI6" s="373" t="str">
        <f ca="1">$M$21</f>
        <v>小龙女</v>
      </c>
      <c r="AJ6" s="243"/>
      <c r="AK6" s="225"/>
      <c r="AL6" s="366" t="s">
        <v>30</v>
      </c>
      <c r="AM6" s="371" t="s">
        <v>30</v>
      </c>
      <c r="AN6" s="368" t="s">
        <v>31</v>
      </c>
      <c r="AO6" s="403">
        <f ca="1">IF(AS21=11,SUM(AU16:AU21),IF(AS21&lt;0,AW18,AW17))</f>
        <v>0</v>
      </c>
      <c r="AP6" s="414">
        <f ca="1">AS21</f>
        <v>-1</v>
      </c>
      <c r="AQ6" s="403">
        <f ca="1">IF(AS21=11,SUM(AV16:AV21),IF(AS21&lt;0,AW21,AW20))</f>
        <v>253262.4</v>
      </c>
      <c r="AR6" s="405">
        <f ca="1">IF(AS21=11,AR18,IF(AS21&lt;0,AR19,AR20))</f>
        <v>0</v>
      </c>
      <c r="AS6" s="406">
        <f ca="1">IF(AS21=11,AS18,IF(AS21&lt;0,AS19,AS20))</f>
        <v>428190</v>
      </c>
      <c r="AT6" s="311"/>
      <c r="AU6" s="243"/>
      <c r="AV6" s="243"/>
      <c r="AW6" s="243"/>
      <c r="AX6" s="373"/>
    </row>
    <row r="7" spans="1:50" ht="15" customHeight="1">
      <c r="A7" s="218"/>
      <c r="B7" s="203"/>
      <c r="C7" s="226">
        <v>180</v>
      </c>
      <c r="D7" s="227">
        <f>IF(C7&lt;1,1,IF(ISNUMBER(C7)=FALSE,1,IF(ISNUMBER(血战等级!M4)=FALSE,1,IF(血战等级!M4&lt;1,1,血战等级!M4))))</f>
        <v>28546</v>
      </c>
      <c r="E7" s="225"/>
      <c r="F7" s="228" t="s">
        <v>32</v>
      </c>
      <c r="G7" s="229">
        <v>0</v>
      </c>
      <c r="H7" s="230">
        <v>0</v>
      </c>
      <c r="I7" s="230">
        <v>0.152</v>
      </c>
      <c r="J7" s="230">
        <v>0</v>
      </c>
      <c r="K7" s="230">
        <v>0</v>
      </c>
      <c r="L7" s="230">
        <v>0</v>
      </c>
      <c r="M7" s="230">
        <v>0</v>
      </c>
      <c r="N7" s="230">
        <v>0.42599999999999999</v>
      </c>
      <c r="O7" s="277">
        <v>0</v>
      </c>
      <c r="P7" s="278" t="s">
        <v>33</v>
      </c>
      <c r="Q7" s="305">
        <f>C7</f>
        <v>180</v>
      </c>
      <c r="R7" s="306" t="s">
        <v>34</v>
      </c>
      <c r="S7" s="243"/>
      <c r="T7" s="307">
        <f>IF(VLOOKUP(P2,加成系数!A:E,5,0)="","",IF(ISNUMBER(VLOOKUP(P2,加成系数!A:E,5,0))=FALSE,"",VLOOKUP(P2,加成系数!A:E,5,0)))</f>
        <v>1.8</v>
      </c>
      <c r="U7" s="308"/>
      <c r="V7" s="309" t="s">
        <v>35</v>
      </c>
      <c r="W7" s="310">
        <v>1.3</v>
      </c>
      <c r="Y7" s="323">
        <f ca="1">VLOOKUP($M$23,弟子基础属性!$C$1:$T$189,5,0)</f>
        <v>240</v>
      </c>
      <c r="Z7" s="324">
        <f ca="1">VLOOKUP(M23,弟子基础属性!$C$1:$T$189,10,0)</f>
        <v>12</v>
      </c>
      <c r="AA7" s="325">
        <f ca="1">VLOOKUP($M$23,弟子基础属性!$C$1:$T$189,6,0)</f>
        <v>118</v>
      </c>
      <c r="AB7" s="326">
        <f ca="1">VLOOKUP(M23,弟子基础属性!$C$1:$T$189,11,0)</f>
        <v>5.9</v>
      </c>
      <c r="AC7" s="311">
        <f ca="1">VLOOKUP($M$23,弟子基础属性!$C$1:$T$189,7,0)</f>
        <v>76</v>
      </c>
      <c r="AD7" s="325">
        <f ca="1">VLOOKUP(M23,弟子基础属性!$C$1:$T$189,12,0)</f>
        <v>3.8</v>
      </c>
      <c r="AE7" s="326">
        <f ca="1">VLOOKUP(M23,弟子基础属性!$C$1:$V$191,8,0)</f>
        <v>300</v>
      </c>
      <c r="AF7" s="325">
        <f ca="1">VLOOKUP(M23,弟子基础属性!$C$1:$V$191,13,0)</f>
        <v>10</v>
      </c>
      <c r="AG7" s="311" t="str">
        <f ca="1">VLOOKUP(M23,弟子基础属性!$C$1:$V$191,2,0)</f>
        <v>降龙十八掌</v>
      </c>
      <c r="AH7" s="311">
        <f ca="1">VLOOKUP(M23,弟子基础属性!$C$1:$V$191,3,0)</f>
        <v>25</v>
      </c>
      <c r="AI7" s="373" t="str">
        <f ca="1">$M$23</f>
        <v>郭靖</v>
      </c>
      <c r="AJ7" s="243"/>
      <c r="AK7" s="225"/>
      <c r="AL7" s="374">
        <f ca="1">VLOOKUP(AL1,$M$11:$P$33,4,0)</f>
        <v>118193</v>
      </c>
      <c r="AM7" s="375">
        <f ca="1">VLOOKUP(AM1,$F$11:$I$32,4,0)</f>
        <v>38289</v>
      </c>
      <c r="AN7" s="376" t="s">
        <v>36</v>
      </c>
      <c r="AO7" s="407">
        <f ca="1">IF(AS28=11,SUM(AU23:AU28),IF(AS28&lt;0,AW25,AW24))</f>
        <v>0</v>
      </c>
      <c r="AP7" s="415">
        <f ca="1">AS28</f>
        <v>-1</v>
      </c>
      <c r="AQ7" s="407">
        <f ca="1">IF(AS28=11,SUM(AV23:AV28),IF(AS28&lt;0,AW28,AW27))</f>
        <v>255099.84</v>
      </c>
      <c r="AR7" s="409">
        <f ca="1">IF(AS28=11,AR25,IF(AS28&lt;0,AR26,AR27))</f>
        <v>0</v>
      </c>
      <c r="AS7" s="410">
        <f ca="1">IF(AS28=11,AS25,IF(AS28&lt;0,AS26,AS27))</f>
        <v>428190</v>
      </c>
      <c r="AT7" s="311"/>
      <c r="AU7" s="243" t="s">
        <v>37</v>
      </c>
      <c r="AV7" s="243" t="s">
        <v>38</v>
      </c>
      <c r="AW7" s="243"/>
      <c r="AX7" s="373"/>
    </row>
    <row r="8" spans="1:50" ht="9" customHeight="1">
      <c r="A8" s="218"/>
      <c r="B8" s="203"/>
      <c r="C8" s="231"/>
      <c r="D8" s="231"/>
      <c r="F8" s="232"/>
      <c r="G8" s="233"/>
      <c r="H8" s="233"/>
      <c r="I8" s="233"/>
      <c r="J8" s="233"/>
      <c r="K8" s="233"/>
      <c r="L8" s="279"/>
      <c r="M8" s="270"/>
      <c r="N8" s="208"/>
      <c r="O8" s="208"/>
      <c r="P8" s="208"/>
      <c r="Q8" s="208"/>
      <c r="R8" s="265"/>
      <c r="S8" s="311"/>
      <c r="T8" s="311"/>
      <c r="U8" s="308"/>
      <c r="V8" s="312"/>
      <c r="Y8" s="323">
        <f ca="1">VLOOKUP($M$25,弟子基础属性!$C$1:$T$189,5,0)</f>
        <v>280</v>
      </c>
      <c r="Z8" s="324">
        <f ca="1">VLOOKUP(M25,弟子基础属性!$C$1:$T$189,10,0)</f>
        <v>11</v>
      </c>
      <c r="AA8" s="325">
        <f ca="1">VLOOKUP($M$25,弟子基础属性!$C$1:$T$189,6,0)</f>
        <v>100</v>
      </c>
      <c r="AB8" s="326">
        <f ca="1">VLOOKUP(M25,弟子基础属性!$C$1:$T$189,11,0)</f>
        <v>2.1</v>
      </c>
      <c r="AC8" s="311">
        <f ca="1">VLOOKUP($M$25,弟子基础属性!$C$1:$T$189,7,0)</f>
        <v>100</v>
      </c>
      <c r="AD8" s="325">
        <f ca="1">VLOOKUP(M25,弟子基础属性!$C$1:$T$189,12,0)</f>
        <v>2.2000000000000002</v>
      </c>
      <c r="AE8" s="326">
        <f ca="1">VLOOKUP(M25,弟子基础属性!$C$1:$V$191,8,0)</f>
        <v>380</v>
      </c>
      <c r="AF8" s="325">
        <f ca="1">VLOOKUP(M25,弟子基础属性!$C$1:$V$191,13,0)</f>
        <v>17</v>
      </c>
      <c r="AG8" s="311" t="str">
        <f ca="1">VLOOKUP(M25,弟子基础属性!$C$1:$V$191,2,0)</f>
        <v>长生功</v>
      </c>
      <c r="AH8" s="311">
        <f ca="1">VLOOKUP(M25,弟子基础属性!$C$1:$V$191,3,0)</f>
        <v>0</v>
      </c>
      <c r="AI8" s="373" t="str">
        <f ca="1">$M$25</f>
        <v>石破天</v>
      </c>
      <c r="AJ8" s="243"/>
      <c r="AK8" s="225"/>
      <c r="AL8" s="377"/>
      <c r="AM8" s="208" t="s">
        <v>39</v>
      </c>
      <c r="AN8" s="378"/>
      <c r="AO8" s="416" t="s">
        <v>40</v>
      </c>
      <c r="AP8" s="208" t="s">
        <v>41</v>
      </c>
      <c r="AQ8" s="416"/>
      <c r="AR8" s="270" t="s">
        <v>42</v>
      </c>
      <c r="AS8" s="270" t="s">
        <v>43</v>
      </c>
      <c r="AT8" s="243"/>
      <c r="AU8" s="243">
        <v>0</v>
      </c>
      <c r="AV8" s="243">
        <v>0</v>
      </c>
      <c r="AW8" s="243"/>
      <c r="AX8" s="373"/>
    </row>
    <row r="9" spans="1:50" ht="14.25" customHeight="1">
      <c r="A9" s="218"/>
      <c r="B9" s="203"/>
      <c r="C9" s="234" t="s">
        <v>44</v>
      </c>
      <c r="D9" s="235"/>
      <c r="E9" s="236"/>
      <c r="F9" s="461" t="s">
        <v>45</v>
      </c>
      <c r="G9" s="471" t="s">
        <v>46</v>
      </c>
      <c r="H9" s="482" t="s">
        <v>47</v>
      </c>
      <c r="I9" s="482" t="s">
        <v>48</v>
      </c>
      <c r="J9" s="482" t="s">
        <v>49</v>
      </c>
      <c r="K9" s="500" t="s">
        <v>42</v>
      </c>
      <c r="L9" s="507" t="s">
        <v>50</v>
      </c>
      <c r="M9" s="514" t="s">
        <v>51</v>
      </c>
      <c r="N9" s="523" t="s">
        <v>46</v>
      </c>
      <c r="O9" s="523" t="s">
        <v>47</v>
      </c>
      <c r="P9" s="523" t="s">
        <v>48</v>
      </c>
      <c r="Q9" s="523" t="s">
        <v>49</v>
      </c>
      <c r="R9" s="523" t="s">
        <v>52</v>
      </c>
      <c r="S9" s="538" t="s">
        <v>53</v>
      </c>
      <c r="T9" s="545" t="s">
        <v>54</v>
      </c>
      <c r="U9" s="554" t="s">
        <v>55</v>
      </c>
      <c r="V9" s="561" t="s">
        <v>8</v>
      </c>
      <c r="W9" s="568" t="s">
        <v>56</v>
      </c>
      <c r="Y9" s="327">
        <f ca="1">VLOOKUP($M$28,弟子基础属性!$C$1:$T$189,5,0)</f>
        <v>180</v>
      </c>
      <c r="Z9" s="201">
        <f ca="1">VLOOKUP(M28,弟子基础属性!$C$1:$T$189,10,0)</f>
        <v>10</v>
      </c>
      <c r="AA9" s="201">
        <f ca="1">VLOOKUP($M$28,弟子基础属性!$C$1:$T$189,6,0)</f>
        <v>150</v>
      </c>
      <c r="AB9" s="328">
        <f ca="1">VLOOKUP(M28,弟子基础属性!$C$1:$T$189,11,0)</f>
        <v>7.1</v>
      </c>
      <c r="AC9" s="329">
        <f ca="1">VLOOKUP($M$28,弟子基础属性!$C$1:$T$189,7,0)</f>
        <v>80</v>
      </c>
      <c r="AD9" s="225">
        <f ca="1">VLOOKUP(M28,弟子基础属性!$C$1:$T$189,12,0)</f>
        <v>4</v>
      </c>
      <c r="AE9" s="330">
        <f ca="1">VLOOKUP(M28,弟子基础属性!$C$1:$V$191,8,0)</f>
        <v>360</v>
      </c>
      <c r="AF9" s="328">
        <f ca="1">VLOOKUP(M28,弟子基础属性!$C$1:$V$191,13,0)</f>
        <v>12</v>
      </c>
      <c r="AG9" s="329" t="str">
        <f ca="1">VLOOKUP(M28,弟子基础属性!$C$1:$V$191,2,0)</f>
        <v>黯然销魂掌</v>
      </c>
      <c r="AH9" s="330">
        <f ca="1">VLOOKUP(M28,弟子基础属性!$C$1:$V$191,3,0)</f>
        <v>50</v>
      </c>
      <c r="AI9" s="379" t="str">
        <f ca="1">$M$28</f>
        <v>杨过</v>
      </c>
      <c r="AJ9" s="311"/>
      <c r="AK9" s="311"/>
      <c r="AL9" s="380">
        <f ca="1">IF(COUNTIF(AN9:AP9,0)=0,0,1)</f>
        <v>0</v>
      </c>
      <c r="AM9" s="381">
        <f ca="1">IF(AL1="西门吹雪",AL5*1.15,IF(AL1="丁鹏",AL5*1.1,AL5))</f>
        <v>304018</v>
      </c>
      <c r="AN9" s="382">
        <f ca="1">INT(AL7*(1-H30/100))</f>
        <v>108737</v>
      </c>
      <c r="AO9" s="411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387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411">
        <v>-1</v>
      </c>
      <c r="AR9" s="395"/>
      <c r="AS9" s="417" t="str">
        <f ca="1">IF(ISEVEN(VLOOKUP(AL1,M11:Y28,13,0)),"后手","先手")</f>
        <v>后手</v>
      </c>
      <c r="AT9" s="243"/>
      <c r="AU9" s="418">
        <f ca="1">IF(AND(ISNUMBER(AM5),ISNUMBER(AN9)),IF(AM5-AN9&lt;2,1,AM5-AN9),"")</f>
        <v>72059</v>
      </c>
      <c r="AV9" s="419">
        <f ca="1">IF(AND(ISNUMBER(AM9),ISNUMBER(AM7)),IF(AM9-AM7&lt;2,1,(AM9-AM7)*(1-HLOOKUP(AM1,G2:O7,6,0)-A26)),"")</f>
        <v>255099.84</v>
      </c>
      <c r="AW9" s="438" t="s">
        <v>57</v>
      </c>
      <c r="AX9" s="373"/>
    </row>
    <row r="10" spans="1:50" ht="14.25" customHeight="1">
      <c r="A10" s="218"/>
      <c r="B10" s="203"/>
      <c r="C10" s="237">
        <v>609</v>
      </c>
      <c r="D10" s="238"/>
      <c r="E10" s="236"/>
      <c r="F10" s="462"/>
      <c r="G10" s="472"/>
      <c r="H10" s="483"/>
      <c r="I10" s="483"/>
      <c r="J10" s="483"/>
      <c r="K10" s="501"/>
      <c r="L10" s="508"/>
      <c r="M10" s="515"/>
      <c r="N10" s="524"/>
      <c r="O10" s="524"/>
      <c r="P10" s="524"/>
      <c r="Q10" s="524"/>
      <c r="R10" s="524"/>
      <c r="S10" s="539"/>
      <c r="T10" s="546"/>
      <c r="U10" s="555"/>
      <c r="V10" s="562"/>
      <c r="W10" s="569"/>
      <c r="Y10" s="331" t="str">
        <f>VLOOKUP($Z$10,弟子基础属性!$C$1:$S$183,2,0)</f>
        <v>天外流星</v>
      </c>
      <c r="Z10" s="332" t="str">
        <f>$V$9</f>
        <v>丁鹏</v>
      </c>
      <c r="AA10" s="333">
        <f>VLOOKUP($Y$10,武功表!$A$2:$W$153,4,0)</f>
        <v>27</v>
      </c>
      <c r="AB10" s="334">
        <f>VLOOKUP($Y$10,武功表!$A$2:$W$153,9,0)</f>
        <v>4</v>
      </c>
      <c r="AC10" s="335" t="s">
        <v>58</v>
      </c>
      <c r="AD10" s="335" t="s">
        <v>59</v>
      </c>
      <c r="AE10" s="336" t="s">
        <v>60</v>
      </c>
      <c r="AF10" s="337" t="s">
        <v>61</v>
      </c>
      <c r="AG10" s="337" t="s">
        <v>62</v>
      </c>
      <c r="AH10" s="383" t="s">
        <v>63</v>
      </c>
      <c r="AI10" s="384" t="s">
        <v>64</v>
      </c>
      <c r="AJ10" s="336" t="s">
        <v>65</v>
      </c>
      <c r="AK10" s="385" t="s">
        <v>66</v>
      </c>
      <c r="AL10" s="386">
        <f t="shared" ref="AL10:AL14" ca="1" si="0">IF(OR(AL9=1,AL9=""),"",IF(COUNTIF(AN10:AP10,0)=0,0,1))</f>
        <v>0</v>
      </c>
      <c r="AM10" s="387"/>
      <c r="AN10" s="388">
        <f ca="1">INT(AL7*(1-H30/100*2))</f>
        <v>99282</v>
      </c>
      <c r="AO10" s="420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387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420">
        <v>-2</v>
      </c>
      <c r="AR10" s="421"/>
      <c r="AS10" s="422">
        <f ca="1">AL3</f>
        <v>428190</v>
      </c>
      <c r="AT10" s="243"/>
      <c r="AU10" s="423">
        <f ca="1">IF(AND(ISNUMBER(AM5),ISNUMBER(AN10)),IF(AM5-AN10&lt;2,1,AM5-AN10),"")</f>
        <v>81514</v>
      </c>
      <c r="AV10" s="297">
        <f ca="1">IF(AND(ISNUMBER(AL5),ISNUMBER(AM7)),IF(AL5-AM7&lt;2,1,(AL5-AM7)*(1-HLOOKUP(AM1,G2:O7,6,0)-A26)),"")</f>
        <v>255099.84</v>
      </c>
      <c r="AW10" s="439">
        <f ca="1">SUM(OFFSET(AU9,0,0,ABS(AT14),1))</f>
        <v>244543</v>
      </c>
      <c r="AX10" s="373" t="s">
        <v>67</v>
      </c>
    </row>
    <row r="11" spans="1:50" ht="14.25" customHeight="1">
      <c r="A11" s="218"/>
      <c r="B11" s="203"/>
      <c r="C11" s="239"/>
      <c r="D11" s="239"/>
      <c r="E11" s="236"/>
      <c r="F11" s="463" t="s">
        <v>2</v>
      </c>
      <c r="G11" s="473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84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84">
        <f ca="1">IF(OR(M11="王语嫣",M15="王语嫣"),HLOOKUP(F11,G2:O7,4,0)*(1+C16*0.01)*(1-0.08)-D7*3+A29*4,HLOOKUP(F11,G2:O7,4,0)*(1+C16*0.01)+A29*4)</f>
        <v>25196</v>
      </c>
      <c r="J11" s="493">
        <f ca="1">IF(T31="无",AF11,IF(T31="攻透",AG11,AH11))</f>
        <v>188416.5</v>
      </c>
      <c r="K11" s="502">
        <f ca="1">IF(AND(L11&gt;0,L11&lt;7),G11-Q11*(L11-1),IF(AND(L11&lt;0,L11&gt;-6),0,G11-Q11*5))</f>
        <v>19033.400000000023</v>
      </c>
      <c r="L11" s="509">
        <f ca="1">IF(OR(N11="",J11="",Q11="",G11=""),"",IF(OR(ROUNDUP(N11/J11,0)&lt;7,ROUNDUP(G11/Q11,0)&lt;6),IF(ROUNDUP(N11/J11,0)&lt;=ROUNDUP(G11/Q11,0),ROUNDUP(N11/J11,0),-ROUNDUP(G11/Q11,0)),11))</f>
        <v>3</v>
      </c>
      <c r="M11" s="516" t="str">
        <f ca="1">IF(ISERROR(INDIRECT("队伍表!"&amp;ADDRESS(2,$A$21))),"",INDIRECT("队伍表!"&amp;ADDRESS(2,$A$21)))</f>
        <v>郭襄</v>
      </c>
      <c r="N11" s="525">
        <f ca="1">IF(OR(M11="",ISERROR(Y1),ISERROR(Z1)),"",INT((INT(Z1*($D$7-1)+Y1))*$T$4))</f>
        <v>514230</v>
      </c>
      <c r="O11" s="529">
        <f ca="1">IF(OR($M$11="神捕冷血",$M$11="谢晓峰"),AJ11*1.1,AJ11)</f>
        <v>175701</v>
      </c>
      <c r="P11" s="534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493">
        <f ca="1">IF(M11="独孤求败",(1-HLOOKUP(F11,G2:O7,6,0)-A26+0.18)*AI11,AI11*(1-HLOOKUP(F11,G2:O7,6,0)-A26))</f>
        <v>144484.79999999999</v>
      </c>
      <c r="R11" s="493">
        <f ca="1">IF(AND(L11&gt;0,L11&lt;7),0,IF(L11=11,N11-J11*6,N11+J11*L11))</f>
        <v>0</v>
      </c>
      <c r="S11" s="540">
        <f ca="1">IF(OR(M11="",ISERROR(AE1),ISERROR(AF1)),"",INT((INT(AF1*($D$7-1)+AE1))*$T$7))</f>
        <v>617274</v>
      </c>
      <c r="T11" s="547">
        <f t="shared" ref="T11:T15" ca="1" si="1">IF(AND(ISNUMBER(U11),ISNUMBER(I11),ISNUMBER(AI11)),IF(U11-I11&lt;2,1,U11-I11),"")</f>
        <v>261992.8</v>
      </c>
      <c r="U11" s="556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563" t="str">
        <f t="shared" ref="V11" si="2">IF(ISERROR(IF(AD11&lt;2,1,AD11)),"",IF(AD11&lt;2,1,AD11))</f>
        <v/>
      </c>
      <c r="W11" s="570" t="str">
        <f>IF(ISERROR(IF(F11=$V$9,1,IF(Z11="群",ABS(AB11-$AB$26)+1,""))),"",IF(F11=$V$9,1,IF(Z11="群",ABS(AB11-$AB$26)+1,"")))</f>
        <v/>
      </c>
      <c r="Y11" s="338">
        <v>1</v>
      </c>
      <c r="Z11" s="339" t="str">
        <f>VLOOKUP($Y$10,武功表!$A$2:$W$153,5,0)</f>
        <v>群</v>
      </c>
      <c r="AA11" s="340" t="str">
        <f t="shared" ref="AA11" si="3">IF(F11=$V$9,1,"")</f>
        <v/>
      </c>
      <c r="AB11" s="340">
        <v>1</v>
      </c>
      <c r="AC11" s="575" t="e">
        <f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575" t="e">
        <f>IF(V9="独孤求败",AC11*(1-HLOOKUP(F11,G2:O7,6,0)-A26+0.18),AC11*(1-HLOOKUP(F11,G2:O7,6,0)-A26))</f>
        <v>#VALUE!</v>
      </c>
      <c r="AE11" s="577">
        <f ca="1">IF(AND(ISNUMBER(H11),ISNUMBER(P11)),IF(H11-P11&lt;2,1,H11-P11),"")</f>
        <v>159675</v>
      </c>
      <c r="AF11" s="579">
        <f ca="1">IF(F11="独孤求败",IF(M11="令狐冲",AE11,AE11*1.18),IF(M11="令狐冲",AE11*0.82,AE11))</f>
        <v>188416.5</v>
      </c>
      <c r="AG11" s="579">
        <f ca="1">IF(F11=V31,INT(W31*VLOOKUP(V31,F11:J32,3,0)+AF11),AF11)</f>
        <v>188416.5</v>
      </c>
      <c r="AH11" s="581">
        <f ca="1">IF(F11=V31,INT(W31*INT(HLOOKUP(V31,G2:O6,5,0)*(1+C19/100))+AF11),AF11)</f>
        <v>188416.5</v>
      </c>
      <c r="AI11" s="583">
        <f t="shared" ref="AI11:AI15" ca="1" si="4">IF(AND(ISNUMBER(O11),ISNUMBER(I11)),IF(O11-I11&lt;2,1,O11-I11),"")</f>
        <v>150505</v>
      </c>
      <c r="AJ11" s="577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581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386">
        <f t="shared" ca="1" si="0"/>
        <v>1</v>
      </c>
      <c r="AM11" s="387"/>
      <c r="AN11" s="388">
        <f ca="1">INT(AL7*(1-H30/100*3))</f>
        <v>89826</v>
      </c>
      <c r="AO11" s="420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387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424">
        <v>-3</v>
      </c>
      <c r="AR11" s="372" t="str">
        <f ca="1">IF(AS9="先手",AP13,AP14)</f>
        <v/>
      </c>
      <c r="AS11" s="417">
        <f ca="1">IF(AS9="先手",AO14,AO13)</f>
        <v>0</v>
      </c>
      <c r="AT11" s="425" t="s">
        <v>68</v>
      </c>
      <c r="AU11" s="423">
        <f ca="1">IF(AND(ISNUMBER(AM5),ISNUMBER(AN11)),IF(AM5-AN11&lt;2,1,AM5-AN11),"")</f>
        <v>90970</v>
      </c>
      <c r="AV11" s="297">
        <f ca="1">AV10</f>
        <v>255099.84</v>
      </c>
      <c r="AW11" s="439">
        <f ca="1">IF(AS9="先手",SUM(OFFSET(AU8,0,0,ABS(AT14)+1,1)),SUM(OFFSET(AU8,0,0,ABS(AT14),1)))</f>
        <v>153573</v>
      </c>
      <c r="AX11" s="373" t="s">
        <v>69</v>
      </c>
    </row>
    <row r="12" spans="1:50" ht="14.25" customHeight="1">
      <c r="A12" s="240"/>
      <c r="B12" s="203"/>
      <c r="C12" s="234" t="s">
        <v>70</v>
      </c>
      <c r="D12" s="214"/>
      <c r="E12" s="236"/>
      <c r="F12" s="464"/>
      <c r="G12" s="474"/>
      <c r="H12" s="485"/>
      <c r="I12" s="485"/>
      <c r="J12" s="494"/>
      <c r="K12" s="503"/>
      <c r="L12" s="510"/>
      <c r="M12" s="517"/>
      <c r="N12" s="526"/>
      <c r="O12" s="530"/>
      <c r="P12" s="485"/>
      <c r="Q12" s="494"/>
      <c r="R12" s="494"/>
      <c r="S12" s="541"/>
      <c r="T12" s="548"/>
      <c r="U12" s="557"/>
      <c r="V12" s="564"/>
      <c r="W12" s="571"/>
      <c r="Y12" s="338"/>
      <c r="Z12" s="340">
        <v>1</v>
      </c>
      <c r="AA12" s="340" t="str">
        <f t="shared" ref="AA12:AA25" si="5">IF(F12=$V$9,1,"")</f>
        <v/>
      </c>
      <c r="AB12" s="340"/>
      <c r="AC12" s="575"/>
      <c r="AD12" s="575"/>
      <c r="AE12" s="577"/>
      <c r="AF12" s="579"/>
      <c r="AG12" s="579"/>
      <c r="AH12" s="581"/>
      <c r="AI12" s="583"/>
      <c r="AJ12" s="577"/>
      <c r="AK12" s="581"/>
      <c r="AL12" s="389" t="str">
        <f t="shared" ca="1" si="0"/>
        <v/>
      </c>
      <c r="AM12" s="387"/>
      <c r="AN12" s="388">
        <f ca="1">INT(AL7*(1-H30/100*4))</f>
        <v>80371</v>
      </c>
      <c r="AO12" s="420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387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424">
        <v>-4</v>
      </c>
      <c r="AR12" s="426">
        <v>0</v>
      </c>
      <c r="AS12" s="297">
        <f ca="1">IF(AS9="后手",IF(AS14=-1,AL3,OFFSET(AO9,ABS(AS14)-2,)),OFFSET(AO9,ABS(AS14)-1,))</f>
        <v>274617</v>
      </c>
      <c r="AT12" s="425" t="s">
        <v>71</v>
      </c>
      <c r="AU12" s="423">
        <f ca="1">IF(AND(ISNUMBER(AM5),ISNUMBER(AN12)),IF(AM5-AN12&lt;2,1,AM5-AN12),"")</f>
        <v>100425</v>
      </c>
      <c r="AV12" s="297">
        <f ca="1">AV10</f>
        <v>255099.84</v>
      </c>
      <c r="AW12" s="439" t="s">
        <v>72</v>
      </c>
      <c r="AX12" s="373"/>
    </row>
    <row r="13" spans="1:50" ht="14.25" customHeight="1">
      <c r="A13" s="241"/>
      <c r="B13" s="203"/>
      <c r="C13" s="242">
        <v>600</v>
      </c>
      <c r="D13" s="219"/>
      <c r="E13" s="227"/>
      <c r="F13" s="464" t="s">
        <v>7</v>
      </c>
      <c r="G13" s="473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84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84">
        <f ca="1">IF(OR(M11="王语嫣",M15="王语嫣"),HLOOKUP(F13,G2:O7,4,0)*(1+C16*0.01)*(1-0.08)-D7*3+A29*4,HLOOKUP(F13,G2:O7,4,0)*(1+C16*0.01)+A29*4)</f>
        <v>38289</v>
      </c>
      <c r="J13" s="494">
        <f ca="1">IF(T31="无",AF13,IF(T31="攻透",AG13,AH13))</f>
        <v>62603</v>
      </c>
      <c r="K13" s="503">
        <f ca="1">IF(AND(L13&gt;0,L13&lt;7),G13-Q13*L13,IF(AND(L13&lt;0,L13&gt;-7),0,G13-Q13*6))</f>
        <v>0</v>
      </c>
      <c r="L13" s="511">
        <f ca="1">IF(OR(N13="",J13="",Q13="",G13=""),"",IF(OR(ROUNDUP(N13/J13,0)&lt;6,ROUNDUP(G13/Q13,0)&lt;7),IF(ROUNDUP(G13/Q13,0)&lt;=ROUNDUP(N13/J13,0),-ROUNDUP(G13/Q13,0),ROUNDUP(N13/J13,0)),11))</f>
        <v>-1</v>
      </c>
      <c r="M13" s="518" t="str">
        <f ca="1">IF(ISERROR(INDIRECT("队伍表!"&amp;ADDRESS(3,$A$21))),"",INDIRECT("队伍表!"&amp;ADDRESS(3,$A$21)))</f>
        <v>天山童姥</v>
      </c>
      <c r="N13" s="526">
        <f ca="1">IF(OR(M13="",ISERROR(Y2),ISERROR(Z2)),"",INT((INT(Z2*($D$7-1)+Y2))*$T$4))</f>
        <v>428190</v>
      </c>
      <c r="O13" s="530">
        <f ca="1">IF(OR($M$13="神捕冷血",$M$13="谢晓峰",$M$13="苗人凤"),AJ13*1.1,AJ13)</f>
        <v>304018</v>
      </c>
      <c r="P13" s="485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494">
        <f ca="1">AI13*(1-HLOOKUP(F13,G2:O7,6,0)-A26)</f>
        <v>255099.84</v>
      </c>
      <c r="R13" s="494">
        <f ca="1">IF(AND(L13&gt;0,L13&lt;7),0,IF(L13=11,N13-J13*5,N13+J13*(L13+1)))</f>
        <v>428190</v>
      </c>
      <c r="S13" s="541">
        <f ca="1">IF(OR(M13="",ISERROR(AE2),ISERROR(AF2)),"",INT((INT(AF2*($D$7-1)+AE2))*$T$7))</f>
        <v>1079001</v>
      </c>
      <c r="T13" s="548">
        <f t="shared" ca="1" si="1"/>
        <v>792205.08</v>
      </c>
      <c r="U13" s="557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564" t="str">
        <f>IF(ISERROR(IF(AD13&lt;2,1,AD13)),"",IF(AD13&lt;2,1,AD13))</f>
        <v/>
      </c>
      <c r="W13" s="571" t="str">
        <f>IF(ISERROR(IF(F13=$V$9,1,IF(Z11="群",ABS(AB13-$AB$26)+1,""))),"",IF(F13=$V$9,1,IF(Z11="群",ABS(AB13-$AB$26)+1,"")))</f>
        <v/>
      </c>
      <c r="Y13" s="338">
        <v>2</v>
      </c>
      <c r="Z13" s="340">
        <v>2</v>
      </c>
      <c r="AA13" s="340" t="str">
        <f t="shared" si="5"/>
        <v/>
      </c>
      <c r="AB13" s="340">
        <v>2</v>
      </c>
      <c r="AC13" s="575" t="e">
        <f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575" t="e">
        <f>IF(V9="独孤求败",AC13*(1-HLOOKUP(F13,G2:O7,6,0)-A26+0.18),AC13*(1-HLOOKUP(F13,G2:O7,6,0)-A26))</f>
        <v>#VALUE!</v>
      </c>
      <c r="AE13" s="577">
        <f t="shared" ref="AE13" ca="1" si="6">IF(AND(ISNUMBER(H13),ISNUMBER(P13)),IF(H13-P13&lt;2,1,H13-P13),"")</f>
        <v>62603</v>
      </c>
      <c r="AF13" s="579">
        <f t="shared" ref="AF13" ca="1" si="7">IF(F13="独孤求败",IF(M13="令狐冲",AE13,AE13*1.18),IF(M13="令狐冲",AE13*0.82,AE13))</f>
        <v>62603</v>
      </c>
      <c r="AG13" s="579">
        <f ca="1">IF(F13=V31,INT(W31*VLOOKUP(V31,F11:J32,3,0)+AF13),AF13)</f>
        <v>62603</v>
      </c>
      <c r="AH13" s="581">
        <f ca="1">IF(F13=V31,INT(W31*INT(HLOOKUP(V31,G2:O6,5,0)*(1+C19/100))+AF13),AF13)</f>
        <v>62603</v>
      </c>
      <c r="AI13" s="583">
        <f t="shared" ca="1" si="4"/>
        <v>265729</v>
      </c>
      <c r="AJ13" s="577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581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389" t="str">
        <f t="shared" ca="1" si="0"/>
        <v/>
      </c>
      <c r="AM13" s="387"/>
      <c r="AN13" s="388">
        <f ca="1">IF(H30*0.01*5&lt;=0.4,INT(AL7*(1-H30/100*5)),INT(AL7*(1-0.4)))</f>
        <v>70915</v>
      </c>
      <c r="AO13" s="420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387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424">
        <v>-5</v>
      </c>
      <c r="AR13" s="369">
        <f ca="1">IF(AS9="先手",IF(AS14=1,AM3,OFFSET(AP9,AS14-2,)),OFFSET(AP9,AS14-1,))</f>
        <v>-3</v>
      </c>
      <c r="AS13" s="307">
        <v>0</v>
      </c>
      <c r="AT13" s="425" t="s">
        <v>73</v>
      </c>
      <c r="AU13" s="423">
        <f ca="1">IF(AND(ISNUMBER(AM5),ISNUMBER(AN13)),IF(AM5-AN13&lt;2,1,AM5-AN13),"")</f>
        <v>109881</v>
      </c>
      <c r="AV13" s="297">
        <f ca="1">AV10</f>
        <v>255099.84</v>
      </c>
      <c r="AW13" s="439">
        <f ca="1">IF(AS9="先手",SUM(OFFSET(AV8,0,0,ABS(AT14),1)),SUM(OFFSET(AV8,0,0,ABS(AT14)+1,1)))</f>
        <v>765299.52</v>
      </c>
      <c r="AX13" s="373" t="s">
        <v>67</v>
      </c>
    </row>
    <row r="14" spans="1:50" ht="14.25" customHeight="1">
      <c r="A14" s="241"/>
      <c r="B14" s="203"/>
      <c r="C14" s="243"/>
      <c r="D14" s="243"/>
      <c r="E14" s="227"/>
      <c r="F14" s="464"/>
      <c r="G14" s="474"/>
      <c r="H14" s="485"/>
      <c r="I14" s="485"/>
      <c r="J14" s="494"/>
      <c r="K14" s="503"/>
      <c r="L14" s="509"/>
      <c r="M14" s="517"/>
      <c r="N14" s="526"/>
      <c r="O14" s="530"/>
      <c r="P14" s="485"/>
      <c r="Q14" s="494"/>
      <c r="R14" s="494"/>
      <c r="S14" s="541"/>
      <c r="T14" s="548"/>
      <c r="U14" s="557"/>
      <c r="V14" s="564"/>
      <c r="W14" s="571"/>
      <c r="Y14" s="338"/>
      <c r="Z14" s="340">
        <v>3</v>
      </c>
      <c r="AA14" s="340" t="str">
        <f t="shared" si="5"/>
        <v/>
      </c>
      <c r="AB14" s="340"/>
      <c r="AC14" s="575"/>
      <c r="AD14" s="575"/>
      <c r="AE14" s="577"/>
      <c r="AF14" s="579"/>
      <c r="AG14" s="579"/>
      <c r="AH14" s="581"/>
      <c r="AI14" s="583"/>
      <c r="AJ14" s="577"/>
      <c r="AK14" s="581"/>
      <c r="AL14" s="390" t="str">
        <f t="shared" ca="1" si="0"/>
        <v/>
      </c>
      <c r="AM14" s="391"/>
      <c r="AN14" s="392">
        <f ca="1">IF(H30*0.01*6&lt;=0.4,INT(AL7*(1-H30/100*6)),INT(AL7*(1-0.4)))</f>
        <v>70915</v>
      </c>
      <c r="AO14" s="427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391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427">
        <v>-6</v>
      </c>
      <c r="AR14" s="428"/>
      <c r="AS14" s="429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243">
        <f ca="1">IF(AS14=11,6,ABS(AS14))</f>
        <v>3</v>
      </c>
      <c r="AU14" s="430">
        <f ca="1">IF(AND(ISNUMBER(AM5),ISNUMBER(AN14)),IF(AM5-AN14&lt;2,1,AM5-AN14),"")</f>
        <v>109881</v>
      </c>
      <c r="AV14" s="307">
        <f ca="1">AV10</f>
        <v>255099.84</v>
      </c>
      <c r="AW14" s="440">
        <f ca="1">SUM(OFFSET(AV9,0,0,ABS(AT14),1))</f>
        <v>765299.52</v>
      </c>
      <c r="AX14" s="373" t="s">
        <v>69</v>
      </c>
    </row>
    <row r="15" spans="1:50" ht="14.25" customHeight="1">
      <c r="A15" s="241"/>
      <c r="B15" s="203"/>
      <c r="C15" s="234" t="s">
        <v>74</v>
      </c>
      <c r="D15" s="214"/>
      <c r="E15" s="244"/>
      <c r="F15" s="464" t="s">
        <v>4</v>
      </c>
      <c r="G15" s="473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84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84">
        <f ca="1">IF(OR(M11="王语嫣",M15="王语嫣"),HLOOKUP(F15,G2:O7,4,0)*(1+C16*0.01)*(1-0.08)-D7*3+A29*4,HLOOKUP(F15,G2:O7,4,0)*(1+C16*0.01)+A29*4)</f>
        <v>17744</v>
      </c>
      <c r="J15" s="494">
        <f ca="1">IF(T31="无",AF15,IF(T31="攻透",AG15,AH15))</f>
        <v>266990</v>
      </c>
      <c r="K15" s="503">
        <f ca="1">IF(AND(L15&gt;0,L15&lt;7),G15-Q15*(L15-1),IF(AND(L15&lt;0,L15&gt;-6),0,G15-Q15*5))</f>
        <v>228632.14400000003</v>
      </c>
      <c r="L15" s="511">
        <f ca="1">IF(OR(N15="",J15="",Q15="",G15=""),"",IF(OR(ROUNDUP(N15/J15,0)&lt;7,ROUNDUP(G15/Q15,0)&lt;6),IF(ROUNDUP(N15/J15,0)&lt;=ROUNDUP(G15/Q15,0),ROUNDUP(N15/J15,0),-ROUNDUP(G15/Q15,0)),11))</f>
        <v>2</v>
      </c>
      <c r="M15" s="518" t="str">
        <f ca="1">IF(ISERROR(INDIRECT("队伍表!"&amp;ADDRESS(4,$A$21))),"",INDIRECT("队伍表!"&amp;ADDRESS(4,$A$21)))</f>
        <v>张三丰</v>
      </c>
      <c r="N15" s="526">
        <f ca="1">IF(OR(M15="",ISERROR(Y3),ISERROR(Z3)),"",INT((INT(Z3*($D$7-1)+Y3))*$T$4))</f>
        <v>428595</v>
      </c>
      <c r="O15" s="530">
        <f ca="1">IF(OR($M$15="神捕冷血",$M$15="谢晓峰"),AJ15*1.1,AJ15)</f>
        <v>175776</v>
      </c>
      <c r="P15" s="485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494">
        <f ca="1">AI15*(1-HLOOKUP(F15,G2:O7,6,0)-A26)</f>
        <v>127689.85599999999</v>
      </c>
      <c r="R15" s="494">
        <f ca="1">IF(AND(L15&gt;0,L15&lt;7),0,IF(L15=11,N15-J15*6,N15+J15*L15))</f>
        <v>0</v>
      </c>
      <c r="S15" s="541">
        <f ca="1">IF(OR(M15="",ISERROR(AE3),ISERROR(AF3)),"",INT((INT(AF3*($D$7-1)+AE3))*$T$7))</f>
        <v>822996</v>
      </c>
      <c r="T15" s="548">
        <f t="shared" ca="1" si="1"/>
        <v>483371.94399999996</v>
      </c>
      <c r="U15" s="557">
        <f ca="1">IF(M15="独孤求败",(1+0.18-HLOOKUP(F15,G2:O7,6,0)-A26)*IF(OR(M15="",ISERROR(S15),ISERROR(AH3)),"",INT(S15*(AH3/100)+O15)),(1-HLOOKUP(F15,G2:O7,6,0)-A26)*IF(OR(M15="",ISERROR(S15),ISERROR(AH3)),"",INT(S15*(AH3/100)+O15)))</f>
        <v>501115.94399999996</v>
      </c>
      <c r="V15" s="564" t="str">
        <f>IF(ISERROR(IF(AD15&lt;2,1,AD15)),"",IF(AD15&lt;2,1,AD15))</f>
        <v/>
      </c>
      <c r="W15" s="571" t="str">
        <f>IF(ISERROR(IF(F15=$V$9,1,IF(Z11="群",ABS(AB15-$AB$26)+1,""))),"",IF(F15=$V$9,1,IF(Z11="群",ABS(AB15-$AB$26)+1,"")))</f>
        <v/>
      </c>
      <c r="Y15" s="338">
        <v>3</v>
      </c>
      <c r="Z15" s="340">
        <v>4</v>
      </c>
      <c r="AA15" s="340" t="str">
        <f t="shared" si="5"/>
        <v/>
      </c>
      <c r="AB15" s="340">
        <v>3</v>
      </c>
      <c r="AC15" s="575" t="e">
        <f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575" t="e">
        <f>IF(V9="独孤求败",AC15*(1-HLOOKUP(F15,G2:O7,6,0)-A26+0.18),AC15*(1-HLOOKUP(F15,G2:O7,6,0)-A26))</f>
        <v>#VALUE!</v>
      </c>
      <c r="AE15" s="577">
        <f t="shared" ref="AE15:AE19" ca="1" si="8">IF(AND(ISNUMBER(H15),ISNUMBER(P15)),IF(H15-P15&lt;2,1,H15-P15),"")</f>
        <v>266990</v>
      </c>
      <c r="AF15" s="579">
        <f t="shared" ref="AF15" ca="1" si="9">IF(F15="独孤求败",IF(M15="令狐冲",AE15,AE15*1.18),IF(M15="令狐冲",AE15*0.82,AE15))</f>
        <v>266990</v>
      </c>
      <c r="AG15" s="579">
        <f ca="1">IF(F15=V31,INT(W31*VLOOKUP(V31,F11:J32,3,0)+AF15),AF15)</f>
        <v>266990</v>
      </c>
      <c r="AH15" s="581">
        <f ca="1">IF(F15=V31,INT(W31*INT(HLOOKUP(V31,G2:O6,5,0)*(1+C19/100))+AF15),AF15)</f>
        <v>266990</v>
      </c>
      <c r="AI15" s="583">
        <f t="shared" ca="1" si="4"/>
        <v>158032</v>
      </c>
      <c r="AJ15" s="577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581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393"/>
      <c r="AM15" s="243"/>
      <c r="AN15" s="243"/>
      <c r="AO15" s="225"/>
      <c r="AP15" s="225"/>
      <c r="AQ15" s="225"/>
      <c r="AR15" s="225"/>
      <c r="AS15" s="225"/>
      <c r="AT15" s="243"/>
      <c r="AU15" s="243">
        <v>0</v>
      </c>
      <c r="AV15" s="243">
        <v>0</v>
      </c>
      <c r="AW15" s="243"/>
      <c r="AX15" s="373"/>
    </row>
    <row r="16" spans="1:50" ht="14.25" customHeight="1">
      <c r="A16" s="245">
        <v>1</v>
      </c>
      <c r="B16" s="203"/>
      <c r="C16" s="242">
        <v>0</v>
      </c>
      <c r="D16" s="219"/>
      <c r="E16" s="246"/>
      <c r="F16" s="464"/>
      <c r="G16" s="474"/>
      <c r="H16" s="485"/>
      <c r="I16" s="485"/>
      <c r="J16" s="494"/>
      <c r="K16" s="503"/>
      <c r="L16" s="509"/>
      <c r="M16" s="517"/>
      <c r="N16" s="526"/>
      <c r="O16" s="530"/>
      <c r="P16" s="485"/>
      <c r="Q16" s="494"/>
      <c r="R16" s="494"/>
      <c r="S16" s="541"/>
      <c r="T16" s="548"/>
      <c r="U16" s="557"/>
      <c r="V16" s="564"/>
      <c r="W16" s="571"/>
      <c r="Y16" s="338"/>
      <c r="Z16" s="340">
        <v>5</v>
      </c>
      <c r="AA16" s="340" t="str">
        <f t="shared" si="5"/>
        <v/>
      </c>
      <c r="AB16" s="340"/>
      <c r="AC16" s="575"/>
      <c r="AD16" s="575"/>
      <c r="AE16" s="577"/>
      <c r="AF16" s="579"/>
      <c r="AG16" s="579"/>
      <c r="AH16" s="581"/>
      <c r="AI16" s="583"/>
      <c r="AJ16" s="577"/>
      <c r="AK16" s="581"/>
      <c r="AL16" s="394">
        <f ca="1">IF(COUNTIF(AN16:AP16,0)=0,0,1)</f>
        <v>1</v>
      </c>
      <c r="AM16" s="381">
        <f ca="1">IF(AL1="西门吹雪",AL5*1.15,IF(AL1="丁鹏",AL5*1.1,AL5))</f>
        <v>304018</v>
      </c>
      <c r="AN16" s="395">
        <f ca="1">INT(AM7*1.05)</f>
        <v>40203</v>
      </c>
      <c r="AO16" s="411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381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411">
        <v>-1</v>
      </c>
      <c r="AR16" s="395"/>
      <c r="AS16" s="417" t="str">
        <f ca="1">IF(ISEVEN(VLOOKUP(AL1,M11:Y28,13,0)),"后手","先手")</f>
        <v>后手</v>
      </c>
      <c r="AT16" s="243"/>
      <c r="AU16" s="372">
        <f ca="1">IF(AND(ISNUMBER(AM5),ISNUMBER(AL7)),IF(AM5-AL7&lt;2,1,AM5-AL7),"")</f>
        <v>62603</v>
      </c>
      <c r="AV16" s="417">
        <f ca="1">IF(AND(ISNUMBER(AM16),ISNUMBER(AN16)),IF(AM16-AN16&lt;2,1,(AM16-AN16)*(1-HLOOKUP(AM1,G2:O7,6,0)-A26)),"")</f>
        <v>253262.4</v>
      </c>
      <c r="AW16" s="438" t="s">
        <v>57</v>
      </c>
      <c r="AX16" s="373"/>
    </row>
    <row r="17" spans="1:50" ht="14.25" customHeight="1">
      <c r="A17" s="245">
        <v>8</v>
      </c>
      <c r="B17" s="203"/>
      <c r="E17" s="236"/>
      <c r="F17" s="464" t="s">
        <v>5</v>
      </c>
      <c r="G17" s="473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84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84">
        <f ca="1">IF(OR(M11="王语嫣",M15="王语嫣"),HLOOKUP(F17,G2:O7,4,0)*(1+C16*0.01)*(1-0.08)-D7*3+A29*4,HLOOKUP(F17,G2:O7,4,0)*(1+C16*0.01)+A29*4)</f>
        <v>39093</v>
      </c>
      <c r="J17" s="494">
        <f ca="1">IF(T31="无",AF17,IF(T31="攻透",AG17,AH17))</f>
        <v>58414</v>
      </c>
      <c r="K17" s="503">
        <f ca="1">IF(AND(L17&gt;0,L17&lt;7),G17-Q17*L17,IF(AND(L17&lt;0,L17&gt;-7),0,G17-Q17*6))</f>
        <v>0</v>
      </c>
      <c r="L17" s="511">
        <f ca="1">IF(OR(N17="",J17="",Q17="",G17=""),"",IF(OR(ROUNDUP(N17/J17,0)&lt;6,ROUNDUP(G17/Q17,0)&lt;7),IF(ROUNDUP(G17/Q17,0)&lt;=ROUNDUP(N17/J17,0),-ROUNDUP(G17/Q17,0),ROUNDUP(N17/J17,0)),11))</f>
        <v>-1</v>
      </c>
      <c r="M17" s="518" t="str">
        <f ca="1">IF(ISERROR(INDIRECT("队伍表!"&amp;ADDRESS(5,$A$21))),"",INDIRECT("队伍表!"&amp;ADDRESS(5,$A$21)))</f>
        <v>白眉鹰王</v>
      </c>
      <c r="N17" s="526">
        <f ca="1">IF(OR(M17="",ISERROR(Y4),ISERROR(Z4)),"",INT((INT(Z4*($D$7-1)+Y4))*$T$4))</f>
        <v>342720</v>
      </c>
      <c r="O17" s="530">
        <f ca="1">IF(OR($M$17="神捕冷血",$M$17="谢晓峰"),AJ17*1.1,AJ17)</f>
        <v>227050</v>
      </c>
      <c r="P17" s="485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494">
        <f ca="1">AI17*(1-HLOOKUP(F17,G2:O7,6,0)-A26)</f>
        <v>180438.72</v>
      </c>
      <c r="R17" s="494">
        <f ca="1">IF(AND(L17&gt;0,L17&lt;7),0,IF(L17=11,N17-J17*5,N17+J17*(L17+1)))</f>
        <v>342720</v>
      </c>
      <c r="S17" s="541">
        <f ca="1">IF(OR(M17="",ISERROR(AE4),ISERROR(AF4)),"",INT((INT(AF4*($D$7-1)+AE4))*$T$7))</f>
        <v>308448</v>
      </c>
      <c r="T17" s="548">
        <f ca="1">IF(M17="慕容博",IF(AND(ISNUMBER(U17),ISNUMBER(I17),ISNUMBER(AI17)),IF(U17-I17&lt;2,1,U17-I17),"")+S17*0.02,IF(AND(ISNUMBER(U17),ISNUMBER(I17),ISNUMBER(AI17)),IF(U17-I17&lt;2,1,U17-I17),""))</f>
        <v>246980.27999999997</v>
      </c>
      <c r="U17" s="557">
        <f ca="1">IF(M17="独孤求败",(1+0.18-HLOOKUP(F17,G2:O7,6,0)-A26)*IF(OR(M17="",ISERROR(S17),ISERROR(AH4)),"",INT(S17*(AH4/100)+O17)),(1-HLOOKUP(F17,G2:O7,6,0)-A26)*IF(OR(M17="",ISERROR(S17),ISERROR(AH4)),"",INT(S17*(AH4/100)+O17)))</f>
        <v>286073.27999999997</v>
      </c>
      <c r="V17" s="564" t="str">
        <f t="shared" ref="V17" si="10">IF(ISERROR(IF(AD17&lt;2,1,AD17)),"",IF(AD17&lt;2,1,AD17))</f>
        <v/>
      </c>
      <c r="W17" s="571" t="str">
        <f>IF(ISERROR(IF(F17=$V$9,1,IF(Z11="群",ABS(AB17-$AB$26)+1,""))),"",IF(F17=$V$9,1,IF(Z11="群",ABS(AB17-$AB$26)+1,"")))</f>
        <v/>
      </c>
      <c r="Y17" s="338">
        <v>4</v>
      </c>
      <c r="Z17" s="340">
        <v>6</v>
      </c>
      <c r="AA17" s="340" t="str">
        <f t="shared" si="5"/>
        <v/>
      </c>
      <c r="AB17" s="340">
        <v>4</v>
      </c>
      <c r="AC17" s="575" t="e">
        <f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575" t="e">
        <f>IF(V9="独孤求败",AC17*(1-HLOOKUP(F17,G2:O7,6,0)-A26+0.18),AC17*(1-HLOOKUP(F17,G2:O7,6,0)-A26))</f>
        <v>#VALUE!</v>
      </c>
      <c r="AE17" s="577">
        <f t="shared" ca="1" si="8"/>
        <v>58414</v>
      </c>
      <c r="AF17" s="579">
        <f t="shared" ref="AF17" ca="1" si="11">IF(F17="独孤求败",IF(M17="令狐冲",AE17,AE17*1.18),IF(M17="令狐冲",AE17*0.82,AE17))</f>
        <v>58414</v>
      </c>
      <c r="AG17" s="579">
        <f ca="1">IF(F17=V31,INT(W31*VLOOKUP(V31,F11:J32,3,0)+AF17),AF17)</f>
        <v>58414</v>
      </c>
      <c r="AH17" s="581">
        <f ca="1">IF(F17=V31,INT(W31*INT(HLOOKUP(V31,G2:O6,5,0)*(1+C19/100))+AF17),AF17)</f>
        <v>58414</v>
      </c>
      <c r="AI17" s="583">
        <f ca="1">IF(M17="慕容博",IF(AND(ISNUMBER(O17),ISNUMBER(I17)),IF(O17-I17&lt;2,1,O17-I17),"")+S17*0.02,IF(AND(ISNUMBER(O17),ISNUMBER(I17)),IF(O17-I17&lt;2,1,O17-I17),""))</f>
        <v>187957</v>
      </c>
      <c r="AJ17" s="577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581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389" t="str">
        <f t="shared" ref="AL17:AL21" ca="1" si="12">IF(OR(AL16=1,AL16=""),"",IF(COUNTIF(AN17:AP17,0)=0,0,1))</f>
        <v/>
      </c>
      <c r="AM17" s="387"/>
      <c r="AN17" s="388">
        <f ca="1">INT(AM7*1.1)</f>
        <v>42117</v>
      </c>
      <c r="AO17" s="420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387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420">
        <v>-2</v>
      </c>
      <c r="AR17" s="421"/>
      <c r="AS17" s="431">
        <f ca="1">AL3</f>
        <v>428190</v>
      </c>
      <c r="AT17" s="243"/>
      <c r="AU17" s="426">
        <f ca="1">AU16</f>
        <v>62603</v>
      </c>
      <c r="AV17" s="297">
        <f ca="1">IF(AND(ISNUMBER(AL5),ISNUMBER(AN17)),IF(AL5-AN17&lt;2,1,(AL5-AN17)*(1-HLOOKUP(AM1,G2:O7,6,0)-A26)),"")</f>
        <v>251424.96</v>
      </c>
      <c r="AW17" s="439">
        <f ca="1">SUM(OFFSET(AU16,0,0,ABS(AT21),1))</f>
        <v>62603</v>
      </c>
      <c r="AX17" s="373" t="s">
        <v>67</v>
      </c>
    </row>
    <row r="18" spans="1:50" ht="14.25" customHeight="1">
      <c r="A18" s="245"/>
      <c r="B18" s="203"/>
      <c r="C18" s="234" t="s">
        <v>75</v>
      </c>
      <c r="D18" s="214"/>
      <c r="E18" s="236"/>
      <c r="F18" s="464"/>
      <c r="G18" s="474"/>
      <c r="H18" s="485"/>
      <c r="I18" s="485"/>
      <c r="J18" s="494"/>
      <c r="K18" s="503"/>
      <c r="L18" s="509"/>
      <c r="M18" s="517"/>
      <c r="N18" s="526"/>
      <c r="O18" s="530"/>
      <c r="P18" s="485"/>
      <c r="Q18" s="494"/>
      <c r="R18" s="494"/>
      <c r="S18" s="541"/>
      <c r="T18" s="548"/>
      <c r="U18" s="557"/>
      <c r="V18" s="564"/>
      <c r="W18" s="571"/>
      <c r="Y18" s="338"/>
      <c r="Z18" s="340">
        <v>7</v>
      </c>
      <c r="AA18" s="340" t="str">
        <f t="shared" si="5"/>
        <v/>
      </c>
      <c r="AB18" s="340"/>
      <c r="AC18" s="575"/>
      <c r="AD18" s="575"/>
      <c r="AE18" s="577"/>
      <c r="AF18" s="579"/>
      <c r="AG18" s="579"/>
      <c r="AH18" s="581"/>
      <c r="AI18" s="583"/>
      <c r="AJ18" s="577"/>
      <c r="AK18" s="581"/>
      <c r="AL18" s="389" t="str">
        <f t="shared" ca="1" si="12"/>
        <v/>
      </c>
      <c r="AM18" s="387"/>
      <c r="AN18" s="388">
        <f ca="1">INT(AM7*1.15)</f>
        <v>44032</v>
      </c>
      <c r="AO18" s="420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387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424">
        <v>-3</v>
      </c>
      <c r="AR18" s="372" t="str">
        <f ca="1">IF(AS16="先手",AP20,AP21)</f>
        <v/>
      </c>
      <c r="AS18" s="417">
        <f ca="1">IF(AS16="先手",AO21,AO20)</f>
        <v>115175</v>
      </c>
      <c r="AT18" s="425" t="s">
        <v>68</v>
      </c>
      <c r="AU18" s="426">
        <f ca="1">AU16</f>
        <v>62603</v>
      </c>
      <c r="AV18" s="297">
        <f ca="1">IF(AND(ISNUMBER(AL5),ISNUMBER(AN18)),IF(AL5-AN18&lt;2,1,(AL5-AN18)*(1-HLOOKUP(AM1,G2:O7,6,0)-A26)),"")</f>
        <v>249586.56</v>
      </c>
      <c r="AW18" s="439">
        <f ca="1">IF(AS16="先手",SUM(OFFSET(AU15,0,0,ABS(AT21)+1,1)),SUM(OFFSET(AU15,0,0,ABS(AT21),1)))</f>
        <v>0</v>
      </c>
      <c r="AX18" s="373" t="s">
        <v>69</v>
      </c>
    </row>
    <row r="19" spans="1:50" ht="14.25" customHeight="1">
      <c r="A19" s="245">
        <v>6</v>
      </c>
      <c r="B19" s="203"/>
      <c r="C19" s="242">
        <v>0</v>
      </c>
      <c r="D19" s="219"/>
      <c r="E19" s="236"/>
      <c r="F19" s="464" t="s">
        <v>9</v>
      </c>
      <c r="G19" s="473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84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84">
        <f ca="1">IF(OR(M11="王语嫣",M15="王语嫣"),HLOOKUP(F19,G2:O7,4,0)*(1+C16*0.01)*(1-0.08)-D7*3+A29*4,HLOOKUP(F19,G2:O7,4,0)*(1+C16*0.01)+A29*4)</f>
        <v>8245</v>
      </c>
      <c r="J19" s="494">
        <f ca="1">IF(T31="无",AF19,IF(T31="攻透",AG19,AH19))</f>
        <v>190383</v>
      </c>
      <c r="K19" s="503">
        <f ca="1">IF(AND(L19&gt;0,L19&lt;7),G19-Q19*(L19-1),IF(AND(L19&lt;0,L19&gt;-6),0,G19-Q19*5))</f>
        <v>447278.68799999997</v>
      </c>
      <c r="L19" s="511">
        <f ca="1">IF(OR(N19="",J19="",Q19="",G19=""),"",IF(OR(ROUNDUP(N19/J19,0)&lt;7,ROUNDUP(G19/Q19,0)&lt;6),IF(ROUNDUP(N19/J19,0)&lt;=ROUNDUP(G19/Q19,0),ROUNDUP(N19/J19,0),-ROUNDUP(G19/Q19,0)),11))</f>
        <v>3</v>
      </c>
      <c r="M19" s="518" t="str">
        <f ca="1">IF(ISERROR(INDIRECT("队伍表!"&amp;ADDRESS(6,$A$21))),"",INDIRECT("队伍表!"&amp;ADDRESS(6,$A$21)))</f>
        <v>张无忌</v>
      </c>
      <c r="N19" s="526">
        <f ca="1">IF(OR(M19="",ISERROR(Y5),ISERROR(Z5)),"",INT((INT(Z5*($D$7-1)+Y5))*$T$4))</f>
        <v>428475</v>
      </c>
      <c r="O19" s="530">
        <f ca="1">IF(OR($M$19="神捕冷血",$M$19="谢晓峰"),AJ19*1.1,AJ19)</f>
        <v>188529</v>
      </c>
      <c r="P19" s="485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494">
        <f ca="1">AI19*(1-HLOOKUP(F19,G2:O7,6,0)-A26)</f>
        <v>96271.656000000003</v>
      </c>
      <c r="R19" s="494">
        <f ca="1">IF(AND(L19&gt;0,L19&lt;7),0,IF(L19=11,N19-J19*6,N19+J19*L19))</f>
        <v>0</v>
      </c>
      <c r="S19" s="541">
        <f ca="1">IF(OR(M19="",ISERROR(AE5),ISERROR(AF5)),"",INT((INT(AF5*($D$7-1)+AE5))*$T$7))</f>
        <v>514296</v>
      </c>
      <c r="T19" s="548">
        <f ca="1">IF(AND(ISNUMBER(U19),ISNUMBER(I19),ISNUMBER(AI19)),IF(U19-I19&lt;2,1,U19-I19),"")</f>
        <v>279180.5</v>
      </c>
      <c r="U19" s="557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564" t="str">
        <f t="shared" ref="V19" si="13">IF(ISERROR(IF(AD19&lt;2,1,AD19)),"",IF(AD19&lt;2,1,AD19))</f>
        <v/>
      </c>
      <c r="W19" s="571" t="str">
        <f>IF(ISERROR(IF(F19=$V$9,1,IF(Z11="群",ABS(AB19-$AB$26)+1,""))),"",IF(F19=$V$9,1,IF(Z11="群",ABS(AB19-$AB$26)+1,"")))</f>
        <v/>
      </c>
      <c r="Y19" s="338">
        <v>5</v>
      </c>
      <c r="Z19" s="340">
        <v>8</v>
      </c>
      <c r="AA19" s="340" t="str">
        <f t="shared" si="5"/>
        <v/>
      </c>
      <c r="AB19" s="340">
        <v>5</v>
      </c>
      <c r="AC19" s="575" t="e">
        <f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575" t="e">
        <f>IF(V9="独孤求败",AC19*(1-HLOOKUP(F19,G2:O7,6,0)-A26+0.18),AC19*(1-HLOOKUP(F19,G2:O7,6,0)-A26))</f>
        <v>#VALUE!</v>
      </c>
      <c r="AE19" s="577">
        <f t="shared" ca="1" si="8"/>
        <v>190383</v>
      </c>
      <c r="AF19" s="579">
        <f t="shared" ref="AF19" ca="1" si="14">IF(F19="独孤求败",IF(M19="令狐冲",AE19,AE19*1.18),IF(M19="令狐冲",AE19*0.82,AE19))</f>
        <v>190383</v>
      </c>
      <c r="AG19" s="579">
        <f ca="1">IF(F19=V31,INT(W31*VLOOKUP(V31,F11:J32,3,0)+AF19),AF19)</f>
        <v>204115</v>
      </c>
      <c r="AH19" s="581">
        <f ca="1">IF(F19=V31,INT(W31*INT(HLOOKUP(V31,G2:O6,5,0)*(1+C19/100))+AF19),AF19)</f>
        <v>190554</v>
      </c>
      <c r="AI19" s="583">
        <f ca="1">IF(AND(ISNUMBER(O19),ISNUMBER(I19)),IF(O19-I19&lt;2,1,O19-I19),"")</f>
        <v>180284</v>
      </c>
      <c r="AJ19" s="577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581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389" t="str">
        <f t="shared" ca="1" si="12"/>
        <v/>
      </c>
      <c r="AM19" s="387"/>
      <c r="AN19" s="388">
        <f ca="1">INT(AM7*1.2)</f>
        <v>45946</v>
      </c>
      <c r="AO19" s="420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387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424">
        <v>-4</v>
      </c>
      <c r="AR19" s="426">
        <v>0</v>
      </c>
      <c r="AS19" s="297">
        <f ca="1">IF(AS16="后手",IF(AS21=-1,AL3,OFFSET(AO16,ABS(AS21)-2,)),OFFSET(AO16,ABS(AS21)-1,))</f>
        <v>428190</v>
      </c>
      <c r="AT19" s="425" t="s">
        <v>71</v>
      </c>
      <c r="AU19" s="426">
        <f ca="1">AU16</f>
        <v>62603</v>
      </c>
      <c r="AV19" s="297">
        <f ca="1">IF(AND(ISNUMBER(AL5),ISNUMBER(AN19)),IF(AL5-AN19&lt;2,1,(AL5-AN19)*(1-HLOOKUP(AM1,G2:O7,6,0)-A26)),"")</f>
        <v>247749.12</v>
      </c>
      <c r="AW19" s="439" t="s">
        <v>72</v>
      </c>
      <c r="AX19" s="373"/>
    </row>
    <row r="20" spans="1:50" ht="14.25" customHeight="1">
      <c r="A20" s="241"/>
      <c r="B20" s="203"/>
      <c r="D20" s="247"/>
      <c r="E20" s="236"/>
      <c r="F20" s="464"/>
      <c r="G20" s="474"/>
      <c r="H20" s="485"/>
      <c r="I20" s="485"/>
      <c r="J20" s="494"/>
      <c r="K20" s="503"/>
      <c r="L20" s="509"/>
      <c r="M20" s="517"/>
      <c r="N20" s="526"/>
      <c r="O20" s="530"/>
      <c r="P20" s="485"/>
      <c r="Q20" s="494"/>
      <c r="R20" s="494"/>
      <c r="S20" s="541"/>
      <c r="T20" s="548"/>
      <c r="U20" s="557"/>
      <c r="V20" s="564"/>
      <c r="W20" s="571"/>
      <c r="Y20" s="338"/>
      <c r="Z20" s="340">
        <v>9</v>
      </c>
      <c r="AA20" s="340" t="str">
        <f t="shared" si="5"/>
        <v/>
      </c>
      <c r="AB20" s="340"/>
      <c r="AC20" s="575"/>
      <c r="AD20" s="575"/>
      <c r="AE20" s="577"/>
      <c r="AF20" s="579"/>
      <c r="AG20" s="579"/>
      <c r="AH20" s="581"/>
      <c r="AI20" s="583"/>
      <c r="AJ20" s="577"/>
      <c r="AK20" s="581"/>
      <c r="AL20" s="389" t="str">
        <f t="shared" ca="1" si="12"/>
        <v/>
      </c>
      <c r="AM20" s="387"/>
      <c r="AN20" s="388">
        <f ca="1">AN19</f>
        <v>45946</v>
      </c>
      <c r="AO20" s="420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387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424">
        <v>-5</v>
      </c>
      <c r="AR20" s="369" t="str">
        <f ca="1">IF(AS16="先手",IF(AS21=1,AM3,OFFSET(AP16,AS21-2,)),OFFSET(AP16,AS21-1,))</f>
        <v/>
      </c>
      <c r="AS20" s="307">
        <v>0</v>
      </c>
      <c r="AT20" s="425" t="s">
        <v>73</v>
      </c>
      <c r="AU20" s="426">
        <f ca="1">AU16</f>
        <v>62603</v>
      </c>
      <c r="AV20" s="297">
        <f ca="1">IF(AND(ISNUMBER(AL5),ISNUMBER(AN20)),IF(AL5-AN20&lt;2,1,(AL5-AN20)*(1-HLOOKUP(AM1,G2:O7,6,0)-A26)),"")</f>
        <v>247749.12</v>
      </c>
      <c r="AW20" s="439">
        <f ca="1">IF(AS16="先手",SUM(OFFSET(AV15,0,0,ABS(AT21),1)),SUM(OFFSET(AV15,0,0,ABS(AT21)+1,1)))</f>
        <v>253262.4</v>
      </c>
      <c r="AX20" s="373" t="s">
        <v>67</v>
      </c>
    </row>
    <row r="21" spans="1:50" ht="14.25" customHeight="1">
      <c r="A21" s="248">
        <f t="array" ref="A21">MAX(IF(队伍表!A1:AU1=P2,COLUMN(队伍表!A1:AU1),0))</f>
        <v>9</v>
      </c>
      <c r="B21" s="203"/>
      <c r="C21" s="234" t="s">
        <v>76</v>
      </c>
      <c r="D21" s="249" t="s">
        <v>61</v>
      </c>
      <c r="E21" s="250"/>
      <c r="F21" s="464" t="s">
        <v>3</v>
      </c>
      <c r="G21" s="473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84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84">
        <f ca="1">IF(OR(M11="王语嫣",M15="王语嫣"),HLOOKUP(F21,G2:O7,4,0)*(1+C16*0.01)*(1-0.08)-D7*3+A29*4,HLOOKUP(F21,G2:O7,4,0)*(1+C16*0.01)+A29*4)</f>
        <v>43795</v>
      </c>
      <c r="J21" s="495">
        <f ca="1">IF(T31="无",AF21,IF(T31="攻透",AG21,AH21))</f>
        <v>1</v>
      </c>
      <c r="K21" s="503">
        <f ca="1">IF(AND(L21&gt;0,L21&lt;7),G21-Q21*L21,IF(AND(L21&lt;0,L21&gt;-7),0,G21-Q21*6))</f>
        <v>0</v>
      </c>
      <c r="L21" s="511">
        <f ca="1">IF(OR(N21="",J21="",Q21="",G21=""),"",IF(OR(ROUNDUP(N21/J21,0)&lt;6,ROUNDUP(G21/Q21,0)&lt;7),IF(ROUNDUP(G21/Q21,0)&lt;=ROUNDUP(N21/J21,0),-ROUNDUP(G21/Q21,0),ROUNDUP(N21/J21,0)),11))</f>
        <v>-2</v>
      </c>
      <c r="M21" s="518" t="str">
        <f ca="1">IF(A17&gt;5,IF(ISERROR(INDIRECT("队伍表!"&amp;ADDRESS(7,$A$21))),"",INDIRECT("队伍表!"&amp;ADDRESS(7,$A$21))),"")</f>
        <v>小龙女</v>
      </c>
      <c r="N21" s="526">
        <f ca="1">IF(OR(M21="",ISERROR(Y6),ISERROR(Z6)),"",INT((INT(Z6*($D$7-1)+Y6))*$T$4))</f>
        <v>428445</v>
      </c>
      <c r="O21" s="530">
        <f ca="1">IF(OR($M$21="神捕冷血",$M$21="谢晓峰"),AJ21*1.1,AJ21)</f>
        <v>197110</v>
      </c>
      <c r="P21" s="485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494">
        <f ca="1">AI21*(1-HLOOKUP(F21,G2:O7,6,0)-A26)</f>
        <v>147182.39999999999</v>
      </c>
      <c r="R21" s="494">
        <f ca="1">IF(AND(L21&gt;0,L21&lt;7),0,IF(L21=11,N21-J21*5,N21+J21*(L21+1)))</f>
        <v>428444</v>
      </c>
      <c r="S21" s="541">
        <f ca="1">IF(OR(M21="",ISERROR(AE6),ISERROR(AF6)),"",INT((INT(AF6*($D$7-1)+AE6))*$T$7))</f>
        <v>617220</v>
      </c>
      <c r="T21" s="548">
        <f ca="1">IF(M21="逍遥子",IF(AND(ISNUMBER(U21),ISNUMBER(I21),ISNUMBER(AI21)),IF(U21-I21&lt;2,1,U21-I21),"")+S21*0.05,IF(AND(ISNUMBER(U21),ISNUMBER(I21),ISNUMBER(AI21)),IF(U21-I21&lt;2,1,U21-I21),""))</f>
        <v>145430.6</v>
      </c>
      <c r="U21" s="557">
        <f ca="1">IF(M21="独孤求败",(1+0.18-HLOOKUP(F21,G2:O7,6,0)-A26)*IF(OR(M21="",ISERROR(S21),ISERROR(AH6)),"",INT(S21*(AH6/100)+O21)),(1-HLOOKUP(F21,G2:O7,6,0)-A26)*IF(OR(M21="",ISERROR(S21),ISERROR(AH6)),"",INT(S21*(AH6/100)+O21)))</f>
        <v>189225.60000000001</v>
      </c>
      <c r="V21" s="564" t="str">
        <f t="shared" ref="V21:V25" si="15">IF(ISERROR(IF(AD21&lt;2,1,AD21)),"",IF(AD21&lt;2,1,AD21))</f>
        <v/>
      </c>
      <c r="W21" s="571" t="str">
        <f>IF(ISERROR(IF(F21=$V$9,1,IF(Z11="群",ABS(AB21-$AB$26)+1,""))),"",IF(F21=$V$9,1,IF(Z11="群",ABS(AB21-$AB$26)+1,"")))</f>
        <v/>
      </c>
      <c r="Y21" s="338">
        <v>6</v>
      </c>
      <c r="Z21" s="340">
        <v>10</v>
      </c>
      <c r="AA21" s="340" t="str">
        <f t="shared" si="5"/>
        <v/>
      </c>
      <c r="AB21" s="340">
        <v>6</v>
      </c>
      <c r="AC21" s="575" t="e">
        <f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575" t="e">
        <f>IF(V9="独孤求败",AC21*(1-HLOOKUP(F21,G2:O7,6,0)-A26+0.18),AC21*(1-HLOOKUP(F21,G2:O7,6,0)-A26))</f>
        <v>#VALUE!</v>
      </c>
      <c r="AE21" s="577">
        <f ca="1">IF(M21="逍遥子",IF(AND(ISNUMBER(H21),ISNUMBER(P21)),IF(H21-P21-S21*0.45&lt;2,1,H21-P21-S21*0.45),""),IF(AND(ISNUMBER(H21),ISNUMBER(P21)),IF(H21-P21&lt;2,1,H21-P21),""))</f>
        <v>1</v>
      </c>
      <c r="AF21" s="579">
        <f t="shared" ref="AF21" ca="1" si="16">IF(F21="独孤求败",IF(M21="令狐冲",AE21,AE21*1.18),IF(M21="令狐冲",AE21*0.82,AE21))</f>
        <v>1</v>
      </c>
      <c r="AG21" s="579">
        <f ca="1">IF(F21=V31,INT(W31*VLOOKUP(V31,F11:J32,3,0)+AF21),AF21)</f>
        <v>1</v>
      </c>
      <c r="AH21" s="581">
        <f ca="1">IF(F21=V31,INT(W31*INT(HLOOKUP(V31,G2:O6,5,0)*(1+C19/100))+AF21),AF21)</f>
        <v>1</v>
      </c>
      <c r="AI21" s="583">
        <f ca="1">IF(M21="逍遥子",IF(AND(ISNUMBER(O21),ISNUMBER(I21)),IF(O21-I21&lt;2,1,O21-I21),"")+S21*0.05,IF(AND(ISNUMBER(O21),ISNUMBER(I21)),IF(O21-I21&lt;2,1,O21-I21),""))</f>
        <v>153315</v>
      </c>
      <c r="AJ21" s="577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581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390" t="str">
        <f t="shared" ca="1" si="12"/>
        <v/>
      </c>
      <c r="AM21" s="391"/>
      <c r="AN21" s="392">
        <f ca="1">AN20</f>
        <v>45946</v>
      </c>
      <c r="AO21" s="427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391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427">
        <v>-6</v>
      </c>
      <c r="AR21" s="428"/>
      <c r="AS21" s="429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243">
        <f ca="1">IF(AS21=11,6,ABS(AS21))</f>
        <v>1</v>
      </c>
      <c r="AU21" s="369">
        <f ca="1">AU16</f>
        <v>62603</v>
      </c>
      <c r="AV21" s="307">
        <f ca="1">IF(AND(ISNUMBER(AL5),ISNUMBER(AN21)),IF(AL5-AN21&lt;2,1,(AL5-AN21)*(1-HLOOKUP(AM1,G2:O7,6,0)-A26)),"")</f>
        <v>247749.12</v>
      </c>
      <c r="AW21" s="440">
        <f ca="1">SUM(OFFSET(AV16,0,0,ABS(AT21),1))</f>
        <v>253262.4</v>
      </c>
      <c r="AX21" s="373" t="s">
        <v>69</v>
      </c>
    </row>
    <row r="22" spans="1:50" ht="14.25" customHeight="1">
      <c r="A22" s="241"/>
      <c r="B22" s="203"/>
      <c r="C22" s="251" t="s">
        <v>77</v>
      </c>
      <c r="D22" s="252">
        <v>276</v>
      </c>
      <c r="E22" s="225"/>
      <c r="F22" s="464"/>
      <c r="G22" s="474"/>
      <c r="H22" s="485"/>
      <c r="I22" s="485"/>
      <c r="J22" s="495"/>
      <c r="K22" s="503"/>
      <c r="L22" s="509"/>
      <c r="M22" s="517"/>
      <c r="N22" s="526"/>
      <c r="O22" s="530"/>
      <c r="P22" s="485"/>
      <c r="Q22" s="494"/>
      <c r="R22" s="494"/>
      <c r="S22" s="541"/>
      <c r="T22" s="548"/>
      <c r="U22" s="557"/>
      <c r="V22" s="564"/>
      <c r="W22" s="571"/>
      <c r="Y22" s="338"/>
      <c r="Z22" s="340" t="s">
        <v>47</v>
      </c>
      <c r="AA22" s="340" t="str">
        <f t="shared" si="5"/>
        <v/>
      </c>
      <c r="AB22" s="340"/>
      <c r="AC22" s="575"/>
      <c r="AD22" s="575"/>
      <c r="AE22" s="577"/>
      <c r="AF22" s="579"/>
      <c r="AG22" s="579"/>
      <c r="AH22" s="581"/>
      <c r="AI22" s="583"/>
      <c r="AJ22" s="577"/>
      <c r="AK22" s="581"/>
      <c r="AL22" s="393"/>
      <c r="AM22" s="243"/>
      <c r="AN22" s="243"/>
      <c r="AO22" s="225"/>
      <c r="AP22" s="225"/>
      <c r="AQ22" s="225"/>
      <c r="AR22" s="225"/>
      <c r="AS22" s="225"/>
      <c r="AT22" s="243"/>
      <c r="AU22" s="243">
        <v>0</v>
      </c>
      <c r="AV22" s="243">
        <v>0</v>
      </c>
      <c r="AW22" s="243"/>
      <c r="AX22" s="373"/>
    </row>
    <row r="23" spans="1:50" ht="14.25" customHeight="1">
      <c r="A23" s="253" t="str">
        <f>ADDRESS(3,7)</f>
        <v>$G$3</v>
      </c>
      <c r="B23" s="203"/>
      <c r="C23" s="234" t="s">
        <v>78</v>
      </c>
      <c r="D23" s="249" t="s">
        <v>61</v>
      </c>
      <c r="E23" s="225"/>
      <c r="F23" s="464" t="s">
        <v>6</v>
      </c>
      <c r="G23" s="473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84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84">
        <f ca="1">IF(OR(M11="王语嫣",M15="王语嫣"),HLOOKUP(F23,G2:O7,4,0)*(1+C16*0.01)*(1-0.08)-D7*3+A29*4,HLOOKUP(F23,G2:O7,4,0)*(1+C16*0.01)+A29*4)</f>
        <v>13267</v>
      </c>
      <c r="J23" s="494">
        <f ca="1">IF(T31="无",AF23,IF(T31="攻透",AG23,AH23))</f>
        <v>140742</v>
      </c>
      <c r="K23" s="503">
        <f ca="1">IF(AND(L23&gt;0,L23&lt;7),G23-Q23*(L23-1),IF(AND(L23&lt;0,L23&gt;-6),0,G23-Q23*5))</f>
        <v>0</v>
      </c>
      <c r="L23" s="511">
        <f ca="1">IF(OR(N23="",J23="",Q23="",G23=""),"",IF(OR(ROUNDUP(N23/J23,0)&lt;7,ROUNDUP(G23/Q23,0)&lt;6),IF(ROUNDUP(N23/J23,0)&lt;=ROUNDUP(G23/Q23,0),ROUNDUP(N23/J23,0),-ROUNDUP(G23/Q23,0)),11))</f>
        <v>-2</v>
      </c>
      <c r="M23" s="518" t="str">
        <f ca="1">IF(A17&gt;6,IF(ISERROR(INDIRECT("队伍表!"&amp;ADDRESS(8,$A$21))),"",INDIRECT("队伍表!"&amp;ADDRESS(8,$A$21))),"")</f>
        <v>郭靖</v>
      </c>
      <c r="N23" s="526">
        <f ca="1">IF(OR(M23="",ISERROR(Y7),ISERROR(Z7)),"",INT((INT(Z7*($D$7-1)+Y7))*$T$4))</f>
        <v>514170</v>
      </c>
      <c r="O23" s="530">
        <f ca="1">IF(OR($M$23="神捕冷血",$M$23="谢晓峰"),AJ23*1.1,AJ23)</f>
        <v>252799</v>
      </c>
      <c r="P23" s="485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494">
        <f ca="1">AI23*(1-HLOOKUP(F23,G2:O7,6,0)-A26)</f>
        <v>229950.72</v>
      </c>
      <c r="R23" s="494">
        <f ca="1">IF(AND(L23&gt;0,L23&lt;7),0,IF(L23=11,N23-J23*6,N23+J23*L23))</f>
        <v>232686</v>
      </c>
      <c r="S23" s="541">
        <f ca="1">IF(OR(M23="",ISERROR(AE7),ISERROR(AF7)),"",INT((INT(AF7*($D$7-1)+AE7))*$T$7))</f>
        <v>514350</v>
      </c>
      <c r="T23" s="548">
        <f ca="1">IF(M23="慕容龙城",IF(AND(ISNUMBER(U23),ISNUMBER(I23),ISNUMBER(AI23)),IF(U23-I23&lt;2,1,U23-I23),"")+S23*0.02,IF(AND(ISNUMBER(U23),ISNUMBER(I23),ISNUMBER(AI23)),IF(U23-I23&lt;2,1,U23-I23),""))</f>
        <v>352863.56</v>
      </c>
      <c r="U23" s="557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564" t="str">
        <f t="shared" si="15"/>
        <v/>
      </c>
      <c r="W23" s="571" t="str">
        <f>IF(ISERROR(IF(F23=$V$9,1,IF(Z11="群",ABS(AB23-$AB$26)+1,""))),"",IF(F23=$V$9,1,IF(Z11="群",ABS(AB23-$AB$26)+1,"")))</f>
        <v/>
      </c>
      <c r="Y23" s="338">
        <v>7</v>
      </c>
      <c r="Z23" s="340" t="e">
        <f>VLOOKUP($V9,$F$11:$H$26,3,0)</f>
        <v>#N/A</v>
      </c>
      <c r="AA23" s="340" t="str">
        <f t="shared" si="5"/>
        <v/>
      </c>
      <c r="AB23" s="340">
        <v>7</v>
      </c>
      <c r="AC23" s="575" t="e">
        <f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575" t="e">
        <f>IF(V9="独孤求败",AC23*(1-HLOOKUP(F23,G2:O7,6,0)-A26+0.18),AC23*(1-HLOOKUP(F23,G2:O7,6,0)-A26))</f>
        <v>#VALUE!</v>
      </c>
      <c r="AE23" s="577">
        <f t="shared" ref="AE23" ca="1" si="17">IF(AND(ISNUMBER(H23),ISNUMBER(P23)),IF(H23-P23&lt;2,1,H23-P23),"")</f>
        <v>140742</v>
      </c>
      <c r="AF23" s="579">
        <f t="shared" ref="AF23" ca="1" si="18">IF(F23="独孤求败",IF(M23="令狐冲",AE23,AE23*1.18),IF(M23="令狐冲",AE23*0.82,AE23))</f>
        <v>140742</v>
      </c>
      <c r="AG23" s="579">
        <f ca="1">IF(F23=V31,INT(W31*VLOOKUP(V31,F11:J32,3,0)+AF23),AF23)</f>
        <v>140742</v>
      </c>
      <c r="AH23" s="581">
        <f ca="1">IF(F23=V31,INT(W31*INT(HLOOKUP(V31,G2:O6,5,0)*(1+C19/100))+AF23),AF23)</f>
        <v>140742</v>
      </c>
      <c r="AI23" s="583">
        <f ca="1">IF(M23="慕容龙城",IF(AND(ISNUMBER(O23),ISNUMBER(I23)),IF(O23-I23&lt;2,1,O23-I23),"")+0.02*S23,IF(AND(ISNUMBER(O23),ISNUMBER(I23)),IF(O23-I23&lt;2,1,O23-I23),""))</f>
        <v>239532</v>
      </c>
      <c r="AJ23" s="577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581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396">
        <f ca="1">IF(COUNTIF(AO23:AP23,0)=0,0,1)</f>
        <v>1</v>
      </c>
      <c r="AM23" s="381">
        <f ca="1">IF(AL1="西门吹雪",AL5*1.15,IF(AL1="丁鹏",AL5*1.1,AL5))</f>
        <v>304018</v>
      </c>
      <c r="AN23" s="395">
        <f>IF(AM1="丁鹏",INT(AM5*1.1),IF(AM1="西门吹雪",INT(AM5*1.15),AM5))</f>
        <v>180796</v>
      </c>
      <c r="AO23" s="411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381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411">
        <v>-1</v>
      </c>
      <c r="AR23" s="395"/>
      <c r="AS23" s="417" t="str">
        <f ca="1">IF(ISEVEN(VLOOKUP(AL1,M11:Y28,13,0)),"后手","先手")</f>
        <v>后手</v>
      </c>
      <c r="AT23" s="243"/>
      <c r="AU23" s="372">
        <f ca="1">IF(AND(ISNUMBER(AN23),ISNUMBER(AL7)),IF(AN23-AL7&lt;2,1,AN23-AL7),"")</f>
        <v>62603</v>
      </c>
      <c r="AV23" s="417">
        <f ca="1">IF(AND(ISNUMBER(AM23),ISNUMBER(AM7)),IF(AM23-AM7&lt;2,1,(AM23-AM7)*(1-HLOOKUP(AM1,G2:O7,6,0)-A26)),"")</f>
        <v>255099.84</v>
      </c>
      <c r="AW23" s="438" t="s">
        <v>57</v>
      </c>
      <c r="AX23" s="373"/>
    </row>
    <row r="24" spans="1:50" ht="14.25" customHeight="1">
      <c r="A24" s="253" t="str">
        <f>ADDRESS(3,A17+6)</f>
        <v>$N$3</v>
      </c>
      <c r="B24" s="203"/>
      <c r="C24" s="251" t="s">
        <v>77</v>
      </c>
      <c r="D24" s="252">
        <v>273</v>
      </c>
      <c r="E24" s="225"/>
      <c r="F24" s="464"/>
      <c r="G24" s="474"/>
      <c r="H24" s="485"/>
      <c r="I24" s="485"/>
      <c r="J24" s="494"/>
      <c r="K24" s="503"/>
      <c r="L24" s="509"/>
      <c r="M24" s="517"/>
      <c r="N24" s="526"/>
      <c r="O24" s="530"/>
      <c r="P24" s="485"/>
      <c r="Q24" s="494"/>
      <c r="R24" s="494"/>
      <c r="S24" s="541"/>
      <c r="T24" s="548"/>
      <c r="U24" s="557"/>
      <c r="V24" s="564"/>
      <c r="W24" s="571"/>
      <c r="Y24" s="338"/>
      <c r="Z24" s="340" t="s">
        <v>53</v>
      </c>
      <c r="AA24" s="340" t="str">
        <f t="shared" si="5"/>
        <v/>
      </c>
      <c r="AB24" s="340"/>
      <c r="AC24" s="575"/>
      <c r="AD24" s="575"/>
      <c r="AE24" s="577"/>
      <c r="AF24" s="579"/>
      <c r="AG24" s="579"/>
      <c r="AH24" s="581"/>
      <c r="AI24" s="583"/>
      <c r="AJ24" s="577"/>
      <c r="AK24" s="581"/>
      <c r="AL24" s="341" t="str">
        <f t="shared" ref="AL24:AL28" ca="1" si="19">IF(OR(AL23=1,AL23=""),"",IF(COUNTIF(AN24:AP24,0)=0,0,1))</f>
        <v/>
      </c>
      <c r="AM24" s="387"/>
      <c r="AN24" s="342"/>
      <c r="AO24" s="420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387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420">
        <v>-2</v>
      </c>
      <c r="AR24" s="421"/>
      <c r="AS24" s="422">
        <f ca="1">AL3</f>
        <v>428190</v>
      </c>
      <c r="AT24" s="243"/>
      <c r="AU24" s="426">
        <f ca="1">IF(AND(ISNUMBER(AM5),ISNUMBER(AL7)),IF(AM5-AL7&lt;2,1,AM5-AL7),"")</f>
        <v>62603</v>
      </c>
      <c r="AV24" s="297">
        <f ca="1">IF(AND(ISNUMBER(AL5),ISNUMBER(AM7)),IF(AL5-AM7&lt;2,1,(AL5-AM7)*(1-HLOOKUP(AM1,G2:O7,6,0)-A26)),"")</f>
        <v>255099.84</v>
      </c>
      <c r="AW24" s="439">
        <f ca="1">SUM(OFFSET(AU23,0,0,ABS(AT28),1))</f>
        <v>62603</v>
      </c>
      <c r="AX24" s="373" t="s">
        <v>67</v>
      </c>
    </row>
    <row r="25" spans="1:50" ht="14.25" customHeight="1">
      <c r="A25" s="241"/>
      <c r="B25" s="203"/>
      <c r="C25" s="234" t="s">
        <v>79</v>
      </c>
      <c r="D25" s="249" t="s">
        <v>61</v>
      </c>
      <c r="E25" s="218"/>
      <c r="F25" s="464" t="s">
        <v>10</v>
      </c>
      <c r="G25" s="475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85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85">
        <f ca="1">IF(OR(M11="王语嫣",M15="王语嫣"),HLOOKUP(F25,G2:O7,4,0)*(1+C16*0.01)*(1-0.08)-D7*3+A29*4,HLOOKUP(F25,G2:O7,4,0)*(1+C16*0.01)+A29*4)</f>
        <v>11900</v>
      </c>
      <c r="J25" s="494">
        <f ca="1">IF(T31="无",AF25,IF(T31="攻透",AG25,AH25))</f>
        <v>35308</v>
      </c>
      <c r="K25" s="503">
        <f ca="1">IF(AND(L25&gt;0,L25&lt;7),G25-Q25*L25,IF(AND(L25&lt;0,L25&gt;-7),0,G25-Q25*6))</f>
        <v>0</v>
      </c>
      <c r="L25" s="510">
        <f ca="1">IF(OR(N25="",J25="",Q25="",G25=""),"",IF(OR(ROUNDUP(N25/J25,0)&lt;6,ROUNDUP(G25/Q25,0)&lt;7),IF(ROUNDUP(G25/Q25,0)&lt;=ROUNDUP(N25/J25,0),-ROUNDUP(G25/Q25,0),ROUNDUP(N25/J25,0)),11))</f>
        <v>-2</v>
      </c>
      <c r="M25" s="518" t="str">
        <f ca="1">IF(A17&gt;7,IF(ISERROR(INDIRECT("队伍表!"&amp;ADDRESS(9,$A$21))),"",IF(INDIRECT("队伍表!"&amp;ADDRESS(9,$A$21))="","",INDIRECT("队伍表!"&amp;ADDRESS(9,$A$21)))),"")</f>
        <v>石破天</v>
      </c>
      <c r="N25" s="526">
        <f ca="1">IF(OR(M25="",ISERROR(Y8),ISERROR(Z8)),"",INT((INT(Z8*($D$7-1)+Y8))*$T$4))</f>
        <v>471412</v>
      </c>
      <c r="O25" s="530">
        <f ca="1">IF(OR($M$25="神捕冷血",$M$25="谢晓峰"),AJ25*1.1,AJ25)</f>
        <v>90066</v>
      </c>
      <c r="P25" s="485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494">
        <f ca="1">AI25*(1-HLOOKUP(F25,G2:O7,6,0)-A26)</f>
        <v>75039.360000000001</v>
      </c>
      <c r="R25" s="494">
        <f ca="1">IF(AND(L25&gt;0,L25&lt;7),0,IF(L25=11,N25-J25*5,N25+J25*(L25+1)))</f>
        <v>436104</v>
      </c>
      <c r="S25" s="541">
        <f ca="1">IF(OR(M25="",ISERROR(AE8),ISERROR(AF8)),"",INT((INT(AF8*($D$7-1)+AE8))*$T$7))</f>
        <v>874161</v>
      </c>
      <c r="T25" s="548">
        <f ca="1">IF(AND(ISNUMBER(U25),ISNUMBER(I25),ISNUMBER(AI25)),IF(U25-I25&lt;2,1,U25-I25),"")</f>
        <v>74563.360000000001</v>
      </c>
      <c r="U25" s="557">
        <f ca="1">IF(M25="独孤求败",(1+0.18-HLOOKUP(F25,G2:O7,6,0)-A26)*IF(OR(M25="",ISERROR(S25),ISERROR(AH8)),"",INT(S25*(AH8/100)+O25)),(1-HLOOKUP(F25,G2:O7,6,0)-A26)*IF(OR(M25="",ISERROR(S25),ISERROR(AH8)),"",INT(S25*(AH8/100)+O25)))</f>
        <v>86463.360000000001</v>
      </c>
      <c r="V25" s="564" t="str">
        <f t="shared" si="15"/>
        <v/>
      </c>
      <c r="W25" s="571" t="str">
        <f>IF(ISERROR(IF(F25=$V$9,1,IF(Z11="群",ABS(AB25-$AB$26)+1,""))),"",IF(F25=$V$9,1,IF(Z11="群",ABS(AB25-$AB$26)+1,"")))</f>
        <v/>
      </c>
      <c r="Y25" s="338">
        <v>8</v>
      </c>
      <c r="Z25" s="340">
        <f>HLOOKUP(V9,$G$2:$N$6,5,0)</f>
        <v>3093</v>
      </c>
      <c r="AA25" s="340" t="str">
        <f t="shared" si="5"/>
        <v/>
      </c>
      <c r="AB25" s="340">
        <v>8</v>
      </c>
      <c r="AC25" s="575" t="e">
        <f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575" t="e">
        <f>IF(V9="独孤求败",AC25*(1-HLOOKUP(F25,G2:O7,6,0)-A26+0.18),AC25*(1-HLOOKUP(F25,G2:O7,6,0)-A26))</f>
        <v>#VALUE!</v>
      </c>
      <c r="AE25" s="577">
        <f ca="1">IF(AND(ISNUMBER(H25),ISNUMBER(P25)),IF(H25-P25&lt;2,1,H25-P25),"")</f>
        <v>35308</v>
      </c>
      <c r="AF25" s="579">
        <f t="shared" ref="AF25" ca="1" si="20">IF(F25="独孤求败",IF(M25="令狐冲",AE25,AE25*1.18),IF(M25="令狐冲",AE25*0.82,AE25))</f>
        <v>35308</v>
      </c>
      <c r="AG25" s="579">
        <f ca="1">IF(F25=V31,INT(W31*VLOOKUP(V31,F11:J32,3,0)+AF25),AF25)</f>
        <v>35308</v>
      </c>
      <c r="AH25" s="581">
        <f ca="1">IF(F25=V31,INT(W31*INT(HLOOKUP(V31,G2:O6,5,0)*(1+C19/100))+AF25),AF25)</f>
        <v>35308</v>
      </c>
      <c r="AI25" s="583">
        <f ca="1">IF(AND(ISNUMBER(O25),ISNUMBER(I25)),IF(O25-I25&lt;2,1,O25-I25),"")</f>
        <v>78166</v>
      </c>
      <c r="AJ25" s="585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588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341" t="str">
        <f t="shared" ca="1" si="19"/>
        <v/>
      </c>
      <c r="AM25" s="387"/>
      <c r="AN25" s="342"/>
      <c r="AO25" s="420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387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424">
        <v>-3</v>
      </c>
      <c r="AR25" s="372" t="str">
        <f ca="1">IF(AS23="先手",AP27,AP28)</f>
        <v/>
      </c>
      <c r="AS25" s="417">
        <f ca="1">IF(AS23="先手",AO28,AO27)</f>
        <v>115175</v>
      </c>
      <c r="AT25" s="425" t="s">
        <v>68</v>
      </c>
      <c r="AU25" s="426">
        <f ca="1">AU24</f>
        <v>62603</v>
      </c>
      <c r="AV25" s="297">
        <f ca="1">AV24</f>
        <v>255099.84</v>
      </c>
      <c r="AW25" s="439">
        <f ca="1">IF(AS23="先手",SUM(OFFSET(AU22,0,0,ABS(AT28)+1,1)),SUM(OFFSET(AU22,0,0,ABS(AT28),1)))</f>
        <v>0</v>
      </c>
      <c r="AX25" s="373" t="s">
        <v>69</v>
      </c>
    </row>
    <row r="26" spans="1:50" ht="14.25" customHeight="1">
      <c r="A26" s="241">
        <f>IF(D28="有",0.04,0)</f>
        <v>0.04</v>
      </c>
      <c r="B26" s="203"/>
      <c r="C26" s="251" t="s">
        <v>77</v>
      </c>
      <c r="D26" s="252">
        <v>272</v>
      </c>
      <c r="E26" s="218"/>
      <c r="F26" s="465"/>
      <c r="G26" s="476"/>
      <c r="H26" s="486"/>
      <c r="I26" s="486"/>
      <c r="J26" s="496"/>
      <c r="K26" s="504"/>
      <c r="L26" s="512"/>
      <c r="M26" s="519"/>
      <c r="N26" s="527"/>
      <c r="O26" s="531"/>
      <c r="P26" s="486"/>
      <c r="Q26" s="496"/>
      <c r="R26" s="496"/>
      <c r="S26" s="542"/>
      <c r="T26" s="549"/>
      <c r="U26" s="558"/>
      <c r="V26" s="565"/>
      <c r="W26" s="572"/>
      <c r="Y26" s="343"/>
      <c r="Z26" s="340">
        <f>W7</f>
        <v>1.3</v>
      </c>
      <c r="AA26" s="340"/>
      <c r="AB26" s="340" t="e">
        <f>VLOOKUP(1,血战计算器!$AA$11:$AB$25,2,0)</f>
        <v>#N/A</v>
      </c>
      <c r="AC26" s="575"/>
      <c r="AD26" s="576"/>
      <c r="AE26" s="577"/>
      <c r="AF26" s="579"/>
      <c r="AG26" s="579"/>
      <c r="AH26" s="581"/>
      <c r="AI26" s="583"/>
      <c r="AJ26" s="586"/>
      <c r="AK26" s="589"/>
      <c r="AL26" s="341" t="str">
        <f t="shared" ca="1" si="19"/>
        <v/>
      </c>
      <c r="AM26" s="387"/>
      <c r="AN26" s="342"/>
      <c r="AO26" s="420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387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424">
        <v>-4</v>
      </c>
      <c r="AR26" s="426">
        <v>0</v>
      </c>
      <c r="AS26" s="297">
        <f ca="1">IF(AS23="后手",IF(AS28=-1,AL3,OFFSET(AO23,ABS(AS28)-2,)),OFFSET(AO23,ABS(AS28)-1,))</f>
        <v>428190</v>
      </c>
      <c r="AT26" s="425" t="s">
        <v>71</v>
      </c>
      <c r="AU26" s="426">
        <f ca="1">AU24</f>
        <v>62603</v>
      </c>
      <c r="AV26" s="297">
        <f ca="1">AV24</f>
        <v>255099.84</v>
      </c>
      <c r="AW26" s="439" t="s">
        <v>72</v>
      </c>
      <c r="AX26" s="373"/>
    </row>
    <row r="27" spans="1:50" ht="7.5" customHeight="1">
      <c r="A27" s="240"/>
      <c r="B27" s="203"/>
      <c r="Y27" s="344">
        <v>10</v>
      </c>
      <c r="Z27" s="345"/>
      <c r="AA27" s="346"/>
      <c r="AB27" s="346"/>
      <c r="AC27" s="346"/>
      <c r="AD27" s="347"/>
      <c r="AE27" s="577">
        <f ca="1">IF(AND(ISNUMBER(H28),ISNUMBER(P28)),IF(H28-P28&lt;2,1,H28-P28),"")</f>
        <v>110137</v>
      </c>
      <c r="AF27" s="579">
        <f ca="1">IF(F28="独孤求败",IF(M28="令狐冲",AE27,AE27*1.18),IF(M28="令狐冲",AE27*0.82,AE27))</f>
        <v>110137</v>
      </c>
      <c r="AG27" s="579">
        <f ca="1">IF(F28=V31,INT(W31*VLOOKUP(V31,F11:J32,3,0)+AF27),AF27)</f>
        <v>110137</v>
      </c>
      <c r="AH27" s="581">
        <f ca="1">IF(F28=V31,INT(W31*INT(HLOOKUP(V31,G2:O6,5,0)*(1+C19/100))+AF27),AF27)</f>
        <v>110137</v>
      </c>
      <c r="AI27" s="583">
        <f ca="1">IF(AND(ISNUMBER(O28),ISNUMBER(I28)),IF(O28-I28&lt;2,1,O28-I28),"")</f>
        <v>289196</v>
      </c>
      <c r="AJ27" s="585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588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341" t="str">
        <f t="shared" ca="1" si="19"/>
        <v/>
      </c>
      <c r="AM27" s="387"/>
      <c r="AN27" s="342"/>
      <c r="AO27" s="420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387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424">
        <v>-5</v>
      </c>
      <c r="AR27" s="369" t="str">
        <f ca="1">IF(AS23="先手",IF(AS28=1,AM3,OFFSET(AP23,AS28-2,)),OFFSET(AP23,AS28-1,))</f>
        <v/>
      </c>
      <c r="AS27" s="307">
        <v>0</v>
      </c>
      <c r="AT27" s="425" t="s">
        <v>73</v>
      </c>
      <c r="AU27" s="426">
        <f ca="1">AU24</f>
        <v>62603</v>
      </c>
      <c r="AV27" s="297">
        <f ca="1">AV24</f>
        <v>255099.84</v>
      </c>
      <c r="AW27" s="439">
        <f ca="1">IF(AS23="先手",SUM(OFFSET(AV22,0,0,ABS(AT28),1)),SUM(OFFSET(AV22,0,0,ABS(AT28)+1,1)))</f>
        <v>255099.84</v>
      </c>
      <c r="AX27" s="373" t="s">
        <v>67</v>
      </c>
    </row>
    <row r="28" spans="1:50" ht="14.25" customHeight="1">
      <c r="A28" s="240"/>
      <c r="C28" s="234" t="s">
        <v>80</v>
      </c>
      <c r="D28" s="249" t="s">
        <v>81</v>
      </c>
      <c r="F28" s="466" t="s">
        <v>8</v>
      </c>
      <c r="G28" s="477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87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87">
        <f ca="1">IF(OR(M11="王语嫣",M15="王语嫣"),HLOOKUP(F28,G2:O7,4,0)*(1+C16*0.01)*(1-0.08)-D7*3+A29*4,HLOOKUP(F28,G2:O7,4,0)*(1+C16*0.01)+A29*4)</f>
        <v>15032</v>
      </c>
      <c r="J28" s="497">
        <f ca="1">IF(T31="无",AF27,IF(T31="攻透",AG27,AH27))</f>
        <v>110137</v>
      </c>
      <c r="K28" s="505">
        <f ca="1">IF(AND(L28&gt;0,L28&lt;7),G28-Q27*L28,IF(AND(L28&lt;0,L28&gt;-7),0,G28-Q27*6))</f>
        <v>0</v>
      </c>
      <c r="L28" s="513">
        <f ca="1">IF(OR(N28="",J28="",Q28="",G28=""),"",IF(OR(ROUNDUP(N28/J28,0)&lt;6,ROUNDUP(G28/Q28,0)&lt;7),IF(ROUNDUP(G28/Q28,0)&lt;=ROUNDUP(N28/J28,0),-ROUNDUP(G28/Q28,0),ROUNDUP(N28/J28,0)),11))</f>
        <v>-1</v>
      </c>
      <c r="M28" s="520" t="str">
        <f ca="1">IF(A17&gt;7,IF(ISERROR(INDIRECT("队伍表!"&amp;ADDRESS(10,$A$21))),"",INDIRECT("队伍表!"&amp;ADDRESS(10,$A$21))),"")</f>
        <v>杨过</v>
      </c>
      <c r="N28" s="528">
        <f ca="1">IF(OR(M28="",ISERROR(Y9),ISERROR(Z9)),"",INT((INT(Z9*($D$7-1)+Y9))*$T$4))</f>
        <v>428445</v>
      </c>
      <c r="O28" s="532">
        <f ca="1">IF(OR($M$25="神捕冷血",$M$25="谢晓峰"),AJ27*1.1,AJ27)</f>
        <v>304228</v>
      </c>
      <c r="P28" s="487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497">
        <f ca="1">AI27*(1-HLOOKUP(F28,G2:O7,6,0)-A26)</f>
        <v>277628.15999999997</v>
      </c>
      <c r="R28" s="497">
        <f ca="1">IF(AND(L28&gt;0,L28&lt;7),0,IF(L28=11,N28-J28*5,N28+J28*(L28+1)))</f>
        <v>428445</v>
      </c>
      <c r="S28" s="543">
        <f ca="1">IF(OR(M28="",ISERROR(AE9),ISERROR(AF9)),"",INT((INT(AF9*($D$7-1)+AE9))*$T$7))</f>
        <v>617220</v>
      </c>
      <c r="T28" s="550">
        <f ca="1">IF(AND(ISNUMBER(U28),ISNUMBER(I28),ISNUMBER(AI27)),IF(U28-I28&lt;2,1,U28-I28),"")</f>
        <v>597806</v>
      </c>
      <c r="U28" s="55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596" t="s">
        <v>82</v>
      </c>
      <c r="W28" s="597"/>
      <c r="Y28" s="348">
        <v>1</v>
      </c>
      <c r="Z28" s="349">
        <v>1</v>
      </c>
      <c r="AA28" s="349">
        <v>1</v>
      </c>
      <c r="AB28" s="350">
        <v>1</v>
      </c>
      <c r="AE28" s="578"/>
      <c r="AF28" s="580"/>
      <c r="AG28" s="580"/>
      <c r="AH28" s="582"/>
      <c r="AI28" s="584"/>
      <c r="AJ28" s="587"/>
      <c r="AK28" s="590"/>
      <c r="AL28" s="351" t="str">
        <f t="shared" ca="1" si="19"/>
        <v/>
      </c>
      <c r="AM28" s="397"/>
      <c r="AN28" s="352"/>
      <c r="AO28" s="432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397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432">
        <v>-6</v>
      </c>
      <c r="AR28" s="433"/>
      <c r="AS28" s="434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329">
        <f ca="1">IF(AS28=11,6,ABS(AS28))</f>
        <v>1</v>
      </c>
      <c r="AU28" s="435">
        <f ca="1">AU24</f>
        <v>62603</v>
      </c>
      <c r="AV28" s="436">
        <f ca="1">AV24</f>
        <v>255099.84</v>
      </c>
      <c r="AW28" s="441">
        <f ca="1">SUM(OFFSET(AV23,0,0,ABS(AT28),1))</f>
        <v>255099.84</v>
      </c>
      <c r="AX28" s="442" t="s">
        <v>69</v>
      </c>
    </row>
    <row r="29" spans="1:50" ht="14.25" customHeight="1">
      <c r="A29" s="240">
        <f>IF(D28="有",D29,0)</f>
        <v>101</v>
      </c>
      <c r="C29" s="251" t="s">
        <v>77</v>
      </c>
      <c r="D29" s="252">
        <v>101</v>
      </c>
      <c r="F29" s="467"/>
      <c r="G29" s="478"/>
      <c r="H29" s="488"/>
      <c r="I29" s="488"/>
      <c r="J29" s="498"/>
      <c r="K29" s="506"/>
      <c r="L29" s="512"/>
      <c r="M29" s="521"/>
      <c r="N29" s="492"/>
      <c r="O29" s="533"/>
      <c r="P29" s="488"/>
      <c r="Q29" s="498"/>
      <c r="R29" s="498"/>
      <c r="S29" s="544"/>
      <c r="T29" s="551"/>
      <c r="U29" s="560"/>
      <c r="V29" s="598"/>
      <c r="W29" s="599"/>
      <c r="Y29" s="353">
        <v>2</v>
      </c>
      <c r="Z29" s="340">
        <v>0.64800000000000002</v>
      </c>
      <c r="AA29" s="340">
        <v>0.64800000000000002</v>
      </c>
      <c r="AB29" s="354">
        <v>0.9</v>
      </c>
    </row>
    <row r="30" spans="1:50" ht="15" customHeight="1">
      <c r="A30" s="254"/>
      <c r="B30" s="255"/>
      <c r="E30" s="256"/>
      <c r="F30" s="468" t="s">
        <v>83</v>
      </c>
      <c r="G30" s="479" t="s">
        <v>84</v>
      </c>
      <c r="H30" s="257">
        <v>8</v>
      </c>
      <c r="I30" s="280" t="s">
        <v>46</v>
      </c>
      <c r="J30" s="280" t="s">
        <v>49</v>
      </c>
      <c r="K30" s="281" t="s">
        <v>42</v>
      </c>
      <c r="L30" s="282" t="s">
        <v>50</v>
      </c>
      <c r="M30" s="283" t="s">
        <v>51</v>
      </c>
      <c r="N30" s="284" t="s">
        <v>46</v>
      </c>
      <c r="O30" s="284" t="s">
        <v>49</v>
      </c>
      <c r="P30" s="281" t="s">
        <v>52</v>
      </c>
      <c r="Q30" s="281" t="s">
        <v>54</v>
      </c>
      <c r="R30" s="535" t="s">
        <v>85</v>
      </c>
      <c r="T30" s="313" t="s">
        <v>86</v>
      </c>
      <c r="V30" s="314" t="s">
        <v>45</v>
      </c>
      <c r="W30" s="315" t="s">
        <v>87</v>
      </c>
      <c r="Y30" s="353">
        <v>3</v>
      </c>
      <c r="Z30" s="340">
        <v>0.51200000000000001</v>
      </c>
      <c r="AA30" s="340">
        <v>0.51200000000000001</v>
      </c>
      <c r="AB30" s="354">
        <v>0.8</v>
      </c>
    </row>
    <row r="31" spans="1:50" ht="13.5" customHeight="1">
      <c r="A31" s="254"/>
      <c r="B31" s="255"/>
      <c r="C31" s="446" t="s">
        <v>88</v>
      </c>
      <c r="D31" s="447"/>
      <c r="E31" s="256"/>
      <c r="F31" s="469"/>
      <c r="G31" s="480"/>
      <c r="H31" s="489" t="s">
        <v>7</v>
      </c>
      <c r="I31" s="491">
        <f>IF(ISERROR(AM3),"",AM3)</f>
        <v>191359</v>
      </c>
      <c r="J31" s="499">
        <f ca="1">IF(ISERROR(AO4),"",AO4)</f>
        <v>153573</v>
      </c>
      <c r="K31" s="499">
        <f ca="1">IF(ISERROR(AR4),"",AR4)</f>
        <v>0</v>
      </c>
      <c r="L31" s="510">
        <f ca="1">AP4</f>
        <v>-3</v>
      </c>
      <c r="M31" s="522" t="str">
        <f ca="1">VLOOKUP(H31,F11:M28,8,0)</f>
        <v>天山童姥</v>
      </c>
      <c r="N31" s="491">
        <f ca="1">IF(ISERROR(AL3),"",AL3)</f>
        <v>428190</v>
      </c>
      <c r="O31" s="499">
        <f ca="1">IF(ISERROR(AQ4),"",AQ4)</f>
        <v>765299.52</v>
      </c>
      <c r="P31" s="499">
        <f ca="1">IF(ISERROR(AS4),"",AS4)</f>
        <v>274617</v>
      </c>
      <c r="Q31" s="499">
        <f ca="1">VLOOKUP(M31,M11:U33,8,0)</f>
        <v>792205.08</v>
      </c>
      <c r="R31" s="536"/>
      <c r="T31" s="552" t="s">
        <v>61</v>
      </c>
      <c r="V31" s="566" t="s">
        <v>9</v>
      </c>
      <c r="W31" s="573">
        <v>0.03</v>
      </c>
      <c r="Y31" s="353">
        <v>4</v>
      </c>
      <c r="Z31" s="340">
        <v>0.39200000000000002</v>
      </c>
      <c r="AA31" s="340">
        <v>0.39200000000000002</v>
      </c>
      <c r="AB31" s="354">
        <v>0.7</v>
      </c>
    </row>
    <row r="32" spans="1:50" ht="14.25" customHeight="1">
      <c r="A32" s="258"/>
      <c r="B32" s="255"/>
      <c r="C32" s="259">
        <v>573084</v>
      </c>
      <c r="D32" s="260">
        <f ca="1">IF(ROUNDUP((C32/T4-AJ3)/AJ4,)+1&lt;1,"",ROUNDUP((C32/T4-AJ3)/AJ4,)+1)</f>
        <v>31816</v>
      </c>
      <c r="E32" s="256"/>
      <c r="F32" s="470"/>
      <c r="G32" s="481"/>
      <c r="H32" s="490"/>
      <c r="I32" s="492"/>
      <c r="J32" s="498"/>
      <c r="K32" s="498"/>
      <c r="L32" s="512"/>
      <c r="M32" s="521"/>
      <c r="N32" s="492"/>
      <c r="O32" s="498"/>
      <c r="P32" s="498"/>
      <c r="Q32" s="498"/>
      <c r="R32" s="537"/>
      <c r="T32" s="553"/>
      <c r="V32" s="567"/>
      <c r="W32" s="574"/>
      <c r="Y32" s="353">
        <v>5</v>
      </c>
      <c r="Z32" s="340">
        <v>0.28799999999999998</v>
      </c>
      <c r="AA32" s="340">
        <v>0.36</v>
      </c>
      <c r="AB32" s="354">
        <v>0.6</v>
      </c>
    </row>
    <row r="33" spans="2:28" ht="13.5" customHeight="1">
      <c r="S33" s="201"/>
      <c r="Y33" s="353">
        <v>6</v>
      </c>
      <c r="Z33" s="340">
        <v>0.2</v>
      </c>
      <c r="AA33" s="340">
        <v>0.25</v>
      </c>
      <c r="AB33" s="354">
        <v>0.5</v>
      </c>
    </row>
    <row r="34" spans="2:28" ht="12.75" customHeight="1">
      <c r="Y34" s="353">
        <v>7</v>
      </c>
      <c r="Z34" s="340">
        <v>0.128</v>
      </c>
      <c r="AA34" s="340">
        <v>0.16</v>
      </c>
      <c r="AB34" s="354">
        <v>0.4</v>
      </c>
    </row>
    <row r="35" spans="2:28" ht="12" customHeight="1">
      <c r="B35" s="203"/>
      <c r="D35" s="243"/>
      <c r="I35" s="201"/>
      <c r="J35" s="201"/>
      <c r="K35" s="201"/>
      <c r="Y35" s="355">
        <v>8</v>
      </c>
      <c r="Z35" s="356">
        <v>7.1999999999999995E-2</v>
      </c>
      <c r="AA35" s="356">
        <v>0.09</v>
      </c>
      <c r="AB35" s="357">
        <v>0.3</v>
      </c>
    </row>
    <row r="36" spans="2:28" ht="15" customHeight="1">
      <c r="B36" s="203"/>
      <c r="D36" s="243"/>
      <c r="I36" s="201"/>
      <c r="J36" s="201"/>
      <c r="K36" s="201"/>
      <c r="L36" s="201"/>
      <c r="M36" s="201"/>
      <c r="N36" s="201"/>
      <c r="O36" s="201"/>
      <c r="P36" s="201"/>
      <c r="Q36" s="201"/>
      <c r="R36" s="201"/>
      <c r="S36" s="201"/>
      <c r="T36" s="201"/>
      <c r="Y36" s="311"/>
      <c r="Z36" s="311"/>
      <c r="AA36" s="311"/>
      <c r="AB36" s="311"/>
    </row>
    <row r="37" spans="2:28" ht="6.75" customHeight="1">
      <c r="B37" s="203"/>
      <c r="D37" s="243"/>
      <c r="G37" s="201"/>
      <c r="H37" s="201"/>
      <c r="I37" s="201"/>
      <c r="J37" s="201"/>
      <c r="K37" s="201"/>
      <c r="L37" s="201"/>
      <c r="M37" s="201"/>
      <c r="N37" s="201"/>
      <c r="O37" s="201"/>
      <c r="P37" s="201"/>
      <c r="Q37" s="201"/>
      <c r="R37" s="201"/>
      <c r="S37" s="201"/>
      <c r="T37" s="201"/>
      <c r="Y37" s="311"/>
      <c r="Z37" s="311"/>
      <c r="AA37" s="311"/>
      <c r="AB37" s="311"/>
    </row>
    <row r="38" spans="2:28" ht="16.5" customHeight="1">
      <c r="B38" s="203"/>
      <c r="D38" s="243"/>
      <c r="G38" s="201"/>
      <c r="H38" s="201"/>
      <c r="I38" s="201"/>
      <c r="J38" s="201"/>
      <c r="K38" s="201"/>
      <c r="L38" s="201"/>
      <c r="M38" s="201"/>
      <c r="N38" s="201"/>
      <c r="O38" s="201"/>
      <c r="P38" s="201"/>
      <c r="Q38" s="201"/>
      <c r="R38" s="201"/>
      <c r="S38" s="201"/>
      <c r="T38" s="201"/>
      <c r="Y38" s="311"/>
      <c r="Z38" s="311"/>
      <c r="AA38" s="311"/>
      <c r="AB38" s="311"/>
    </row>
    <row r="39" spans="2:28" ht="13.5" customHeight="1">
      <c r="B39" s="261"/>
      <c r="C39" s="448" t="s">
        <v>89</v>
      </c>
      <c r="D39" s="449"/>
      <c r="E39" s="449"/>
      <c r="F39" s="449"/>
      <c r="G39" s="449"/>
      <c r="H39" s="449"/>
      <c r="I39" s="449"/>
      <c r="J39" s="449"/>
      <c r="K39" s="449"/>
      <c r="L39" s="449"/>
      <c r="M39" s="449"/>
      <c r="N39" s="449"/>
      <c r="O39" s="449"/>
      <c r="P39" s="449"/>
      <c r="Q39" s="449"/>
      <c r="R39" s="265"/>
    </row>
    <row r="40" spans="2:28" ht="13.5" customHeight="1">
      <c r="B40" s="264"/>
      <c r="C40" s="263"/>
      <c r="D40" s="263"/>
      <c r="E40" s="263"/>
      <c r="F40" s="263"/>
      <c r="G40" s="265"/>
      <c r="H40" s="265"/>
      <c r="I40" s="265"/>
      <c r="J40" s="265"/>
      <c r="K40" s="265"/>
      <c r="L40" s="243"/>
      <c r="M40" s="243"/>
      <c r="N40" s="265"/>
      <c r="O40" s="265"/>
      <c r="P40" s="265"/>
      <c r="Q40" s="265"/>
      <c r="R40" s="265"/>
    </row>
    <row r="41" spans="2:28">
      <c r="B41" s="266"/>
      <c r="C41" s="450" t="s">
        <v>90</v>
      </c>
      <c r="D41" s="449"/>
      <c r="E41" s="449"/>
      <c r="F41" s="449"/>
      <c r="G41" s="449"/>
      <c r="H41" s="449"/>
      <c r="I41" s="449"/>
      <c r="J41" s="449"/>
      <c r="K41" s="449"/>
      <c r="L41" s="449"/>
      <c r="M41" s="449"/>
      <c r="N41" s="449"/>
      <c r="O41" s="449"/>
      <c r="P41" s="449"/>
      <c r="Q41" s="449"/>
      <c r="R41" s="449"/>
      <c r="S41" s="449"/>
      <c r="T41" s="316"/>
      <c r="U41" s="206"/>
      <c r="V41" s="206"/>
    </row>
    <row r="42" spans="2:28">
      <c r="B42" s="451" t="s">
        <v>91</v>
      </c>
      <c r="C42" s="451"/>
      <c r="D42" s="451"/>
      <c r="E42" s="451"/>
      <c r="F42" s="451"/>
      <c r="G42" s="451"/>
      <c r="H42" s="451"/>
      <c r="I42" s="451"/>
      <c r="J42" s="451"/>
      <c r="K42" s="451"/>
      <c r="L42" s="451"/>
      <c r="M42" s="451"/>
      <c r="N42" s="451"/>
      <c r="O42" s="451"/>
      <c r="P42" s="451"/>
      <c r="Q42" s="451"/>
      <c r="R42" s="451"/>
    </row>
    <row r="43" spans="2:28">
      <c r="B43" s="451" t="s">
        <v>92</v>
      </c>
      <c r="C43" s="451"/>
      <c r="D43" s="451"/>
      <c r="E43" s="451"/>
      <c r="F43" s="451"/>
      <c r="G43" s="451"/>
      <c r="H43" s="451"/>
      <c r="I43" s="451"/>
      <c r="J43" s="451"/>
      <c r="K43" s="451"/>
      <c r="L43" s="451"/>
      <c r="M43" s="451"/>
      <c r="N43" s="451"/>
      <c r="O43" s="451"/>
      <c r="P43" s="451"/>
      <c r="Q43" s="451"/>
      <c r="R43" s="451"/>
    </row>
    <row r="44" spans="2:28">
      <c r="B44" s="452" t="s">
        <v>93</v>
      </c>
      <c r="C44" s="452"/>
      <c r="D44" s="452"/>
      <c r="E44" s="452"/>
      <c r="F44" s="452"/>
      <c r="G44" s="452"/>
      <c r="H44" s="452"/>
      <c r="I44" s="452"/>
      <c r="J44" s="452"/>
      <c r="K44" s="452"/>
      <c r="L44" s="452"/>
      <c r="M44" s="452"/>
      <c r="N44" s="452"/>
      <c r="O44" s="452"/>
      <c r="P44" s="452"/>
      <c r="Q44" s="452"/>
      <c r="R44" s="452"/>
    </row>
    <row r="45" spans="2:28">
      <c r="B45" s="267"/>
      <c r="C45" s="452" t="s">
        <v>94</v>
      </c>
      <c r="D45" s="452"/>
      <c r="E45" s="452"/>
      <c r="F45" s="452"/>
      <c r="G45" s="452"/>
      <c r="H45" s="452"/>
      <c r="I45" s="452"/>
      <c r="J45" s="452"/>
      <c r="K45" s="452"/>
      <c r="L45" s="452"/>
      <c r="M45" s="452"/>
      <c r="N45" s="452"/>
      <c r="O45" s="452"/>
      <c r="P45" s="452"/>
      <c r="Q45" s="452"/>
      <c r="R45" s="452"/>
    </row>
    <row r="46" spans="2:28">
      <c r="B46" s="267"/>
      <c r="C46" s="452" t="s">
        <v>95</v>
      </c>
      <c r="D46" s="452"/>
      <c r="E46" s="452"/>
      <c r="F46" s="452"/>
      <c r="G46" s="452"/>
      <c r="H46" s="452"/>
      <c r="I46" s="452"/>
      <c r="J46" s="452"/>
      <c r="K46" s="452"/>
      <c r="L46" s="452"/>
      <c r="M46" s="452"/>
      <c r="N46" s="452"/>
      <c r="O46" s="452"/>
      <c r="P46" s="452"/>
      <c r="Q46" s="452"/>
      <c r="R46" s="452"/>
    </row>
    <row r="47" spans="2:28">
      <c r="L47" s="285"/>
      <c r="M47" s="285"/>
      <c r="N47" s="286"/>
      <c r="O47" s="286"/>
    </row>
    <row r="48" spans="2:28">
      <c r="B48" s="262"/>
      <c r="C48" s="448" t="s">
        <v>96</v>
      </c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265"/>
    </row>
    <row r="49" spans="2:40">
      <c r="L49" s="285"/>
      <c r="M49" s="285"/>
      <c r="N49" s="286"/>
      <c r="O49" s="286"/>
    </row>
    <row r="50" spans="2:40" ht="15" customHeight="1">
      <c r="B50" s="452" t="s">
        <v>97</v>
      </c>
      <c r="C50" s="452"/>
      <c r="D50" s="452"/>
      <c r="E50" s="452"/>
      <c r="F50" s="452"/>
      <c r="G50" s="452"/>
      <c r="H50" s="452"/>
      <c r="I50" s="452"/>
      <c r="J50" s="452"/>
      <c r="K50" s="452"/>
      <c r="L50" s="452"/>
      <c r="M50" s="452"/>
      <c r="N50" s="452"/>
      <c r="O50" s="452"/>
      <c r="P50" s="452"/>
    </row>
    <row r="51" spans="2:40" ht="15" customHeight="1">
      <c r="B51" s="267"/>
      <c r="C51" s="452" t="s">
        <v>98</v>
      </c>
      <c r="D51" s="452"/>
      <c r="E51" s="452"/>
      <c r="F51" s="452"/>
      <c r="G51" s="452"/>
      <c r="H51" s="452"/>
      <c r="I51" s="452"/>
      <c r="J51" s="452"/>
      <c r="K51" s="452"/>
      <c r="L51" s="452"/>
      <c r="M51" s="452"/>
      <c r="N51" s="452"/>
      <c r="O51" s="452"/>
      <c r="P51" s="452"/>
      <c r="Q51" s="452"/>
      <c r="R51" s="452"/>
      <c r="S51" s="452"/>
      <c r="T51" s="452"/>
    </row>
    <row r="52" spans="2:40" ht="15" customHeight="1">
      <c r="B52" s="267"/>
      <c r="C52" s="452" t="s">
        <v>99</v>
      </c>
      <c r="D52" s="452"/>
      <c r="E52" s="452"/>
      <c r="F52" s="452"/>
      <c r="G52" s="452"/>
      <c r="H52" s="452"/>
      <c r="I52" s="452"/>
      <c r="J52" s="452"/>
      <c r="K52" s="452"/>
      <c r="L52" s="452"/>
      <c r="M52" s="452"/>
      <c r="N52" s="452"/>
      <c r="O52" s="452"/>
      <c r="P52" s="452"/>
      <c r="Q52" s="452"/>
      <c r="R52" s="452"/>
      <c r="S52" s="452"/>
      <c r="T52" s="452"/>
      <c r="U52" s="452"/>
      <c r="V52" s="452"/>
      <c r="AE52" s="358"/>
      <c r="AF52" s="359"/>
      <c r="AG52" s="201"/>
      <c r="AH52" s="358"/>
      <c r="AI52" s="359"/>
      <c r="AK52" s="359"/>
      <c r="AL52" s="358"/>
      <c r="AM52" s="201"/>
      <c r="AN52" s="201"/>
    </row>
    <row r="53" spans="2:40" ht="15" customHeight="1">
      <c r="B53" s="267"/>
      <c r="C53" s="452" t="s">
        <v>100</v>
      </c>
      <c r="D53" s="452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Q53" s="452"/>
      <c r="R53" s="452"/>
      <c r="S53" s="452"/>
      <c r="T53" s="452"/>
      <c r="U53" s="267"/>
      <c r="V53" s="267"/>
      <c r="AE53" s="358"/>
      <c r="AF53" s="359"/>
      <c r="AG53" s="201"/>
      <c r="AH53" s="358"/>
      <c r="AI53" s="359"/>
      <c r="AK53" s="359"/>
      <c r="AL53" s="358"/>
      <c r="AM53" s="201"/>
      <c r="AN53" s="201"/>
    </row>
    <row r="54" spans="2:40" ht="15" customHeight="1">
      <c r="B54" s="267"/>
      <c r="C54" s="452" t="s">
        <v>101</v>
      </c>
      <c r="D54" s="452"/>
      <c r="E54" s="452"/>
      <c r="F54" s="452"/>
      <c r="G54" s="452"/>
      <c r="H54" s="452"/>
      <c r="I54" s="452"/>
      <c r="J54" s="452"/>
      <c r="K54" s="452"/>
      <c r="L54" s="452"/>
      <c r="M54" s="452"/>
      <c r="N54" s="452"/>
      <c r="O54" s="452"/>
      <c r="P54" s="452"/>
      <c r="Q54" s="452"/>
      <c r="R54" s="452"/>
      <c r="S54" s="452"/>
      <c r="T54" s="452"/>
      <c r="U54" s="452"/>
      <c r="V54" s="452"/>
      <c r="AE54" s="358"/>
      <c r="AF54" s="359"/>
      <c r="AG54" s="201"/>
      <c r="AH54" s="358"/>
      <c r="AI54" s="359"/>
      <c r="AK54" s="359"/>
      <c r="AL54" s="358"/>
      <c r="AM54" s="201"/>
      <c r="AN54" s="201"/>
    </row>
    <row r="55" spans="2:40" ht="15" customHeight="1">
      <c r="B55" s="267"/>
      <c r="C55" s="452" t="s">
        <v>102</v>
      </c>
      <c r="D55" s="452"/>
      <c r="E55" s="452"/>
      <c r="F55" s="452"/>
      <c r="G55" s="452"/>
      <c r="H55" s="452"/>
      <c r="I55" s="452"/>
      <c r="J55" s="452"/>
      <c r="K55" s="452"/>
      <c r="L55" s="452"/>
      <c r="M55" s="452"/>
      <c r="N55" s="452"/>
      <c r="O55" s="452"/>
      <c r="P55" s="452"/>
      <c r="Q55" s="452"/>
      <c r="R55" s="452"/>
      <c r="S55" s="452"/>
      <c r="T55" s="452"/>
      <c r="U55" s="452"/>
      <c r="V55" s="452"/>
      <c r="AE55" s="358"/>
      <c r="AF55" s="359"/>
      <c r="AG55" s="201"/>
      <c r="AH55" s="358"/>
      <c r="AI55" s="359"/>
      <c r="AK55" s="359"/>
      <c r="AL55" s="358"/>
      <c r="AM55" s="201"/>
      <c r="AN55" s="201"/>
    </row>
    <row r="56" spans="2:40" ht="15" customHeight="1">
      <c r="B56" s="267"/>
      <c r="C56" s="453" t="s">
        <v>103</v>
      </c>
      <c r="D56" s="453"/>
      <c r="E56" s="453"/>
      <c r="F56" s="453"/>
      <c r="G56" s="453"/>
      <c r="H56" s="453"/>
      <c r="I56" s="453"/>
      <c r="J56" s="453"/>
      <c r="K56" s="453"/>
      <c r="L56" s="453"/>
      <c r="M56" s="453"/>
      <c r="N56" s="453"/>
      <c r="O56" s="453"/>
      <c r="P56" s="453"/>
      <c r="Q56" s="267"/>
      <c r="R56" s="267"/>
      <c r="S56" s="267"/>
      <c r="T56" s="267"/>
      <c r="U56" s="267"/>
      <c r="V56" s="267"/>
      <c r="AE56" s="358"/>
      <c r="AF56" s="359"/>
      <c r="AG56" s="201"/>
      <c r="AH56" s="358"/>
      <c r="AI56" s="359"/>
      <c r="AK56" s="359"/>
      <c r="AL56" s="358"/>
      <c r="AM56" s="201"/>
      <c r="AN56" s="201"/>
    </row>
    <row r="57" spans="2:40">
      <c r="C57" s="454" t="s">
        <v>104</v>
      </c>
      <c r="D57" s="454"/>
      <c r="E57" s="454"/>
      <c r="F57" s="454"/>
      <c r="G57" s="454"/>
      <c r="H57" s="454"/>
      <c r="I57" s="454"/>
      <c r="J57" s="454"/>
      <c r="K57" s="454"/>
      <c r="L57" s="454"/>
      <c r="M57" s="454"/>
      <c r="N57" s="454"/>
      <c r="O57" s="454"/>
      <c r="P57" s="454"/>
      <c r="Q57" s="454"/>
      <c r="R57" s="454"/>
      <c r="AE57" s="358"/>
      <c r="AF57" s="359"/>
      <c r="AG57" s="201"/>
      <c r="AH57" s="358"/>
      <c r="AI57" s="359"/>
      <c r="AK57" s="359"/>
      <c r="AL57" s="358"/>
      <c r="AM57" s="201"/>
      <c r="AN57" s="201"/>
    </row>
    <row r="58" spans="2:40">
      <c r="B58" s="268"/>
      <c r="C58" s="455" t="s">
        <v>105</v>
      </c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</row>
    <row r="59" spans="2:40">
      <c r="B59" s="268"/>
      <c r="C59" s="268"/>
      <c r="D59" s="268"/>
      <c r="E59" s="268"/>
      <c r="F59" s="268"/>
      <c r="G59" s="269"/>
      <c r="H59" s="269"/>
      <c r="I59" s="269"/>
      <c r="J59" s="269"/>
      <c r="K59" s="269"/>
      <c r="L59" s="287"/>
      <c r="M59" s="287"/>
      <c r="N59" s="269"/>
      <c r="O59" s="269"/>
    </row>
    <row r="60" spans="2:40">
      <c r="C60" s="452" t="s">
        <v>106</v>
      </c>
      <c r="D60" s="452"/>
      <c r="E60" s="452"/>
      <c r="F60" s="452"/>
      <c r="G60" s="452"/>
      <c r="H60" s="452"/>
      <c r="I60" s="452"/>
      <c r="J60" s="452"/>
      <c r="K60" s="452"/>
      <c r="L60" s="452"/>
      <c r="M60" s="452"/>
      <c r="N60" s="452"/>
      <c r="O60" s="452"/>
      <c r="P60" s="452"/>
      <c r="Q60" s="452"/>
      <c r="R60" s="452"/>
      <c r="S60" s="452"/>
      <c r="T60" s="452"/>
    </row>
    <row r="61" spans="2:40">
      <c r="C61" s="452" t="s">
        <v>107</v>
      </c>
      <c r="D61" s="452"/>
      <c r="E61" s="452"/>
      <c r="F61" s="452"/>
      <c r="G61" s="452"/>
      <c r="H61" s="452"/>
      <c r="I61" s="452"/>
      <c r="J61" s="452"/>
      <c r="K61" s="452"/>
      <c r="L61" s="452"/>
      <c r="M61" s="452"/>
      <c r="N61" s="452"/>
      <c r="O61" s="452"/>
      <c r="P61" s="452"/>
      <c r="Q61" s="452"/>
      <c r="R61" s="452"/>
      <c r="S61" s="317"/>
      <c r="T61" s="317"/>
    </row>
    <row r="62" spans="2:40">
      <c r="C62" s="452" t="s">
        <v>108</v>
      </c>
      <c r="D62" s="452"/>
      <c r="E62" s="452"/>
      <c r="F62" s="452"/>
      <c r="G62" s="452"/>
      <c r="H62" s="452"/>
      <c r="I62" s="452"/>
      <c r="J62" s="452"/>
      <c r="K62" s="452"/>
      <c r="L62" s="452"/>
      <c r="M62" s="452"/>
      <c r="N62" s="452"/>
      <c r="O62" s="452"/>
      <c r="P62" s="452"/>
      <c r="Q62" s="452"/>
      <c r="R62" s="452"/>
      <c r="S62" s="456"/>
      <c r="T62" s="456"/>
    </row>
    <row r="64" spans="2:40">
      <c r="N64" s="457" t="s">
        <v>109</v>
      </c>
      <c r="O64" s="457"/>
      <c r="P64" s="457"/>
      <c r="Q64" s="457"/>
      <c r="R64" s="457"/>
      <c r="S64" s="457"/>
      <c r="T64" s="457"/>
    </row>
    <row r="65" spans="16:20">
      <c r="P65" s="288"/>
      <c r="Q65" s="288"/>
      <c r="R65" s="288"/>
      <c r="S65" s="288"/>
      <c r="T65" s="288"/>
    </row>
    <row r="81" spans="10:14">
      <c r="J81" s="595"/>
      <c r="K81" s="595"/>
      <c r="L81" s="595"/>
      <c r="M81" s="595"/>
      <c r="N81" s="595"/>
    </row>
    <row r="82" spans="10:14">
      <c r="J82" s="595"/>
      <c r="K82" s="595"/>
      <c r="L82" s="595"/>
      <c r="M82" s="595"/>
      <c r="N82" s="595"/>
    </row>
  </sheetData>
  <sheetProtection algorithmName="SHA-512" hashValue="9RsifdgaK5ZogGeUKvkNDAyJ/L17Q8/vUogxwH5P2O/mxYKzgQWOAfognLTVv68Liz3VmN7DjKBaUszCnejEsg==" saltValue="GuNNd+r5poE03F92hth3vQ==" spinCount="100000" sheet="1" objects="1" scenarios="1" selectLockedCells="1"/>
  <protectedRanges>
    <protectedRange sqref="W6:X7 H30" name="区域1" securityDescriptor=""/>
  </protectedRanges>
  <mergeCells count="302">
    <mergeCell ref="V2:W3"/>
    <mergeCell ref="J81:N82"/>
    <mergeCell ref="V28:W29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</mergeCells>
  <phoneticPr fontId="57" type="noConversion"/>
  <conditionalFormatting sqref="L11:L26 L31 L28:L29">
    <cfRule type="cellIs" dxfId="58" priority="1" stopIfTrue="1" operator="between">
      <formula>0</formula>
      <formula>6</formula>
    </cfRule>
    <cfRule type="cellIs" dxfId="57" priority="2" stopIfTrue="1" operator="between">
      <formula>0</formula>
      <formula>-6</formula>
    </cfRule>
  </conditionalFormatting>
  <conditionalFormatting sqref="F11">
    <cfRule type="expression" dxfId="56" priority="3" stopIfTrue="1">
      <formula>COUNTIF($F$11:F25,F11)&gt;1</formula>
    </cfRule>
  </conditionalFormatting>
  <conditionalFormatting sqref="T11:T12">
    <cfRule type="expression" dxfId="55" priority="4" stopIfTrue="1">
      <formula>$T$11&lt;$G$11</formula>
    </cfRule>
    <cfRule type="expression" dxfId="54" priority="5" stopIfTrue="1">
      <formula>$T$11&gt;=$G$11</formula>
    </cfRule>
    <cfRule type="cellIs" dxfId="53" priority="6" stopIfTrue="1" operator="equal">
      <formula>0</formula>
    </cfRule>
  </conditionalFormatting>
  <conditionalFormatting sqref="T13:T14">
    <cfRule type="expression" dxfId="52" priority="7" stopIfTrue="1">
      <formula>$T$13&lt;$G$13</formula>
    </cfRule>
    <cfRule type="expression" dxfId="51" priority="8" stopIfTrue="1">
      <formula>$T$13&gt;=$G$13</formula>
    </cfRule>
  </conditionalFormatting>
  <conditionalFormatting sqref="T23:T24">
    <cfRule type="expression" dxfId="50" priority="9" stopIfTrue="1">
      <formula>$T$23&lt;$G$23</formula>
    </cfRule>
    <cfRule type="expression" dxfId="49" priority="10" stopIfTrue="1">
      <formula>$T$23&gt;=$G$23</formula>
    </cfRule>
  </conditionalFormatting>
  <conditionalFormatting sqref="T25:T26 T28:T29">
    <cfRule type="expression" dxfId="48" priority="11" stopIfTrue="1">
      <formula>$T$25&lt;$G$25</formula>
    </cfRule>
    <cfRule type="expression" dxfId="47" priority="12" stopIfTrue="1">
      <formula>$T$25&gt;=$G$25</formula>
    </cfRule>
  </conditionalFormatting>
  <conditionalFormatting sqref="K25:K26">
    <cfRule type="expression" dxfId="46" priority="13" stopIfTrue="1">
      <formula>ISERROR($K$25)</formula>
    </cfRule>
  </conditionalFormatting>
  <conditionalFormatting sqref="Q25:R26">
    <cfRule type="expression" dxfId="45" priority="14" stopIfTrue="1">
      <formula>ISERROR($R$25)</formula>
    </cfRule>
  </conditionalFormatting>
  <conditionalFormatting sqref="M31:M32">
    <cfRule type="expression" dxfId="44" priority="15" stopIfTrue="1">
      <formula>ISERROR($M$31)</formula>
    </cfRule>
  </conditionalFormatting>
  <conditionalFormatting sqref="V11">
    <cfRule type="expression" dxfId="43" priority="16" stopIfTrue="1">
      <formula>$V$11&gt;=$N$11</formula>
    </cfRule>
    <cfRule type="expression" dxfId="42" priority="17" stopIfTrue="1">
      <formula>$V$11&lt;$N$11</formula>
    </cfRule>
  </conditionalFormatting>
  <conditionalFormatting sqref="V13:V14">
    <cfRule type="expression" dxfId="41" priority="18" stopIfTrue="1">
      <formula>$V$13&lt;$N$13</formula>
    </cfRule>
    <cfRule type="expression" dxfId="40" priority="19" stopIfTrue="1">
      <formula>$V$13&gt;=$N$13</formula>
    </cfRule>
  </conditionalFormatting>
  <conditionalFormatting sqref="V15:V16">
    <cfRule type="expression" dxfId="39" priority="20" stopIfTrue="1">
      <formula>$V$15&lt;$N$15</formula>
    </cfRule>
    <cfRule type="expression" dxfId="38" priority="21" stopIfTrue="1">
      <formula>$V$15&gt;=$N$15</formula>
    </cfRule>
  </conditionalFormatting>
  <conditionalFormatting sqref="V17:V18">
    <cfRule type="expression" dxfId="37" priority="22" stopIfTrue="1">
      <formula>$V$17&lt;$N$17</formula>
    </cfRule>
    <cfRule type="expression" dxfId="36" priority="23" stopIfTrue="1">
      <formula>$V$17&gt;=$N$17</formula>
    </cfRule>
  </conditionalFormatting>
  <conditionalFormatting sqref="V19:V20">
    <cfRule type="expression" dxfId="35" priority="24" stopIfTrue="1">
      <formula>$V$19&lt;$N$19</formula>
    </cfRule>
    <cfRule type="expression" dxfId="34" priority="25" stopIfTrue="1">
      <formula>$V$19&gt;=$N$19</formula>
    </cfRule>
  </conditionalFormatting>
  <conditionalFormatting sqref="V21:V22">
    <cfRule type="expression" dxfId="33" priority="26" stopIfTrue="1">
      <formula>$V$21&lt;$N$21</formula>
    </cfRule>
    <cfRule type="expression" dxfId="32" priority="27" stopIfTrue="1">
      <formula>$V$21&gt;=$N$21</formula>
    </cfRule>
  </conditionalFormatting>
  <conditionalFormatting sqref="V23:V24">
    <cfRule type="expression" dxfId="31" priority="28" stopIfTrue="1">
      <formula>$V$23&lt;$N$23</formula>
    </cfRule>
    <cfRule type="expression" dxfId="30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28" priority="31" stopIfTrue="1">
      <formula>$V$25&gt;=$N$25</formula>
    </cfRule>
  </conditionalFormatting>
  <conditionalFormatting sqref="O21:P26 O28:P29 K21:K24 Q21:R24">
    <cfRule type="expression" dxfId="27" priority="32" stopIfTrue="1">
      <formula>ISERROR(K21)</formula>
    </cfRule>
  </conditionalFormatting>
  <conditionalFormatting sqref="T15">
    <cfRule type="expression" dxfId="26" priority="33" stopIfTrue="1">
      <formula>$T$15&lt;$G$15</formula>
    </cfRule>
    <cfRule type="expression" dxfId="25" priority="34" stopIfTrue="1">
      <formula>$T$15&gt;=$G$15</formula>
    </cfRule>
  </conditionalFormatting>
  <conditionalFormatting sqref="T17:T18">
    <cfRule type="expression" dxfId="24" priority="35" stopIfTrue="1">
      <formula>$T$17&lt;$G$17</formula>
    </cfRule>
    <cfRule type="expression" dxfId="23" priority="36" stopIfTrue="1">
      <formula>$T$17&gt;=$G$17</formula>
    </cfRule>
  </conditionalFormatting>
  <conditionalFormatting sqref="T19:T20">
    <cfRule type="expression" dxfId="22" priority="37" stopIfTrue="1">
      <formula>$T$19&lt;$G$19</formula>
    </cfRule>
    <cfRule type="expression" dxfId="21" priority="38" stopIfTrue="1">
      <formula>$T$19&gt;=$G$19</formula>
    </cfRule>
  </conditionalFormatting>
  <conditionalFormatting sqref="T21:T22">
    <cfRule type="expression" dxfId="20" priority="39" stopIfTrue="1">
      <formula>$T$21&lt;$G$21</formula>
    </cfRule>
    <cfRule type="expression" dxfId="19" priority="40" stopIfTrue="1">
      <formula>$T$21&gt;=$G$21</formula>
    </cfRule>
  </conditionalFormatting>
  <conditionalFormatting sqref="F23 F21">
    <cfRule type="expression" dxfId="18" priority="41" stopIfTrue="1">
      <formula>COUNTIF($F$11:F40,F21)&gt;1</formula>
    </cfRule>
  </conditionalFormatting>
  <conditionalFormatting sqref="F25">
    <cfRule type="expression" dxfId="17" priority="42" stopIfTrue="1">
      <formula>COUNTIF($F$11:F43,F25)&gt;1</formula>
    </cfRule>
  </conditionalFormatting>
  <conditionalFormatting sqref="F15 F28">
    <cfRule type="expression" dxfId="16" priority="43" stopIfTrue="1">
      <formula>COUNTIF($F$11:F31,F15)&gt;1</formula>
    </cfRule>
  </conditionalFormatting>
  <conditionalFormatting sqref="O31:O32">
    <cfRule type="expression" dxfId="15" priority="44" stopIfTrue="1">
      <formula>$O$31&lt;$I$31</formula>
    </cfRule>
    <cfRule type="expression" dxfId="14" priority="45" stopIfTrue="1">
      <formula>$O$31&gt;=$I$31</formula>
    </cfRule>
  </conditionalFormatting>
  <conditionalFormatting sqref="Q31:Q32">
    <cfRule type="expression" dxfId="13" priority="46" stopIfTrue="1">
      <formula>$Q$31&lt;$I$31</formula>
    </cfRule>
    <cfRule type="expression" dxfId="12" priority="47" stopIfTrue="1">
      <formula>$Q$31&gt;=$I$31</formula>
    </cfRule>
  </conditionalFormatting>
  <conditionalFormatting sqref="J31:J32">
    <cfRule type="expression" dxfId="11" priority="48" stopIfTrue="1">
      <formula>$J$31&lt;$N$31</formula>
    </cfRule>
    <cfRule type="expression" dxfId="10" priority="49" stopIfTrue="1">
      <formula>$J$31&gt;=$N$31</formula>
    </cfRule>
  </conditionalFormatting>
  <conditionalFormatting sqref="F19">
    <cfRule type="expression" dxfId="9" priority="50" stopIfTrue="1">
      <formula>COUNTIF($F$11:F32,F19)&gt;1</formula>
    </cfRule>
  </conditionalFormatting>
  <conditionalFormatting sqref="F17 F13">
    <cfRule type="expression" dxfId="8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pane ySplit="1" topLeftCell="A2" activePane="bottomLeft" state="frozen"/>
      <selection pane="bottomLeft" activeCell="B8" sqref="B8:E8"/>
    </sheetView>
  </sheetViews>
  <sheetFormatPr defaultColWidth="9" defaultRowHeight="18" customHeight="1"/>
  <cols>
    <col min="1" max="1" width="10" style="6" customWidth="1"/>
    <col min="2" max="3" width="12.5" style="193" customWidth="1"/>
    <col min="4" max="4" width="13.25" style="193" customWidth="1"/>
    <col min="5" max="5" width="13" style="193" customWidth="1"/>
    <col min="6" max="16384" width="9" style="6"/>
  </cols>
  <sheetData>
    <row r="1" spans="1:5" s="192" customFormat="1" ht="18" customHeight="1">
      <c r="A1" s="23" t="s">
        <v>110</v>
      </c>
      <c r="B1" s="194" t="s">
        <v>46</v>
      </c>
      <c r="C1" s="194" t="s">
        <v>47</v>
      </c>
      <c r="D1" s="194" t="s">
        <v>48</v>
      </c>
      <c r="E1" s="194" t="s">
        <v>53</v>
      </c>
    </row>
    <row r="2" spans="1:5" ht="18" customHeight="1">
      <c r="A2" s="195" t="s">
        <v>111</v>
      </c>
      <c r="B2" s="196">
        <v>2</v>
      </c>
      <c r="C2" s="196">
        <v>1.2</v>
      </c>
      <c r="D2" s="196">
        <v>2</v>
      </c>
      <c r="E2" s="196">
        <v>2</v>
      </c>
    </row>
    <row r="3" spans="1:5" ht="18" customHeight="1">
      <c r="A3" s="197" t="s">
        <v>112</v>
      </c>
      <c r="B3" s="198">
        <v>1</v>
      </c>
      <c r="C3" s="198">
        <v>2.6</v>
      </c>
      <c r="D3" s="198">
        <v>1.5</v>
      </c>
      <c r="E3" s="198">
        <v>0.8</v>
      </c>
    </row>
    <row r="4" spans="1:5" ht="18" customHeight="1">
      <c r="A4" s="197" t="s">
        <v>113</v>
      </c>
      <c r="B4" s="198">
        <v>1</v>
      </c>
      <c r="C4" s="198">
        <v>2.7</v>
      </c>
      <c r="D4" s="198">
        <v>1.5</v>
      </c>
      <c r="E4" s="198">
        <v>0.8</v>
      </c>
    </row>
    <row r="5" spans="1:5" ht="18" customHeight="1">
      <c r="A5" s="197" t="s">
        <v>114</v>
      </c>
      <c r="B5" s="198">
        <v>1.5</v>
      </c>
      <c r="C5" s="198">
        <v>2.2000000000000002</v>
      </c>
      <c r="D5" s="198">
        <v>1.2</v>
      </c>
      <c r="E5" s="198">
        <v>1</v>
      </c>
    </row>
    <row r="6" spans="1:5" ht="18" customHeight="1">
      <c r="A6" s="197" t="s">
        <v>115</v>
      </c>
      <c r="B6" s="198">
        <v>1.8</v>
      </c>
      <c r="C6" s="198">
        <v>1.8</v>
      </c>
      <c r="D6" s="198">
        <v>1.3</v>
      </c>
      <c r="E6" s="198">
        <v>1.5</v>
      </c>
    </row>
    <row r="7" spans="1:5" ht="18" customHeight="1">
      <c r="A7" s="197" t="s">
        <v>116</v>
      </c>
      <c r="B7" s="198">
        <v>1.5</v>
      </c>
      <c r="C7" s="198">
        <v>1.5</v>
      </c>
      <c r="D7" s="198">
        <v>1.8</v>
      </c>
      <c r="E7" s="198">
        <v>1.8</v>
      </c>
    </row>
    <row r="8" spans="1:5" ht="18" customHeight="1">
      <c r="A8" s="199" t="s">
        <v>117</v>
      </c>
      <c r="B8" s="198">
        <v>1.2</v>
      </c>
      <c r="C8" s="198">
        <v>1.5</v>
      </c>
      <c r="D8" s="198">
        <v>1.5</v>
      </c>
      <c r="E8" s="198">
        <v>1</v>
      </c>
    </row>
    <row r="9" spans="1:5" ht="18" customHeight="1">
      <c r="A9" s="197" t="s">
        <v>118</v>
      </c>
      <c r="B9" s="198">
        <v>1</v>
      </c>
      <c r="C9" s="198">
        <v>2.5</v>
      </c>
      <c r="D9" s="198">
        <v>1</v>
      </c>
      <c r="E9" s="198">
        <v>0.8</v>
      </c>
    </row>
    <row r="10" spans="1:5" ht="18" customHeight="1">
      <c r="A10" s="197" t="s">
        <v>119</v>
      </c>
      <c r="B10" s="198">
        <v>1</v>
      </c>
      <c r="C10" s="198">
        <v>1.2</v>
      </c>
      <c r="D10" s="198">
        <v>2</v>
      </c>
      <c r="E10" s="198">
        <v>1.4</v>
      </c>
    </row>
    <row r="11" spans="1:5" ht="18" customHeight="1">
      <c r="A11" s="197" t="s">
        <v>120</v>
      </c>
      <c r="B11" s="198">
        <v>1.2</v>
      </c>
      <c r="C11" s="198">
        <v>2.5</v>
      </c>
      <c r="D11" s="198">
        <v>1.1000000000000001</v>
      </c>
      <c r="E11" s="198">
        <v>1.5</v>
      </c>
    </row>
    <row r="12" spans="1:5" ht="18" customHeight="1">
      <c r="A12" s="197" t="s">
        <v>121</v>
      </c>
      <c r="B12" s="198">
        <v>1</v>
      </c>
      <c r="C12" s="198">
        <v>1.2</v>
      </c>
      <c r="D12" s="198">
        <v>2</v>
      </c>
      <c r="E12" s="198">
        <v>0.8</v>
      </c>
    </row>
    <row r="13" spans="1:5" ht="18" customHeight="1">
      <c r="A13" s="199" t="s">
        <v>122</v>
      </c>
      <c r="B13" s="198">
        <v>1.5</v>
      </c>
      <c r="C13" s="198">
        <v>1</v>
      </c>
      <c r="D13" s="198">
        <v>2</v>
      </c>
      <c r="E13" s="198">
        <v>0.4</v>
      </c>
    </row>
    <row r="14" spans="1:5" ht="18" customHeight="1">
      <c r="A14" s="197" t="s">
        <v>123</v>
      </c>
      <c r="B14" s="198">
        <v>1.2</v>
      </c>
      <c r="C14" s="198">
        <v>2.5</v>
      </c>
      <c r="D14" s="198">
        <v>1.1000000000000001</v>
      </c>
      <c r="E14" s="198">
        <v>1.5</v>
      </c>
    </row>
    <row r="15" spans="1:5" ht="18" customHeight="1">
      <c r="A15" s="199" t="s">
        <v>124</v>
      </c>
      <c r="B15" s="198">
        <v>1.2</v>
      </c>
      <c r="C15" s="198">
        <v>2</v>
      </c>
      <c r="D15" s="198">
        <v>1.4</v>
      </c>
      <c r="E15" s="198">
        <v>1</v>
      </c>
    </row>
    <row r="16" spans="1:5" ht="18" customHeight="1">
      <c r="A16" s="197" t="s">
        <v>125</v>
      </c>
      <c r="B16" s="198">
        <v>2.5</v>
      </c>
      <c r="C16" s="198">
        <v>1</v>
      </c>
      <c r="D16" s="198">
        <v>1.5</v>
      </c>
      <c r="E16" s="198">
        <v>1.8</v>
      </c>
    </row>
    <row r="17" spans="1:5" ht="18" customHeight="1">
      <c r="A17" s="197" t="s">
        <v>126</v>
      </c>
      <c r="B17" s="198">
        <v>2.5</v>
      </c>
      <c r="C17" s="198">
        <v>1</v>
      </c>
      <c r="D17" s="198">
        <v>1.5</v>
      </c>
      <c r="E17" s="198">
        <v>1.8</v>
      </c>
    </row>
    <row r="18" spans="1:5" ht="18" customHeight="1">
      <c r="A18" s="197" t="s">
        <v>127</v>
      </c>
      <c r="B18" s="198">
        <v>1.5</v>
      </c>
      <c r="C18" s="198">
        <v>2.2000000000000002</v>
      </c>
      <c r="D18" s="198">
        <v>1.2</v>
      </c>
      <c r="E18" s="198">
        <v>1.5</v>
      </c>
    </row>
    <row r="19" spans="1:5" ht="18" customHeight="1">
      <c r="A19" s="197" t="s">
        <v>128</v>
      </c>
      <c r="B19" s="198">
        <v>1</v>
      </c>
      <c r="C19" s="198">
        <v>2</v>
      </c>
      <c r="D19" s="198">
        <v>1.2</v>
      </c>
      <c r="E19" s="198">
        <v>0.8</v>
      </c>
    </row>
    <row r="20" spans="1:5" ht="18" customHeight="1">
      <c r="A20" s="197" t="s">
        <v>129</v>
      </c>
      <c r="B20" s="198">
        <v>1</v>
      </c>
      <c r="C20" s="198">
        <v>2.5</v>
      </c>
      <c r="D20" s="198">
        <v>1.5</v>
      </c>
      <c r="E20" s="198">
        <v>1</v>
      </c>
    </row>
    <row r="21" spans="1:5" ht="18" customHeight="1">
      <c r="A21" s="199" t="s">
        <v>130</v>
      </c>
      <c r="B21" s="198">
        <v>1</v>
      </c>
      <c r="C21" s="198">
        <v>2.6</v>
      </c>
      <c r="D21" s="198">
        <v>1.4</v>
      </c>
      <c r="E21" s="198">
        <v>0.6</v>
      </c>
    </row>
    <row r="22" spans="1:5" ht="18" customHeight="1">
      <c r="A22" s="197" t="s">
        <v>131</v>
      </c>
      <c r="B22" s="198">
        <v>1.5</v>
      </c>
      <c r="C22" s="198">
        <v>1.5</v>
      </c>
      <c r="D22" s="198">
        <v>1.8</v>
      </c>
      <c r="E22" s="198">
        <v>1.8</v>
      </c>
    </row>
    <row r="23" spans="1:5" ht="18" customHeight="1">
      <c r="A23" s="197" t="s">
        <v>132</v>
      </c>
      <c r="B23" s="198"/>
      <c r="C23" s="198"/>
      <c r="D23" s="198"/>
      <c r="E23" s="198"/>
    </row>
    <row r="24" spans="1:5" ht="18" customHeight="1">
      <c r="A24" s="197" t="s">
        <v>133</v>
      </c>
      <c r="B24" s="198">
        <v>1.5</v>
      </c>
      <c r="C24" s="198">
        <v>1.8</v>
      </c>
      <c r="D24" s="198">
        <v>1.2</v>
      </c>
      <c r="E24" s="198">
        <v>1.4</v>
      </c>
    </row>
    <row r="25" spans="1:5" ht="18" customHeight="1">
      <c r="A25" s="197" t="s">
        <v>134</v>
      </c>
      <c r="B25" s="198">
        <v>1.5</v>
      </c>
      <c r="C25" s="198">
        <v>1.8</v>
      </c>
      <c r="D25" s="198">
        <v>1.2</v>
      </c>
      <c r="E25" s="198">
        <v>1.4</v>
      </c>
    </row>
    <row r="26" spans="1:5" ht="18" customHeight="1">
      <c r="A26" s="197" t="s">
        <v>135</v>
      </c>
      <c r="B26" s="198">
        <v>1.8</v>
      </c>
      <c r="C26" s="198">
        <v>1.6</v>
      </c>
      <c r="D26" s="198">
        <v>1.6</v>
      </c>
      <c r="E26" s="198">
        <v>1.4</v>
      </c>
    </row>
    <row r="27" spans="1:5" ht="18" customHeight="1">
      <c r="A27" s="197" t="s">
        <v>136</v>
      </c>
      <c r="B27" s="198">
        <v>1.8</v>
      </c>
      <c r="C27" s="198">
        <v>1.6</v>
      </c>
      <c r="D27" s="198">
        <v>1.6</v>
      </c>
      <c r="E27" s="198">
        <v>1.4</v>
      </c>
    </row>
    <row r="28" spans="1:5" ht="18" customHeight="1">
      <c r="A28" s="197" t="s">
        <v>137</v>
      </c>
      <c r="B28" s="198">
        <v>1.5</v>
      </c>
      <c r="C28" s="198">
        <v>1.8</v>
      </c>
      <c r="D28" s="198">
        <v>1.2</v>
      </c>
      <c r="E28" s="198">
        <v>1.4</v>
      </c>
    </row>
    <row r="29" spans="1:5" ht="18" customHeight="1">
      <c r="A29" s="197" t="s">
        <v>138</v>
      </c>
      <c r="B29" s="198">
        <v>1.6</v>
      </c>
      <c r="C29" s="198">
        <v>1.5</v>
      </c>
      <c r="D29" s="198">
        <v>1.5</v>
      </c>
      <c r="E29" s="198">
        <v>1.8</v>
      </c>
    </row>
    <row r="30" spans="1:5" ht="18" customHeight="1">
      <c r="A30" s="197" t="s">
        <v>139</v>
      </c>
      <c r="B30" s="198">
        <v>1.4</v>
      </c>
      <c r="C30" s="198">
        <v>1.6</v>
      </c>
      <c r="D30" s="198">
        <v>2</v>
      </c>
      <c r="E30" s="198">
        <v>1.4</v>
      </c>
    </row>
    <row r="31" spans="1:5" ht="18" customHeight="1">
      <c r="A31" s="197" t="s">
        <v>140</v>
      </c>
      <c r="B31" s="198">
        <v>1.5</v>
      </c>
      <c r="C31" s="198">
        <v>1.8</v>
      </c>
      <c r="D31" s="198">
        <v>1.2</v>
      </c>
      <c r="E31" s="198">
        <v>1.4</v>
      </c>
    </row>
    <row r="32" spans="1:5" ht="18" customHeight="1">
      <c r="A32" s="197" t="s">
        <v>141</v>
      </c>
      <c r="B32" s="198">
        <v>1.5</v>
      </c>
      <c r="C32" s="198">
        <v>2.2000000000000002</v>
      </c>
      <c r="D32" s="198">
        <v>1</v>
      </c>
      <c r="E32" s="198">
        <v>1.3</v>
      </c>
    </row>
    <row r="33" spans="1:5" ht="18" customHeight="1">
      <c r="A33" s="197" t="s">
        <v>142</v>
      </c>
      <c r="B33" s="198">
        <v>1.5</v>
      </c>
      <c r="C33" s="198">
        <v>1.8</v>
      </c>
      <c r="D33" s="198">
        <v>1.2</v>
      </c>
      <c r="E33" s="198">
        <v>1.4</v>
      </c>
    </row>
    <row r="34" spans="1:5" ht="18" customHeight="1">
      <c r="A34" s="197" t="s">
        <v>143</v>
      </c>
      <c r="B34" s="198">
        <v>1.5</v>
      </c>
      <c r="C34" s="198">
        <v>1.8</v>
      </c>
      <c r="D34" s="198">
        <v>1.2</v>
      </c>
      <c r="E34" s="198">
        <v>1.4</v>
      </c>
    </row>
    <row r="35" spans="1:5" ht="18" customHeight="1">
      <c r="A35" s="197" t="s">
        <v>144</v>
      </c>
      <c r="B35" s="198"/>
      <c r="C35" s="198"/>
      <c r="D35" s="198"/>
      <c r="E35" s="198"/>
    </row>
    <row r="36" spans="1:5" ht="18" customHeight="1">
      <c r="A36" s="197" t="s">
        <v>145</v>
      </c>
      <c r="B36" s="198">
        <v>1.2</v>
      </c>
      <c r="C36" s="198">
        <v>1.8</v>
      </c>
      <c r="D36" s="198">
        <v>1.2</v>
      </c>
      <c r="E36" s="198">
        <v>1.5</v>
      </c>
    </row>
    <row r="37" spans="1:5" ht="18" customHeight="1">
      <c r="A37" s="197" t="s">
        <v>146</v>
      </c>
      <c r="B37" s="198">
        <v>1.5</v>
      </c>
      <c r="C37" s="198">
        <v>1.5</v>
      </c>
      <c r="D37" s="198">
        <v>1.2</v>
      </c>
      <c r="E37" s="198">
        <v>1.5</v>
      </c>
    </row>
    <row r="38" spans="1:5" ht="18" customHeight="1">
      <c r="A38" s="197" t="s">
        <v>147</v>
      </c>
      <c r="B38" s="198">
        <v>1.5</v>
      </c>
      <c r="C38" s="198">
        <v>1.5</v>
      </c>
      <c r="D38" s="198">
        <v>1.2</v>
      </c>
      <c r="E38" s="198">
        <v>1.5</v>
      </c>
    </row>
    <row r="39" spans="1:5" ht="18" customHeight="1">
      <c r="A39" s="197" t="s">
        <v>148</v>
      </c>
      <c r="B39" s="198">
        <v>1.5</v>
      </c>
      <c r="C39" s="198">
        <v>1.5</v>
      </c>
      <c r="D39" s="198">
        <v>1.2</v>
      </c>
      <c r="E39" s="198">
        <v>1.5</v>
      </c>
    </row>
    <row r="40" spans="1:5" ht="18" customHeight="1">
      <c r="A40" s="197" t="s">
        <v>149</v>
      </c>
      <c r="B40" s="198">
        <v>1.5</v>
      </c>
      <c r="C40" s="198">
        <v>1.5</v>
      </c>
      <c r="D40" s="198">
        <v>1.2</v>
      </c>
      <c r="E40" s="198">
        <v>1.5</v>
      </c>
    </row>
    <row r="41" spans="1:5" ht="18" customHeight="1">
      <c r="A41" s="197" t="s">
        <v>150</v>
      </c>
      <c r="B41" s="198">
        <v>1.5</v>
      </c>
      <c r="C41" s="198">
        <v>1.5</v>
      </c>
      <c r="D41" s="198">
        <v>1.2</v>
      </c>
      <c r="E41" s="198">
        <v>1.5</v>
      </c>
    </row>
    <row r="42" spans="1:5" ht="18" customHeight="1">
      <c r="A42" s="197" t="s">
        <v>151</v>
      </c>
      <c r="B42" s="198">
        <v>1.5</v>
      </c>
      <c r="C42" s="198">
        <v>1.5</v>
      </c>
      <c r="D42" s="198">
        <v>1</v>
      </c>
      <c r="E42" s="198">
        <v>1.5</v>
      </c>
    </row>
    <row r="43" spans="1:5" ht="18" customHeight="1">
      <c r="A43" s="197" t="s">
        <v>152</v>
      </c>
      <c r="B43" s="198">
        <v>1.5</v>
      </c>
      <c r="C43" s="198">
        <v>1.5</v>
      </c>
      <c r="D43" s="198">
        <v>1.2</v>
      </c>
      <c r="E43" s="198">
        <v>1.5</v>
      </c>
    </row>
    <row r="44" spans="1:5" ht="18" customHeight="1">
      <c r="A44" s="197" t="s">
        <v>153</v>
      </c>
      <c r="B44" s="198">
        <v>1.5</v>
      </c>
      <c r="C44" s="198">
        <v>1.5</v>
      </c>
      <c r="D44" s="198">
        <v>1.2</v>
      </c>
      <c r="E44" s="198">
        <v>1.5</v>
      </c>
    </row>
    <row r="45" spans="1:5" ht="18" customHeight="1">
      <c r="A45" s="197" t="s">
        <v>154</v>
      </c>
      <c r="B45" s="198">
        <v>1.5</v>
      </c>
      <c r="C45" s="198">
        <v>1.5</v>
      </c>
      <c r="D45" s="198">
        <v>1.2</v>
      </c>
      <c r="E45" s="198">
        <v>1.5</v>
      </c>
    </row>
    <row r="46" spans="1:5" ht="18" customHeight="1">
      <c r="A46" s="197" t="s">
        <v>155</v>
      </c>
      <c r="B46" s="198">
        <v>1.5</v>
      </c>
      <c r="C46" s="198">
        <v>1.5</v>
      </c>
      <c r="D46" s="198">
        <v>1.2</v>
      </c>
      <c r="E46" s="198">
        <v>1.5</v>
      </c>
    </row>
    <row r="47" spans="1:5" ht="18" customHeight="1">
      <c r="A47" s="197" t="s">
        <v>156</v>
      </c>
      <c r="B47" s="198">
        <v>1.8</v>
      </c>
      <c r="C47" s="198">
        <v>1.8</v>
      </c>
      <c r="D47" s="198">
        <v>1.5</v>
      </c>
      <c r="E47" s="198">
        <v>1.7</v>
      </c>
    </row>
    <row r="48" spans="1:5" ht="18" customHeight="1">
      <c r="A48" s="197" t="s">
        <v>157</v>
      </c>
      <c r="B48" s="198">
        <v>1.8</v>
      </c>
      <c r="C48" s="198">
        <v>1.5</v>
      </c>
      <c r="D48" s="198">
        <v>1.5</v>
      </c>
      <c r="E48" s="198">
        <v>2</v>
      </c>
    </row>
    <row r="49" spans="1:5" ht="18" customHeight="1">
      <c r="A49" s="197" t="s">
        <v>158</v>
      </c>
      <c r="B49" s="198">
        <v>1.5</v>
      </c>
      <c r="C49" s="198">
        <v>1.5</v>
      </c>
      <c r="D49" s="198">
        <v>1.2</v>
      </c>
      <c r="E49" s="198">
        <v>1.5</v>
      </c>
    </row>
    <row r="50" spans="1:5" ht="18" customHeight="1">
      <c r="A50" s="197" t="s">
        <v>159</v>
      </c>
      <c r="B50" s="198">
        <v>1.5</v>
      </c>
      <c r="C50" s="198">
        <v>1</v>
      </c>
      <c r="D50" s="198">
        <v>1.6</v>
      </c>
      <c r="E50" s="198">
        <v>2</v>
      </c>
    </row>
  </sheetData>
  <phoneticPr fontId="5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182" customWidth="1"/>
    <col min="16" max="16" width="6.625" style="183" customWidth="1"/>
    <col min="17" max="29" width="6.625" style="182" customWidth="1"/>
    <col min="30" max="30" width="6.625" style="183" customWidth="1"/>
    <col min="31" max="16384" width="6.625" style="182"/>
  </cols>
  <sheetData>
    <row r="1" spans="1:47" ht="15.95" customHeight="1">
      <c r="A1" s="184" t="s">
        <v>126</v>
      </c>
      <c r="B1" s="184" t="s">
        <v>115</v>
      </c>
      <c r="C1" s="184" t="s">
        <v>127</v>
      </c>
      <c r="D1" s="184" t="s">
        <v>131</v>
      </c>
      <c r="E1" s="184" t="s">
        <v>120</v>
      </c>
      <c r="F1" s="184" t="s">
        <v>114</v>
      </c>
      <c r="G1" s="184" t="s">
        <v>128</v>
      </c>
      <c r="H1" s="185" t="s">
        <v>123</v>
      </c>
      <c r="I1" s="184" t="s">
        <v>116</v>
      </c>
      <c r="J1" s="184" t="s">
        <v>160</v>
      </c>
      <c r="K1" s="184" t="s">
        <v>161</v>
      </c>
      <c r="L1" s="184" t="s">
        <v>125</v>
      </c>
      <c r="M1" s="184" t="s">
        <v>133</v>
      </c>
      <c r="N1" s="184" t="s">
        <v>119</v>
      </c>
      <c r="O1" s="188" t="s">
        <v>135</v>
      </c>
      <c r="P1" s="184" t="s">
        <v>137</v>
      </c>
      <c r="Q1" s="190" t="s">
        <v>142</v>
      </c>
      <c r="R1" s="190" t="s">
        <v>134</v>
      </c>
      <c r="S1" s="184" t="s">
        <v>140</v>
      </c>
      <c r="T1" s="184" t="s">
        <v>139</v>
      </c>
      <c r="U1" s="184" t="s">
        <v>141</v>
      </c>
      <c r="V1" s="184" t="s">
        <v>143</v>
      </c>
      <c r="W1" s="184" t="s">
        <v>138</v>
      </c>
      <c r="X1" s="184" t="s">
        <v>113</v>
      </c>
      <c r="Y1" s="184" t="s">
        <v>112</v>
      </c>
      <c r="Z1" s="184" t="s">
        <v>136</v>
      </c>
      <c r="AA1" s="188" t="s">
        <v>159</v>
      </c>
      <c r="AB1" s="188" t="s">
        <v>157</v>
      </c>
      <c r="AC1" s="188" t="s">
        <v>148</v>
      </c>
      <c r="AD1" s="184" t="s">
        <v>152</v>
      </c>
      <c r="AE1" s="190" t="s">
        <v>153</v>
      </c>
      <c r="AF1" s="184" t="s">
        <v>145</v>
      </c>
      <c r="AG1" s="184" t="s">
        <v>155</v>
      </c>
      <c r="AH1" s="184" t="s">
        <v>150</v>
      </c>
      <c r="AI1" s="184" t="s">
        <v>156</v>
      </c>
      <c r="AJ1" s="184" t="s">
        <v>158</v>
      </c>
      <c r="AK1" s="184" t="s">
        <v>146</v>
      </c>
      <c r="AL1" s="184" t="s">
        <v>147</v>
      </c>
      <c r="AM1" s="184" t="s">
        <v>149</v>
      </c>
      <c r="AN1" s="184" t="s">
        <v>154</v>
      </c>
      <c r="AO1" s="184" t="s">
        <v>151</v>
      </c>
      <c r="AP1" s="184" t="s">
        <v>118</v>
      </c>
      <c r="AQ1" s="184" t="s">
        <v>121</v>
      </c>
      <c r="AR1" s="184" t="s">
        <v>129</v>
      </c>
      <c r="AS1" s="184" t="s">
        <v>111</v>
      </c>
      <c r="AT1" s="184" t="s">
        <v>162</v>
      </c>
      <c r="AU1" s="184" t="s">
        <v>163</v>
      </c>
    </row>
    <row r="2" spans="1:47" ht="15.95" customHeight="1">
      <c r="A2" s="186" t="s">
        <v>164</v>
      </c>
      <c r="B2" s="186" t="s">
        <v>165</v>
      </c>
      <c r="C2" s="186" t="s">
        <v>166</v>
      </c>
      <c r="D2" s="186" t="s">
        <v>167</v>
      </c>
      <c r="E2" s="186" t="s">
        <v>9</v>
      </c>
      <c r="F2" s="187" t="s">
        <v>2</v>
      </c>
      <c r="G2" s="187" t="s">
        <v>168</v>
      </c>
      <c r="H2" s="187" t="s">
        <v>169</v>
      </c>
      <c r="I2" s="187" t="s">
        <v>170</v>
      </c>
      <c r="J2" s="187" t="s">
        <v>171</v>
      </c>
      <c r="K2" s="186" t="s">
        <v>6</v>
      </c>
      <c r="L2" s="186" t="s">
        <v>10</v>
      </c>
      <c r="M2" s="186" t="s">
        <v>172</v>
      </c>
      <c r="N2" s="186" t="s">
        <v>173</v>
      </c>
      <c r="O2" s="189" t="s">
        <v>174</v>
      </c>
      <c r="P2" s="186" t="s">
        <v>175</v>
      </c>
      <c r="Q2" s="191" t="s">
        <v>176</v>
      </c>
      <c r="R2" s="191" t="s">
        <v>177</v>
      </c>
      <c r="S2" s="186" t="s">
        <v>166</v>
      </c>
      <c r="T2" s="186" t="s">
        <v>178</v>
      </c>
      <c r="U2" s="186" t="s">
        <v>179</v>
      </c>
      <c r="V2" s="186" t="s">
        <v>180</v>
      </c>
      <c r="W2" s="186" t="s">
        <v>181</v>
      </c>
      <c r="X2" s="186" t="s">
        <v>182</v>
      </c>
      <c r="Y2" s="186" t="s">
        <v>182</v>
      </c>
      <c r="Z2" s="186" t="s">
        <v>183</v>
      </c>
      <c r="AA2" s="189" t="s">
        <v>184</v>
      </c>
      <c r="AB2" s="189" t="s">
        <v>175</v>
      </c>
      <c r="AC2" s="189" t="s">
        <v>185</v>
      </c>
      <c r="AD2" s="186" t="s">
        <v>186</v>
      </c>
      <c r="AE2" s="191" t="s">
        <v>187</v>
      </c>
      <c r="AF2" s="186" t="s">
        <v>188</v>
      </c>
      <c r="AG2" s="186" t="s">
        <v>189</v>
      </c>
      <c r="AH2" s="186" t="s">
        <v>190</v>
      </c>
      <c r="AI2" s="186" t="s">
        <v>191</v>
      </c>
      <c r="AJ2" s="186" t="s">
        <v>192</v>
      </c>
      <c r="AK2" s="186" t="s">
        <v>193</v>
      </c>
      <c r="AL2" s="186" t="s">
        <v>194</v>
      </c>
      <c r="AM2" s="186" t="s">
        <v>195</v>
      </c>
      <c r="AN2" s="186" t="s">
        <v>196</v>
      </c>
      <c r="AO2" s="186" t="s">
        <v>197</v>
      </c>
      <c r="AP2" s="186" t="s">
        <v>198</v>
      </c>
      <c r="AQ2" s="186" t="s">
        <v>3</v>
      </c>
      <c r="AR2" s="186" t="s">
        <v>199</v>
      </c>
      <c r="AS2" s="186" t="s">
        <v>200</v>
      </c>
      <c r="AT2" s="186" t="s">
        <v>201</v>
      </c>
      <c r="AU2" s="186" t="s">
        <v>202</v>
      </c>
    </row>
    <row r="3" spans="1:47" ht="15.95" customHeight="1">
      <c r="A3" s="186" t="s">
        <v>195</v>
      </c>
      <c r="B3" s="186" t="s">
        <v>203</v>
      </c>
      <c r="C3" s="186" t="s">
        <v>204</v>
      </c>
      <c r="D3" s="186" t="s">
        <v>205</v>
      </c>
      <c r="E3" s="186" t="s">
        <v>192</v>
      </c>
      <c r="F3" s="187" t="s">
        <v>188</v>
      </c>
      <c r="G3" s="187" t="s">
        <v>10</v>
      </c>
      <c r="H3" s="187" t="s">
        <v>190</v>
      </c>
      <c r="I3" s="187" t="s">
        <v>191</v>
      </c>
      <c r="J3" s="187" t="s">
        <v>206</v>
      </c>
      <c r="K3" s="186" t="s">
        <v>8</v>
      </c>
      <c r="L3" s="186" t="s">
        <v>185</v>
      </c>
      <c r="M3" s="186" t="s">
        <v>207</v>
      </c>
      <c r="N3" s="186" t="s">
        <v>166</v>
      </c>
      <c r="O3" s="189" t="s">
        <v>208</v>
      </c>
      <c r="P3" s="186" t="s">
        <v>209</v>
      </c>
      <c r="Q3" s="191" t="s">
        <v>210</v>
      </c>
      <c r="R3" s="191" t="s">
        <v>211</v>
      </c>
      <c r="S3" s="186" t="s">
        <v>212</v>
      </c>
      <c r="T3" s="186" t="s">
        <v>213</v>
      </c>
      <c r="U3" s="186" t="s">
        <v>214</v>
      </c>
      <c r="V3" s="186" t="s">
        <v>215</v>
      </c>
      <c r="W3" s="186" t="s">
        <v>216</v>
      </c>
      <c r="X3" s="186" t="s">
        <v>200</v>
      </c>
      <c r="Y3" s="186" t="s">
        <v>200</v>
      </c>
      <c r="Z3" s="186" t="s">
        <v>211</v>
      </c>
      <c r="AA3" s="189" t="s">
        <v>207</v>
      </c>
      <c r="AB3" s="189" t="s">
        <v>210</v>
      </c>
      <c r="AC3" s="189" t="s">
        <v>192</v>
      </c>
      <c r="AD3" s="186" t="s">
        <v>217</v>
      </c>
      <c r="AE3" s="191" t="s">
        <v>218</v>
      </c>
      <c r="AF3" s="186" t="s">
        <v>208</v>
      </c>
      <c r="AG3" s="186" t="s">
        <v>165</v>
      </c>
      <c r="AH3" s="186" t="s">
        <v>216</v>
      </c>
      <c r="AI3" s="186" t="s">
        <v>219</v>
      </c>
      <c r="AJ3" s="186" t="s">
        <v>166</v>
      </c>
      <c r="AK3" s="186" t="s">
        <v>177</v>
      </c>
      <c r="AL3" s="186" t="s">
        <v>172</v>
      </c>
      <c r="AM3" s="186" t="s">
        <v>9</v>
      </c>
      <c r="AN3" s="186" t="s">
        <v>181</v>
      </c>
      <c r="AO3" s="186" t="s">
        <v>179</v>
      </c>
      <c r="AP3" s="186" t="s">
        <v>3</v>
      </c>
      <c r="AQ3" s="186" t="s">
        <v>198</v>
      </c>
      <c r="AR3" s="186" t="s">
        <v>198</v>
      </c>
      <c r="AS3" s="186" t="s">
        <v>191</v>
      </c>
      <c r="AT3" s="186" t="s">
        <v>220</v>
      </c>
      <c r="AU3" s="186" t="s">
        <v>31</v>
      </c>
    </row>
    <row r="4" spans="1:47" ht="15.95" customHeight="1">
      <c r="A4" s="186" t="s">
        <v>196</v>
      </c>
      <c r="B4" s="186" t="s">
        <v>221</v>
      </c>
      <c r="C4" s="186" t="s">
        <v>222</v>
      </c>
      <c r="D4" s="186" t="s">
        <v>223</v>
      </c>
      <c r="E4" s="186" t="s">
        <v>193</v>
      </c>
      <c r="F4" s="187" t="s">
        <v>178</v>
      </c>
      <c r="G4" s="187" t="s">
        <v>189</v>
      </c>
      <c r="H4" s="187" t="s">
        <v>193</v>
      </c>
      <c r="I4" s="187" t="s">
        <v>180</v>
      </c>
      <c r="J4" s="187" t="s">
        <v>223</v>
      </c>
      <c r="K4" s="186" t="s">
        <v>224</v>
      </c>
      <c r="L4" s="186" t="s">
        <v>164</v>
      </c>
      <c r="M4" s="186" t="s">
        <v>210</v>
      </c>
      <c r="N4" s="186" t="s">
        <v>178</v>
      </c>
      <c r="O4" s="189" t="s">
        <v>211</v>
      </c>
      <c r="P4" s="186" t="s">
        <v>194</v>
      </c>
      <c r="Q4" s="191" t="s">
        <v>212</v>
      </c>
      <c r="R4" s="191" t="s">
        <v>216</v>
      </c>
      <c r="S4" s="186" t="s">
        <v>214</v>
      </c>
      <c r="T4" s="186" t="s">
        <v>215</v>
      </c>
      <c r="U4" s="186" t="s">
        <v>209</v>
      </c>
      <c r="V4" s="186" t="s">
        <v>225</v>
      </c>
      <c r="W4" s="186" t="s">
        <v>213</v>
      </c>
      <c r="X4" s="186"/>
      <c r="Y4" s="186" t="s">
        <v>183</v>
      </c>
      <c r="Z4" s="186" t="s">
        <v>209</v>
      </c>
      <c r="AA4" s="189" t="s">
        <v>208</v>
      </c>
      <c r="AB4" s="189" t="s">
        <v>226</v>
      </c>
      <c r="AC4" s="189" t="s">
        <v>227</v>
      </c>
      <c r="AD4" s="186" t="s">
        <v>228</v>
      </c>
      <c r="AE4" s="191" t="s">
        <v>197</v>
      </c>
      <c r="AF4" s="186" t="s">
        <v>194</v>
      </c>
      <c r="AG4" s="186" t="s">
        <v>229</v>
      </c>
      <c r="AH4" s="186" t="s">
        <v>203</v>
      </c>
      <c r="AI4" s="186" t="s">
        <v>230</v>
      </c>
      <c r="AJ4" s="186" t="s">
        <v>231</v>
      </c>
      <c r="AK4" s="186" t="s">
        <v>232</v>
      </c>
      <c r="AL4" s="186" t="s">
        <v>212</v>
      </c>
      <c r="AM4" s="186" t="s">
        <v>222</v>
      </c>
      <c r="AN4" s="186" t="s">
        <v>211</v>
      </c>
      <c r="AO4" s="186" t="s">
        <v>225</v>
      </c>
      <c r="AP4" s="186" t="s">
        <v>5</v>
      </c>
      <c r="AQ4" s="186" t="s">
        <v>10</v>
      </c>
      <c r="AR4" s="186" t="s">
        <v>226</v>
      </c>
      <c r="AS4" s="186" t="s">
        <v>190</v>
      </c>
      <c r="AT4" s="186" t="s">
        <v>233</v>
      </c>
      <c r="AU4" s="186" t="s">
        <v>176</v>
      </c>
    </row>
    <row r="5" spans="1:47" ht="15.95" customHeight="1">
      <c r="A5" s="186" t="s">
        <v>234</v>
      </c>
      <c r="B5" s="186" t="s">
        <v>231</v>
      </c>
      <c r="C5" s="186" t="s">
        <v>219</v>
      </c>
      <c r="D5" s="186" t="s">
        <v>230</v>
      </c>
      <c r="E5" s="186" t="s">
        <v>226</v>
      </c>
      <c r="F5" s="187" t="s">
        <v>209</v>
      </c>
      <c r="G5" s="187" t="s">
        <v>192</v>
      </c>
      <c r="H5" s="187" t="s">
        <v>235</v>
      </c>
      <c r="I5" s="187" t="s">
        <v>225</v>
      </c>
      <c r="J5" s="187" t="s">
        <v>175</v>
      </c>
      <c r="K5" s="186" t="s">
        <v>7</v>
      </c>
      <c r="L5" s="186" t="s">
        <v>210</v>
      </c>
      <c r="M5" s="186" t="s">
        <v>236</v>
      </c>
      <c r="N5" s="186" t="s">
        <v>175</v>
      </c>
      <c r="O5" s="189" t="s">
        <v>229</v>
      </c>
      <c r="P5" s="186" t="s">
        <v>218</v>
      </c>
      <c r="Q5" s="191" t="s">
        <v>227</v>
      </c>
      <c r="R5" s="191" t="s">
        <v>237</v>
      </c>
      <c r="S5" s="186" t="s">
        <v>228</v>
      </c>
      <c r="T5" s="186" t="s">
        <v>232</v>
      </c>
      <c r="U5" s="186" t="s">
        <v>217</v>
      </c>
      <c r="V5" s="186" t="s">
        <v>197</v>
      </c>
      <c r="W5" s="186" t="s">
        <v>238</v>
      </c>
      <c r="X5" s="186"/>
      <c r="Y5" s="186" t="s">
        <v>173</v>
      </c>
      <c r="Z5" s="186" t="s">
        <v>196</v>
      </c>
      <c r="AA5" s="189" t="s">
        <v>210</v>
      </c>
      <c r="AB5" s="189" t="s">
        <v>237</v>
      </c>
      <c r="AC5" s="189" t="s">
        <v>237</v>
      </c>
      <c r="AD5" s="186" t="s">
        <v>238</v>
      </c>
      <c r="AE5" s="191" t="s">
        <v>195</v>
      </c>
      <c r="AF5" s="186" t="s">
        <v>204</v>
      </c>
      <c r="AG5" s="186" t="s">
        <v>236</v>
      </c>
      <c r="AH5" s="186" t="s">
        <v>234</v>
      </c>
      <c r="AI5" s="186" t="s">
        <v>221</v>
      </c>
      <c r="AJ5" s="186" t="s">
        <v>235</v>
      </c>
      <c r="AK5" s="186" t="s">
        <v>194</v>
      </c>
      <c r="AL5" s="186" t="s">
        <v>216</v>
      </c>
      <c r="AM5" s="186" t="s">
        <v>223</v>
      </c>
      <c r="AN5" s="186" t="s">
        <v>219</v>
      </c>
      <c r="AO5" s="186" t="s">
        <v>230</v>
      </c>
      <c r="AP5" s="186" t="s">
        <v>189</v>
      </c>
      <c r="AQ5" s="186" t="s">
        <v>168</v>
      </c>
      <c r="AR5" s="186" t="s">
        <v>204</v>
      </c>
      <c r="AS5" s="186" t="s">
        <v>173</v>
      </c>
      <c r="AT5" s="186" t="s">
        <v>239</v>
      </c>
      <c r="AU5" s="186" t="s">
        <v>240</v>
      </c>
    </row>
    <row r="6" spans="1:47" ht="15.95" customHeight="1">
      <c r="A6" s="186" t="s">
        <v>172</v>
      </c>
      <c r="B6" s="186" t="s">
        <v>174</v>
      </c>
      <c r="C6" s="186" t="s">
        <v>185</v>
      </c>
      <c r="D6" s="186" t="s">
        <v>186</v>
      </c>
      <c r="E6" s="186" t="s">
        <v>176</v>
      </c>
      <c r="F6" s="187" t="s">
        <v>176</v>
      </c>
      <c r="G6" s="187" t="s">
        <v>5</v>
      </c>
      <c r="H6" s="187" t="s">
        <v>181</v>
      </c>
      <c r="I6" s="187" t="s">
        <v>167</v>
      </c>
      <c r="J6" s="187" t="s">
        <v>184</v>
      </c>
      <c r="K6" s="186" t="s">
        <v>234</v>
      </c>
      <c r="L6" s="186" t="s">
        <v>179</v>
      </c>
      <c r="M6" s="186" t="s">
        <v>165</v>
      </c>
      <c r="N6" s="186" t="s">
        <v>209</v>
      </c>
      <c r="O6" s="189" t="s">
        <v>176</v>
      </c>
      <c r="P6" s="186" t="s">
        <v>188</v>
      </c>
      <c r="Q6" s="191" t="s">
        <v>177</v>
      </c>
      <c r="R6" s="191" t="s">
        <v>187</v>
      </c>
      <c r="S6" s="186" t="s">
        <v>191</v>
      </c>
      <c r="T6" s="186" t="s">
        <v>180</v>
      </c>
      <c r="U6" s="186" t="s">
        <v>190</v>
      </c>
      <c r="V6" s="186" t="s">
        <v>167</v>
      </c>
      <c r="W6" s="186" t="s">
        <v>191</v>
      </c>
      <c r="X6" s="186"/>
      <c r="Y6" s="186" t="s">
        <v>178</v>
      </c>
      <c r="Z6" s="186" t="s">
        <v>175</v>
      </c>
      <c r="AA6" s="189" t="s">
        <v>211</v>
      </c>
      <c r="AB6" s="189" t="s">
        <v>195</v>
      </c>
      <c r="AC6" s="189" t="s">
        <v>209</v>
      </c>
      <c r="AD6" s="186" t="s">
        <v>215</v>
      </c>
      <c r="AE6" s="191" t="s">
        <v>196</v>
      </c>
      <c r="AF6" s="186" t="s">
        <v>215</v>
      </c>
      <c r="AG6" s="186" t="s">
        <v>213</v>
      </c>
      <c r="AH6" s="186" t="s">
        <v>236</v>
      </c>
      <c r="AI6" s="186" t="s">
        <v>205</v>
      </c>
      <c r="AJ6" s="186" t="s">
        <v>203</v>
      </c>
      <c r="AK6" s="186" t="s">
        <v>225</v>
      </c>
      <c r="AL6" s="186" t="s">
        <v>214</v>
      </c>
      <c r="AM6" s="186" t="s">
        <v>204</v>
      </c>
      <c r="AN6" s="186" t="s">
        <v>227</v>
      </c>
      <c r="AO6" s="186" t="s">
        <v>237</v>
      </c>
      <c r="AP6" s="186" t="s">
        <v>204</v>
      </c>
      <c r="AQ6" s="186" t="s">
        <v>241</v>
      </c>
      <c r="AR6" s="186" t="s">
        <v>242</v>
      </c>
      <c r="AS6" s="186" t="s">
        <v>179</v>
      </c>
      <c r="AT6" s="186" t="s">
        <v>243</v>
      </c>
      <c r="AU6" s="186" t="s">
        <v>215</v>
      </c>
    </row>
    <row r="7" spans="1:47" ht="15.95" customHeight="1">
      <c r="A7" s="186" t="s">
        <v>184</v>
      </c>
      <c r="B7" s="186" t="s">
        <v>186</v>
      </c>
      <c r="C7" s="186" t="s">
        <v>177</v>
      </c>
      <c r="D7" s="186" t="s">
        <v>188</v>
      </c>
      <c r="E7" s="186" t="s">
        <v>191</v>
      </c>
      <c r="F7" s="187" t="s">
        <v>184</v>
      </c>
      <c r="G7" s="187" t="s">
        <v>242</v>
      </c>
      <c r="H7" s="187" t="s">
        <v>9</v>
      </c>
      <c r="I7" s="187" t="s">
        <v>178</v>
      </c>
      <c r="J7" s="187" t="s">
        <v>10</v>
      </c>
      <c r="K7" s="186" t="s">
        <v>4</v>
      </c>
      <c r="L7" s="186" t="s">
        <v>180</v>
      </c>
      <c r="M7" s="186" t="s">
        <v>185</v>
      </c>
      <c r="N7" s="186" t="s">
        <v>244</v>
      </c>
      <c r="O7" s="189" t="s">
        <v>165</v>
      </c>
      <c r="P7" s="186" t="s">
        <v>166</v>
      </c>
      <c r="Q7" s="191" t="s">
        <v>178</v>
      </c>
      <c r="R7" s="191" t="s">
        <v>167</v>
      </c>
      <c r="S7" s="186" t="s">
        <v>180</v>
      </c>
      <c r="T7" s="186" t="s">
        <v>9</v>
      </c>
      <c r="U7" s="186" t="s">
        <v>181</v>
      </c>
      <c r="V7" s="186" t="s">
        <v>187</v>
      </c>
      <c r="W7" s="186" t="s">
        <v>188</v>
      </c>
      <c r="X7" s="186"/>
      <c r="Y7" s="186" t="s">
        <v>191</v>
      </c>
      <c r="Z7" s="186" t="s">
        <v>190</v>
      </c>
      <c r="AA7" s="189" t="s">
        <v>172</v>
      </c>
      <c r="AB7" s="189" t="s">
        <v>186</v>
      </c>
      <c r="AC7" s="189" t="s">
        <v>186</v>
      </c>
      <c r="AD7" s="186" t="s">
        <v>177</v>
      </c>
      <c r="AE7" s="191" t="s">
        <v>166</v>
      </c>
      <c r="AF7" s="186" t="s">
        <v>190</v>
      </c>
      <c r="AG7" s="186" t="s">
        <v>174</v>
      </c>
      <c r="AH7" s="186" t="s">
        <v>181</v>
      </c>
      <c r="AI7" s="186" t="s">
        <v>9</v>
      </c>
      <c r="AJ7" s="186" t="s">
        <v>178</v>
      </c>
      <c r="AK7" s="186" t="s">
        <v>187</v>
      </c>
      <c r="AL7" s="186" t="s">
        <v>164</v>
      </c>
      <c r="AM7" s="186" t="s">
        <v>180</v>
      </c>
      <c r="AN7" s="186" t="s">
        <v>186</v>
      </c>
      <c r="AO7" s="186" t="s">
        <v>180</v>
      </c>
      <c r="AP7" s="186" t="s">
        <v>242</v>
      </c>
      <c r="AQ7" s="186" t="s">
        <v>245</v>
      </c>
      <c r="AR7" s="186" t="s">
        <v>10</v>
      </c>
      <c r="AS7" s="186" t="s">
        <v>230</v>
      </c>
      <c r="AT7" s="186" t="s">
        <v>164</v>
      </c>
      <c r="AU7" s="186" t="s">
        <v>246</v>
      </c>
    </row>
    <row r="8" spans="1:47" ht="15.95" customHeight="1">
      <c r="A8" s="186" t="s">
        <v>165</v>
      </c>
      <c r="B8" s="186" t="s">
        <v>177</v>
      </c>
      <c r="C8" s="186" t="s">
        <v>178</v>
      </c>
      <c r="D8" s="186" t="s">
        <v>181</v>
      </c>
      <c r="E8" s="186" t="s">
        <v>172</v>
      </c>
      <c r="F8" s="187" t="s">
        <v>247</v>
      </c>
      <c r="G8" s="187" t="s">
        <v>204</v>
      </c>
      <c r="H8" s="187" t="s">
        <v>172</v>
      </c>
      <c r="I8" s="187" t="s">
        <v>165</v>
      </c>
      <c r="J8" s="187" t="s">
        <v>219</v>
      </c>
      <c r="K8" s="186" t="s">
        <v>199</v>
      </c>
      <c r="L8" s="186" t="s">
        <v>189</v>
      </c>
      <c r="M8" s="186" t="s">
        <v>174</v>
      </c>
      <c r="N8" s="186" t="s">
        <v>248</v>
      </c>
      <c r="O8" s="189" t="s">
        <v>166</v>
      </c>
      <c r="P8" s="186" t="s">
        <v>176</v>
      </c>
      <c r="Q8" s="191" t="s">
        <v>167</v>
      </c>
      <c r="R8" s="191" t="s">
        <v>9</v>
      </c>
      <c r="S8" s="186" t="s">
        <v>178</v>
      </c>
      <c r="T8" s="186" t="s">
        <v>177</v>
      </c>
      <c r="U8" s="186" t="s">
        <v>188</v>
      </c>
      <c r="V8" s="186" t="s">
        <v>186</v>
      </c>
      <c r="W8" s="186" t="s">
        <v>187</v>
      </c>
      <c r="X8" s="186"/>
      <c r="Y8" s="186" t="s">
        <v>179</v>
      </c>
      <c r="Z8" s="186" t="s">
        <v>191</v>
      </c>
      <c r="AA8" s="189" t="s">
        <v>187</v>
      </c>
      <c r="AB8" s="189" t="s">
        <v>191</v>
      </c>
      <c r="AC8" s="189" t="s">
        <v>176</v>
      </c>
      <c r="AD8" s="186" t="s">
        <v>187</v>
      </c>
      <c r="AE8" s="191" t="s">
        <v>178</v>
      </c>
      <c r="AF8" s="186" t="s">
        <v>179</v>
      </c>
      <c r="AG8" s="186" t="s">
        <v>185</v>
      </c>
      <c r="AH8" s="186" t="s">
        <v>172</v>
      </c>
      <c r="AI8" s="186" t="s">
        <v>188</v>
      </c>
      <c r="AJ8" s="186" t="s">
        <v>167</v>
      </c>
      <c r="AK8" s="186" t="s">
        <v>166</v>
      </c>
      <c r="AL8" s="186" t="s">
        <v>184</v>
      </c>
      <c r="AM8" s="186" t="s">
        <v>181</v>
      </c>
      <c r="AN8" s="186" t="s">
        <v>177</v>
      </c>
      <c r="AO8" s="186" t="s">
        <v>191</v>
      </c>
      <c r="AP8" s="186" t="s">
        <v>249</v>
      </c>
      <c r="AQ8" s="186" t="s">
        <v>250</v>
      </c>
      <c r="AR8" s="186" t="s">
        <v>168</v>
      </c>
      <c r="AS8" s="186" t="s">
        <v>209</v>
      </c>
      <c r="AT8" s="186" t="s">
        <v>251</v>
      </c>
      <c r="AU8" s="186" t="s">
        <v>252</v>
      </c>
    </row>
    <row r="9" spans="1:47" ht="15.95" customHeight="1">
      <c r="A9" s="186" t="s">
        <v>181</v>
      </c>
      <c r="B9" s="186" t="s">
        <v>166</v>
      </c>
      <c r="C9" s="186" t="s">
        <v>188</v>
      </c>
      <c r="D9" s="186" t="s">
        <v>175</v>
      </c>
      <c r="E9" s="186" t="s">
        <v>190</v>
      </c>
      <c r="F9" s="187" t="s">
        <v>190</v>
      </c>
      <c r="G9" s="187" t="s">
        <v>226</v>
      </c>
      <c r="H9" s="187" t="s">
        <v>174</v>
      </c>
      <c r="I9" s="187" t="s">
        <v>247</v>
      </c>
      <c r="J9" s="187" t="s">
        <v>226</v>
      </c>
      <c r="K9" s="186" t="s">
        <v>204</v>
      </c>
      <c r="L9" s="186" t="s">
        <v>187</v>
      </c>
      <c r="M9" s="186" t="s">
        <v>186</v>
      </c>
      <c r="N9" s="186" t="s">
        <v>253</v>
      </c>
      <c r="O9" s="189" t="s">
        <v>177</v>
      </c>
      <c r="P9" s="186" t="s">
        <v>179</v>
      </c>
      <c r="Q9" s="191" t="s">
        <v>188</v>
      </c>
      <c r="R9" s="191" t="s">
        <v>180</v>
      </c>
      <c r="S9" s="186" t="s">
        <v>174</v>
      </c>
      <c r="T9" s="186" t="s">
        <v>172</v>
      </c>
      <c r="U9" s="186" t="s">
        <v>184</v>
      </c>
      <c r="V9" s="186" t="s">
        <v>190</v>
      </c>
      <c r="W9" s="186" t="s">
        <v>165</v>
      </c>
      <c r="X9" s="186"/>
      <c r="Y9" s="186" t="s">
        <v>174</v>
      </c>
      <c r="Z9" s="186" t="s">
        <v>174</v>
      </c>
      <c r="AA9" s="189" t="s">
        <v>166</v>
      </c>
      <c r="AB9" s="189" t="s">
        <v>188</v>
      </c>
      <c r="AC9" s="189" t="s">
        <v>9</v>
      </c>
      <c r="AD9" s="186" t="s">
        <v>188</v>
      </c>
      <c r="AE9" s="191" t="s">
        <v>181</v>
      </c>
      <c r="AF9" s="186" t="s">
        <v>175</v>
      </c>
      <c r="AG9" s="186" t="s">
        <v>167</v>
      </c>
      <c r="AH9" s="186" t="s">
        <v>174</v>
      </c>
      <c r="AI9" s="186" t="s">
        <v>190</v>
      </c>
      <c r="AJ9" s="186" t="s">
        <v>191</v>
      </c>
      <c r="AK9" s="186" t="s">
        <v>180</v>
      </c>
      <c r="AL9" s="186" t="s">
        <v>178</v>
      </c>
      <c r="AM9" s="186" t="s">
        <v>179</v>
      </c>
      <c r="AN9" s="186" t="s">
        <v>172</v>
      </c>
      <c r="AO9" s="186" t="s">
        <v>185</v>
      </c>
      <c r="AP9" s="186" t="s">
        <v>254</v>
      </c>
      <c r="AQ9" s="186" t="s">
        <v>255</v>
      </c>
      <c r="AR9" s="186" t="s">
        <v>189</v>
      </c>
      <c r="AS9" s="186" t="s">
        <v>229</v>
      </c>
      <c r="AT9" s="186" t="s">
        <v>256</v>
      </c>
      <c r="AU9" s="186" t="s">
        <v>164</v>
      </c>
    </row>
    <row r="10" spans="1:47" ht="15.95" customHeight="1">
      <c r="A10" s="186" t="s">
        <v>31</v>
      </c>
      <c r="B10" s="186" t="s">
        <v>170</v>
      </c>
      <c r="C10" s="186" t="s">
        <v>186</v>
      </c>
      <c r="D10" s="186" t="s">
        <v>180</v>
      </c>
      <c r="E10" s="186" t="s">
        <v>257</v>
      </c>
      <c r="F10" s="186" t="s">
        <v>9</v>
      </c>
      <c r="G10" s="186" t="s">
        <v>3</v>
      </c>
      <c r="H10" s="186" t="s">
        <v>166</v>
      </c>
      <c r="I10" s="186" t="s">
        <v>166</v>
      </c>
      <c r="J10" s="186" t="s">
        <v>164</v>
      </c>
      <c r="K10" s="186" t="s">
        <v>5</v>
      </c>
      <c r="L10" s="186" t="s">
        <v>168</v>
      </c>
      <c r="M10" s="186" t="s">
        <v>164</v>
      </c>
      <c r="N10" s="186" t="s">
        <v>200</v>
      </c>
      <c r="O10" s="186" t="s">
        <v>185</v>
      </c>
      <c r="P10" s="186" t="s">
        <v>173</v>
      </c>
      <c r="Q10" s="186" t="s">
        <v>174</v>
      </c>
      <c r="R10" s="186" t="s">
        <v>186</v>
      </c>
      <c r="S10" s="186" t="s">
        <v>258</v>
      </c>
      <c r="T10" s="186" t="s">
        <v>166</v>
      </c>
      <c r="U10" s="186" t="s">
        <v>234</v>
      </c>
      <c r="V10" s="186" t="s">
        <v>175</v>
      </c>
      <c r="W10" s="186" t="s">
        <v>190</v>
      </c>
      <c r="X10" s="186"/>
      <c r="Y10" s="186" t="s">
        <v>170</v>
      </c>
      <c r="Z10" s="186" t="s">
        <v>172</v>
      </c>
      <c r="AA10" s="186" t="s">
        <v>259</v>
      </c>
      <c r="AB10" s="186" t="s">
        <v>187</v>
      </c>
      <c r="AC10" s="186" t="s">
        <v>170</v>
      </c>
      <c r="AD10" s="186" t="s">
        <v>260</v>
      </c>
      <c r="AE10" s="186" t="s">
        <v>175</v>
      </c>
      <c r="AF10" s="186" t="s">
        <v>9</v>
      </c>
      <c r="AG10" s="186" t="s">
        <v>242</v>
      </c>
      <c r="AH10" s="186" t="s">
        <v>191</v>
      </c>
      <c r="AI10" s="186" t="s">
        <v>184</v>
      </c>
      <c r="AJ10" s="186" t="s">
        <v>193</v>
      </c>
      <c r="AK10" s="186" t="s">
        <v>192</v>
      </c>
      <c r="AL10" s="186" t="s">
        <v>195</v>
      </c>
      <c r="AM10" s="186" t="s">
        <v>167</v>
      </c>
      <c r="AN10" s="186" t="s">
        <v>225</v>
      </c>
      <c r="AO10" s="186" t="s">
        <v>200</v>
      </c>
      <c r="AP10" s="186" t="s">
        <v>199</v>
      </c>
      <c r="AQ10" s="186" t="s">
        <v>5</v>
      </c>
      <c r="AR10" s="186" t="s">
        <v>4</v>
      </c>
      <c r="AS10" s="186" t="s">
        <v>261</v>
      </c>
      <c r="AT10" s="186" t="s">
        <v>4</v>
      </c>
      <c r="AU10" s="186" t="s">
        <v>262</v>
      </c>
    </row>
  </sheetData>
  <phoneticPr fontId="5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>
      <pane ySplit="1" topLeftCell="A39" activePane="bottomLeft" state="frozen"/>
      <selection pane="bottomLeft" activeCell="C46" sqref="C46:H46"/>
    </sheetView>
  </sheetViews>
  <sheetFormatPr defaultColWidth="8.625" defaultRowHeight="15" customHeight="1"/>
  <cols>
    <col min="1" max="1" width="15.625" style="20" customWidth="1"/>
    <col min="2" max="9" width="10.625" style="20" customWidth="1"/>
    <col min="10" max="16384" width="8.625" style="20"/>
  </cols>
  <sheetData>
    <row r="1" spans="1:9" ht="15" customHeight="1">
      <c r="A1" s="23" t="s">
        <v>263</v>
      </c>
      <c r="B1" s="174" t="s">
        <v>264</v>
      </c>
      <c r="C1" s="174" t="s">
        <v>265</v>
      </c>
      <c r="D1" s="175" t="s">
        <v>266</v>
      </c>
      <c r="E1" s="174" t="s">
        <v>267</v>
      </c>
      <c r="F1" s="176" t="s">
        <v>268</v>
      </c>
      <c r="G1" s="176" t="s">
        <v>269</v>
      </c>
      <c r="H1" s="176" t="s">
        <v>270</v>
      </c>
      <c r="I1" s="174" t="s">
        <v>271</v>
      </c>
    </row>
    <row r="2" spans="1:9" ht="15" customHeight="1">
      <c r="A2" s="174" t="s">
        <v>272</v>
      </c>
      <c r="B2" s="175" t="s">
        <v>273</v>
      </c>
      <c r="C2" s="175" t="str">
        <f t="shared" ref="C2" si="0">IF(ISNUMBER(D2)=FALSE,"辅","攻")</f>
        <v>攻</v>
      </c>
      <c r="D2" s="175">
        <v>26</v>
      </c>
      <c r="E2" s="175" t="s">
        <v>274</v>
      </c>
      <c r="F2" s="175"/>
      <c r="G2" s="175"/>
      <c r="H2" s="175"/>
      <c r="I2" s="175">
        <v>5</v>
      </c>
    </row>
    <row r="3" spans="1:9" ht="15" customHeight="1">
      <c r="A3" s="174" t="s">
        <v>275</v>
      </c>
      <c r="B3" s="175" t="s">
        <v>273</v>
      </c>
      <c r="C3" s="175" t="str">
        <f t="shared" ref="C3:C24" si="1">IF(ISNUMBER(D3)=FALSE,"辅","攻")</f>
        <v>攻</v>
      </c>
      <c r="D3" s="175">
        <v>7</v>
      </c>
      <c r="E3" s="175" t="s">
        <v>274</v>
      </c>
      <c r="F3" s="175"/>
      <c r="G3" s="175"/>
      <c r="H3" s="175"/>
      <c r="I3" s="175">
        <v>11</v>
      </c>
    </row>
    <row r="4" spans="1:9" ht="15" customHeight="1">
      <c r="A4" s="174" t="s">
        <v>276</v>
      </c>
      <c r="B4" s="175" t="s">
        <v>273</v>
      </c>
      <c r="C4" s="175" t="str">
        <f t="shared" si="1"/>
        <v>攻</v>
      </c>
      <c r="D4" s="175">
        <v>20</v>
      </c>
      <c r="E4" s="175" t="s">
        <v>274</v>
      </c>
      <c r="F4" s="175"/>
      <c r="G4" s="175"/>
      <c r="H4" s="175"/>
      <c r="I4" s="175">
        <v>6</v>
      </c>
    </row>
    <row r="5" spans="1:9" ht="15" customHeight="1">
      <c r="A5" s="174" t="s">
        <v>277</v>
      </c>
      <c r="B5" s="175" t="s">
        <v>273</v>
      </c>
      <c r="C5" s="175" t="str">
        <f t="shared" si="1"/>
        <v>攻</v>
      </c>
      <c r="D5" s="175">
        <v>12</v>
      </c>
      <c r="E5" s="175" t="s">
        <v>274</v>
      </c>
      <c r="F5" s="175"/>
      <c r="G5" s="175"/>
      <c r="H5" s="175"/>
      <c r="I5" s="175">
        <v>9</v>
      </c>
    </row>
    <row r="6" spans="1:9" ht="15" customHeight="1">
      <c r="A6" s="174" t="s">
        <v>278</v>
      </c>
      <c r="B6" s="175" t="s">
        <v>273</v>
      </c>
      <c r="C6" s="175" t="str">
        <f t="shared" si="1"/>
        <v>攻</v>
      </c>
      <c r="D6" s="175">
        <v>27</v>
      </c>
      <c r="E6" s="175" t="s">
        <v>274</v>
      </c>
      <c r="F6" s="175"/>
      <c r="G6" s="175"/>
      <c r="H6" s="175"/>
      <c r="I6" s="175">
        <v>5</v>
      </c>
    </row>
    <row r="7" spans="1:9" ht="15" customHeight="1">
      <c r="A7" s="174" t="s">
        <v>279</v>
      </c>
      <c r="B7" s="175" t="s">
        <v>273</v>
      </c>
      <c r="C7" s="175" t="str">
        <f t="shared" si="1"/>
        <v>攻</v>
      </c>
      <c r="D7" s="175">
        <v>13</v>
      </c>
      <c r="E7" s="175" t="s">
        <v>274</v>
      </c>
      <c r="F7" s="175"/>
      <c r="G7" s="175"/>
      <c r="H7" s="175"/>
      <c r="I7" s="175">
        <v>7</v>
      </c>
    </row>
    <row r="8" spans="1:9" ht="15" customHeight="1">
      <c r="A8" s="174" t="s">
        <v>280</v>
      </c>
      <c r="B8" s="175" t="s">
        <v>273</v>
      </c>
      <c r="C8" s="175" t="str">
        <f t="shared" si="1"/>
        <v>攻</v>
      </c>
      <c r="D8" s="175">
        <v>9</v>
      </c>
      <c r="E8" s="175" t="s">
        <v>274</v>
      </c>
      <c r="F8" s="175"/>
      <c r="G8" s="175"/>
      <c r="H8" s="175"/>
      <c r="I8" s="175">
        <v>11</v>
      </c>
    </row>
    <row r="9" spans="1:9" ht="15" customHeight="1">
      <c r="A9" s="174" t="s">
        <v>281</v>
      </c>
      <c r="B9" s="175" t="s">
        <v>273</v>
      </c>
      <c r="C9" s="175" t="str">
        <f t="shared" si="1"/>
        <v>攻</v>
      </c>
      <c r="D9" s="175">
        <v>16</v>
      </c>
      <c r="E9" s="175" t="s">
        <v>274</v>
      </c>
      <c r="F9" s="175"/>
      <c r="G9" s="175"/>
      <c r="H9" s="175"/>
      <c r="I9" s="175">
        <v>6</v>
      </c>
    </row>
    <row r="10" spans="1:9" ht="15" customHeight="1">
      <c r="A10" s="174" t="s">
        <v>282</v>
      </c>
      <c r="B10" s="175" t="s">
        <v>273</v>
      </c>
      <c r="C10" s="175" t="str">
        <f t="shared" si="1"/>
        <v>攻</v>
      </c>
      <c r="D10" s="175">
        <v>23</v>
      </c>
      <c r="E10" s="175" t="s">
        <v>274</v>
      </c>
      <c r="F10" s="175"/>
      <c r="G10" s="175"/>
      <c r="H10" s="175"/>
      <c r="I10" s="175">
        <v>5</v>
      </c>
    </row>
    <row r="11" spans="1:9" ht="15" customHeight="1">
      <c r="A11" s="174" t="s">
        <v>283</v>
      </c>
      <c r="B11" s="175" t="s">
        <v>273</v>
      </c>
      <c r="C11" s="175" t="str">
        <f t="shared" si="1"/>
        <v>攻</v>
      </c>
      <c r="D11" s="175">
        <v>10</v>
      </c>
      <c r="E11" s="175" t="s">
        <v>274</v>
      </c>
      <c r="F11" s="175"/>
      <c r="G11" s="175"/>
      <c r="H11" s="175"/>
      <c r="I11" s="175">
        <v>6</v>
      </c>
    </row>
    <row r="12" spans="1:9" ht="15" customHeight="1">
      <c r="A12" s="174" t="s">
        <v>284</v>
      </c>
      <c r="B12" s="175" t="s">
        <v>285</v>
      </c>
      <c r="C12" s="175" t="str">
        <f t="shared" si="1"/>
        <v>攻</v>
      </c>
      <c r="D12" s="175">
        <v>11</v>
      </c>
      <c r="E12" s="175" t="s">
        <v>274</v>
      </c>
      <c r="F12" s="175"/>
      <c r="G12" s="175"/>
      <c r="H12" s="175"/>
      <c r="I12" s="175">
        <v>6</v>
      </c>
    </row>
    <row r="13" spans="1:9" ht="15" customHeight="1">
      <c r="A13" s="174" t="s">
        <v>286</v>
      </c>
      <c r="B13" s="175" t="s">
        <v>285</v>
      </c>
      <c r="C13" s="175" t="str">
        <f t="shared" si="1"/>
        <v>攻</v>
      </c>
      <c r="D13" s="175">
        <v>3</v>
      </c>
      <c r="E13" s="175" t="s">
        <v>274</v>
      </c>
      <c r="F13" s="175"/>
      <c r="G13" s="175"/>
      <c r="H13" s="175"/>
      <c r="I13" s="175">
        <v>8</v>
      </c>
    </row>
    <row r="14" spans="1:9" ht="15" customHeight="1">
      <c r="A14" s="174" t="s">
        <v>287</v>
      </c>
      <c r="B14" s="175" t="s">
        <v>285</v>
      </c>
      <c r="C14" s="175" t="str">
        <f t="shared" si="1"/>
        <v>攻</v>
      </c>
      <c r="D14" s="175">
        <v>3</v>
      </c>
      <c r="E14" s="175" t="s">
        <v>274</v>
      </c>
      <c r="F14" s="175"/>
      <c r="G14" s="175"/>
      <c r="H14" s="175"/>
      <c r="I14" s="175">
        <v>8</v>
      </c>
    </row>
    <row r="15" spans="1:9" ht="15" customHeight="1">
      <c r="A15" s="174" t="s">
        <v>288</v>
      </c>
      <c r="B15" s="175" t="s">
        <v>285</v>
      </c>
      <c r="C15" s="175" t="str">
        <f t="shared" si="1"/>
        <v>攻</v>
      </c>
      <c r="D15" s="175">
        <v>3</v>
      </c>
      <c r="E15" s="175" t="s">
        <v>274</v>
      </c>
      <c r="F15" s="175"/>
      <c r="G15" s="175"/>
      <c r="H15" s="175"/>
      <c r="I15" s="175">
        <v>8</v>
      </c>
    </row>
    <row r="16" spans="1:9" ht="15" customHeight="1">
      <c r="A16" s="174" t="s">
        <v>289</v>
      </c>
      <c r="B16" s="175" t="s">
        <v>285</v>
      </c>
      <c r="C16" s="175" t="str">
        <f t="shared" si="1"/>
        <v>攻</v>
      </c>
      <c r="D16" s="175">
        <v>8</v>
      </c>
      <c r="E16" s="175" t="s">
        <v>274</v>
      </c>
      <c r="F16" s="175"/>
      <c r="G16" s="175"/>
      <c r="H16" s="175"/>
      <c r="I16" s="175">
        <v>9</v>
      </c>
    </row>
    <row r="17" spans="1:9" ht="15" customHeight="1">
      <c r="A17" s="174" t="s">
        <v>290</v>
      </c>
      <c r="B17" s="175" t="s">
        <v>285</v>
      </c>
      <c r="C17" s="175" t="str">
        <f t="shared" si="1"/>
        <v>攻</v>
      </c>
      <c r="D17" s="175">
        <v>8</v>
      </c>
      <c r="E17" s="175" t="s">
        <v>274</v>
      </c>
      <c r="F17" s="175"/>
      <c r="G17" s="175"/>
      <c r="H17" s="175"/>
      <c r="I17" s="175">
        <v>9</v>
      </c>
    </row>
    <row r="18" spans="1:9" ht="15" customHeight="1">
      <c r="A18" s="174" t="s">
        <v>291</v>
      </c>
      <c r="B18" s="175" t="s">
        <v>292</v>
      </c>
      <c r="C18" s="175" t="str">
        <f t="shared" si="1"/>
        <v>攻</v>
      </c>
      <c r="D18" s="175">
        <v>18</v>
      </c>
      <c r="E18" s="175" t="s">
        <v>293</v>
      </c>
      <c r="F18" s="175"/>
      <c r="G18" s="175"/>
      <c r="H18" s="175"/>
      <c r="I18" s="175">
        <v>4</v>
      </c>
    </row>
    <row r="19" spans="1:9" ht="15" customHeight="1">
      <c r="A19" s="174" t="s">
        <v>294</v>
      </c>
      <c r="B19" s="175" t="s">
        <v>292</v>
      </c>
      <c r="C19" s="175" t="str">
        <f t="shared" si="1"/>
        <v>攻</v>
      </c>
      <c r="D19" s="175">
        <v>25</v>
      </c>
      <c r="E19" s="175" t="s">
        <v>293</v>
      </c>
      <c r="F19" s="175"/>
      <c r="G19" s="175"/>
      <c r="H19" s="175"/>
      <c r="I19" s="175">
        <v>3</v>
      </c>
    </row>
    <row r="20" spans="1:9" ht="15" customHeight="1">
      <c r="A20" s="174" t="s">
        <v>295</v>
      </c>
      <c r="B20" s="175" t="s">
        <v>292</v>
      </c>
      <c r="C20" s="175" t="str">
        <f t="shared" si="1"/>
        <v>攻</v>
      </c>
      <c r="D20" s="175">
        <v>71</v>
      </c>
      <c r="E20" s="175" t="s">
        <v>274</v>
      </c>
      <c r="F20" s="175"/>
      <c r="G20" s="175"/>
      <c r="H20" s="175"/>
      <c r="I20" s="175">
        <v>19</v>
      </c>
    </row>
    <row r="21" spans="1:9" ht="15" customHeight="1">
      <c r="A21" s="174" t="s">
        <v>296</v>
      </c>
      <c r="B21" s="175" t="s">
        <v>292</v>
      </c>
      <c r="C21" s="175" t="str">
        <f t="shared" si="1"/>
        <v>攻</v>
      </c>
      <c r="D21" s="175">
        <v>52</v>
      </c>
      <c r="E21" s="175" t="s">
        <v>274</v>
      </c>
      <c r="F21" s="175"/>
      <c r="G21" s="175"/>
      <c r="H21" s="175"/>
      <c r="I21" s="175">
        <v>25</v>
      </c>
    </row>
    <row r="22" spans="1:9" ht="15" customHeight="1">
      <c r="A22" s="174" t="s">
        <v>297</v>
      </c>
      <c r="B22" s="175" t="s">
        <v>292</v>
      </c>
      <c r="C22" s="175" t="str">
        <f t="shared" si="1"/>
        <v>攻</v>
      </c>
      <c r="D22" s="175">
        <v>68</v>
      </c>
      <c r="E22" s="175" t="s">
        <v>274</v>
      </c>
      <c r="F22" s="175"/>
      <c r="G22" s="175"/>
      <c r="H22" s="175"/>
      <c r="I22" s="175">
        <v>25</v>
      </c>
    </row>
    <row r="23" spans="1:9" ht="15" customHeight="1">
      <c r="A23" s="174" t="s">
        <v>298</v>
      </c>
      <c r="B23" s="175" t="s">
        <v>292</v>
      </c>
      <c r="C23" s="175" t="str">
        <f t="shared" si="1"/>
        <v>攻</v>
      </c>
      <c r="D23" s="175">
        <v>20</v>
      </c>
      <c r="E23" s="175" t="s">
        <v>293</v>
      </c>
      <c r="F23" s="175"/>
      <c r="G23" s="175"/>
      <c r="H23" s="175"/>
      <c r="I23" s="175">
        <v>4</v>
      </c>
    </row>
    <row r="24" spans="1:9" ht="15" customHeight="1">
      <c r="A24" s="174" t="s">
        <v>299</v>
      </c>
      <c r="B24" s="175" t="s">
        <v>292</v>
      </c>
      <c r="C24" s="175" t="str">
        <f t="shared" si="1"/>
        <v>攻</v>
      </c>
      <c r="D24" s="175">
        <v>50</v>
      </c>
      <c r="E24" s="175" t="s">
        <v>274</v>
      </c>
      <c r="F24" s="175"/>
      <c r="G24" s="175"/>
      <c r="H24" s="175"/>
      <c r="I24" s="175">
        <v>23</v>
      </c>
    </row>
    <row r="25" spans="1:9" ht="15" customHeight="1">
      <c r="A25" s="174" t="s">
        <v>300</v>
      </c>
      <c r="B25" s="175" t="s">
        <v>292</v>
      </c>
      <c r="C25" s="175" t="s">
        <v>20</v>
      </c>
      <c r="D25" s="175">
        <v>59</v>
      </c>
      <c r="E25" s="175" t="s">
        <v>274</v>
      </c>
      <c r="F25" s="175"/>
      <c r="G25" s="175"/>
      <c r="H25" s="175"/>
      <c r="I25" s="175">
        <v>19</v>
      </c>
    </row>
    <row r="26" spans="1:9" ht="15" customHeight="1">
      <c r="A26" s="174" t="s">
        <v>301</v>
      </c>
      <c r="B26" s="175" t="s">
        <v>302</v>
      </c>
      <c r="C26" s="175" t="str">
        <f t="shared" ref="C26" si="2">IF(ISNUMBER(D26)=FALSE,"辅","攻")</f>
        <v>攻</v>
      </c>
      <c r="D26" s="175">
        <v>30</v>
      </c>
      <c r="E26" s="175" t="s">
        <v>293</v>
      </c>
      <c r="F26" s="175"/>
      <c r="G26" s="175"/>
      <c r="H26" s="175"/>
      <c r="I26" s="175">
        <v>6</v>
      </c>
    </row>
    <row r="27" spans="1:9" ht="15" customHeight="1">
      <c r="A27" s="174" t="s">
        <v>303</v>
      </c>
      <c r="B27" s="175" t="s">
        <v>292</v>
      </c>
      <c r="C27" s="175" t="str">
        <f t="shared" ref="C27:C40" si="3">IF(ISNUMBER(D27)=FALSE,"辅","攻")</f>
        <v>攻</v>
      </c>
      <c r="D27" s="175">
        <v>56</v>
      </c>
      <c r="E27" s="175" t="s">
        <v>274</v>
      </c>
      <c r="F27" s="175"/>
      <c r="G27" s="175"/>
      <c r="H27" s="175"/>
      <c r="I27" s="175">
        <v>23</v>
      </c>
    </row>
    <row r="28" spans="1:9" ht="15" customHeight="1">
      <c r="A28" s="174" t="s">
        <v>304</v>
      </c>
      <c r="B28" s="175" t="s">
        <v>302</v>
      </c>
      <c r="C28" s="175" t="str">
        <f t="shared" si="3"/>
        <v>攻</v>
      </c>
      <c r="D28" s="175">
        <v>16</v>
      </c>
      <c r="E28" s="175" t="s">
        <v>274</v>
      </c>
      <c r="F28" s="175"/>
      <c r="G28" s="175"/>
      <c r="H28" s="175"/>
      <c r="I28" s="175">
        <v>3</v>
      </c>
    </row>
    <row r="29" spans="1:9" ht="15" customHeight="1">
      <c r="A29" s="174" t="s">
        <v>305</v>
      </c>
      <c r="B29" s="175" t="s">
        <v>302</v>
      </c>
      <c r="C29" s="175" t="str">
        <f t="shared" si="3"/>
        <v>攻</v>
      </c>
      <c r="D29" s="175">
        <v>45</v>
      </c>
      <c r="E29" s="175" t="s">
        <v>274</v>
      </c>
      <c r="F29" s="175"/>
      <c r="G29" s="175"/>
      <c r="H29" s="175"/>
      <c r="I29" s="175">
        <v>10</v>
      </c>
    </row>
    <row r="30" spans="1:9" ht="15" customHeight="1">
      <c r="A30" s="174" t="s">
        <v>306</v>
      </c>
      <c r="B30" s="175" t="s">
        <v>302</v>
      </c>
      <c r="C30" s="175" t="str">
        <f t="shared" si="3"/>
        <v>攻</v>
      </c>
      <c r="D30" s="175">
        <v>13</v>
      </c>
      <c r="E30" s="175" t="s">
        <v>293</v>
      </c>
      <c r="F30" s="175"/>
      <c r="G30" s="175"/>
      <c r="H30" s="175"/>
      <c r="I30" s="175">
        <v>3</v>
      </c>
    </row>
    <row r="31" spans="1:9" ht="15" customHeight="1">
      <c r="A31" s="174" t="s">
        <v>307</v>
      </c>
      <c r="B31" s="175" t="s">
        <v>302</v>
      </c>
      <c r="C31" s="175" t="str">
        <f t="shared" si="3"/>
        <v>攻</v>
      </c>
      <c r="D31" s="175">
        <v>16</v>
      </c>
      <c r="E31" s="175" t="s">
        <v>293</v>
      </c>
      <c r="F31" s="175"/>
      <c r="G31" s="175"/>
      <c r="H31" s="175"/>
      <c r="I31" s="175">
        <v>2</v>
      </c>
    </row>
    <row r="32" spans="1:9" ht="15" customHeight="1">
      <c r="A32" s="174" t="s">
        <v>308</v>
      </c>
      <c r="B32" s="175" t="s">
        <v>302</v>
      </c>
      <c r="C32" s="175" t="str">
        <f t="shared" si="3"/>
        <v>攻</v>
      </c>
      <c r="D32" s="175">
        <v>30</v>
      </c>
      <c r="E32" s="175" t="s">
        <v>274</v>
      </c>
      <c r="F32" s="175"/>
      <c r="G32" s="175"/>
      <c r="H32" s="175"/>
      <c r="I32" s="175">
        <v>7</v>
      </c>
    </row>
    <row r="33" spans="1:9" ht="15" customHeight="1">
      <c r="A33" s="174" t="s">
        <v>309</v>
      </c>
      <c r="B33" s="175" t="s">
        <v>302</v>
      </c>
      <c r="C33" s="175" t="str">
        <f t="shared" si="3"/>
        <v>攻</v>
      </c>
      <c r="D33" s="175">
        <v>33</v>
      </c>
      <c r="E33" s="175" t="s">
        <v>274</v>
      </c>
      <c r="F33" s="175"/>
      <c r="G33" s="175"/>
      <c r="H33" s="175"/>
      <c r="I33" s="175">
        <v>7</v>
      </c>
    </row>
    <row r="34" spans="1:9" ht="15" customHeight="1">
      <c r="A34" s="174" t="s">
        <v>310</v>
      </c>
      <c r="B34" s="175" t="s">
        <v>302</v>
      </c>
      <c r="C34" s="175" t="str">
        <f t="shared" si="3"/>
        <v>攻</v>
      </c>
      <c r="D34" s="175">
        <v>40</v>
      </c>
      <c r="E34" s="175" t="s">
        <v>274</v>
      </c>
      <c r="F34" s="175"/>
      <c r="G34" s="175"/>
      <c r="H34" s="175"/>
      <c r="I34" s="175">
        <v>11</v>
      </c>
    </row>
    <row r="35" spans="1:9" ht="15" customHeight="1">
      <c r="A35" s="174" t="s">
        <v>311</v>
      </c>
      <c r="B35" s="175" t="s">
        <v>302</v>
      </c>
      <c r="C35" s="175" t="str">
        <f t="shared" si="3"/>
        <v>攻</v>
      </c>
      <c r="D35" s="175">
        <v>32</v>
      </c>
      <c r="E35" s="175" t="s">
        <v>274</v>
      </c>
      <c r="F35" s="175"/>
      <c r="G35" s="175"/>
      <c r="H35" s="175"/>
      <c r="I35" s="175">
        <v>12</v>
      </c>
    </row>
    <row r="36" spans="1:9" ht="15" customHeight="1">
      <c r="A36" s="174" t="s">
        <v>312</v>
      </c>
      <c r="B36" s="175" t="s">
        <v>302</v>
      </c>
      <c r="C36" s="175" t="str">
        <f t="shared" si="3"/>
        <v>攻</v>
      </c>
      <c r="D36" s="175">
        <v>36</v>
      </c>
      <c r="E36" s="175" t="s">
        <v>274</v>
      </c>
      <c r="F36" s="175"/>
      <c r="G36" s="175"/>
      <c r="H36" s="175"/>
      <c r="I36" s="175">
        <v>13</v>
      </c>
    </row>
    <row r="37" spans="1:9" ht="15" customHeight="1">
      <c r="A37" s="174" t="s">
        <v>313</v>
      </c>
      <c r="B37" s="175" t="s">
        <v>302</v>
      </c>
      <c r="C37" s="175" t="str">
        <f t="shared" si="3"/>
        <v>攻</v>
      </c>
      <c r="D37" s="175">
        <v>42</v>
      </c>
      <c r="E37" s="175" t="s">
        <v>274</v>
      </c>
      <c r="F37" s="175"/>
      <c r="G37" s="175"/>
      <c r="H37" s="175"/>
      <c r="I37" s="175">
        <v>13</v>
      </c>
    </row>
    <row r="38" spans="1:9" ht="15" customHeight="1">
      <c r="A38" s="174" t="s">
        <v>314</v>
      </c>
      <c r="B38" s="175" t="s">
        <v>302</v>
      </c>
      <c r="C38" s="175" t="str">
        <f t="shared" si="3"/>
        <v>攻</v>
      </c>
      <c r="D38" s="175">
        <v>28</v>
      </c>
      <c r="E38" s="175" t="s">
        <v>274</v>
      </c>
      <c r="F38" s="175"/>
      <c r="G38" s="175"/>
      <c r="H38" s="175"/>
      <c r="I38" s="175">
        <v>8</v>
      </c>
    </row>
    <row r="39" spans="1:9" ht="15" customHeight="1">
      <c r="A39" s="174" t="s">
        <v>315</v>
      </c>
      <c r="B39" s="175" t="s">
        <v>302</v>
      </c>
      <c r="C39" s="175" t="str">
        <f t="shared" si="3"/>
        <v>攻</v>
      </c>
      <c r="D39" s="175">
        <v>10</v>
      </c>
      <c r="E39" s="175" t="s">
        <v>293</v>
      </c>
      <c r="F39" s="175"/>
      <c r="G39" s="175"/>
      <c r="H39" s="175"/>
      <c r="I39" s="175">
        <v>1</v>
      </c>
    </row>
    <row r="40" spans="1:9" ht="15" customHeight="1">
      <c r="A40" s="174" t="s">
        <v>316</v>
      </c>
      <c r="B40" s="175" t="s">
        <v>302</v>
      </c>
      <c r="C40" s="175" t="str">
        <f t="shared" si="3"/>
        <v>攻</v>
      </c>
      <c r="D40" s="175">
        <v>39</v>
      </c>
      <c r="E40" s="175" t="s">
        <v>274</v>
      </c>
      <c r="F40" s="175"/>
      <c r="G40" s="175"/>
      <c r="H40" s="175"/>
      <c r="I40" s="175">
        <v>10</v>
      </c>
    </row>
    <row r="41" spans="1:9" ht="15" customHeight="1">
      <c r="A41" s="174" t="s">
        <v>317</v>
      </c>
      <c r="B41" s="175" t="s">
        <v>292</v>
      </c>
      <c r="C41" s="175" t="s">
        <v>20</v>
      </c>
      <c r="D41" s="175">
        <v>40</v>
      </c>
      <c r="E41" s="175" t="s">
        <v>274</v>
      </c>
      <c r="F41" s="175"/>
      <c r="G41" s="175"/>
      <c r="H41" s="175"/>
      <c r="I41" s="175">
        <v>3</v>
      </c>
    </row>
    <row r="42" spans="1:9" ht="15" customHeight="1">
      <c r="A42" s="174" t="s">
        <v>318</v>
      </c>
      <c r="B42" s="175" t="s">
        <v>292</v>
      </c>
      <c r="C42" s="175" t="s">
        <v>20</v>
      </c>
      <c r="D42" s="175">
        <v>30</v>
      </c>
      <c r="E42" s="175" t="s">
        <v>293</v>
      </c>
      <c r="F42" s="175"/>
      <c r="G42" s="177"/>
      <c r="H42" s="175"/>
      <c r="I42" s="175">
        <v>6</v>
      </c>
    </row>
    <row r="43" spans="1:9" ht="15" customHeight="1">
      <c r="A43" s="174" t="s">
        <v>319</v>
      </c>
      <c r="B43" s="175" t="s">
        <v>292</v>
      </c>
      <c r="C43" s="175" t="s">
        <v>20</v>
      </c>
      <c r="D43" s="175">
        <v>30</v>
      </c>
      <c r="E43" s="175" t="s">
        <v>293</v>
      </c>
      <c r="F43" s="175"/>
      <c r="G43" s="177"/>
      <c r="H43" s="175"/>
      <c r="I43" s="175">
        <v>6</v>
      </c>
    </row>
    <row r="44" spans="1:9" ht="15" customHeight="1">
      <c r="A44" s="174" t="s">
        <v>320</v>
      </c>
      <c r="B44" s="175" t="s">
        <v>292</v>
      </c>
      <c r="C44" s="175" t="str">
        <f t="shared" ref="C44:C49" si="4">IF(ISNUMBER(D44)=FALSE,"辅","攻")</f>
        <v>攻</v>
      </c>
      <c r="D44" s="175">
        <v>52</v>
      </c>
      <c r="E44" s="175" t="s">
        <v>274</v>
      </c>
      <c r="F44" s="175"/>
      <c r="G44" s="175"/>
      <c r="H44" s="175"/>
      <c r="I44" s="175">
        <v>25</v>
      </c>
    </row>
    <row r="45" spans="1:9" ht="15" customHeight="1">
      <c r="A45" s="176" t="s">
        <v>321</v>
      </c>
      <c r="B45" s="175" t="s">
        <v>292</v>
      </c>
      <c r="C45" s="175" t="str">
        <f t="shared" si="4"/>
        <v>攻</v>
      </c>
      <c r="D45" s="175">
        <v>40</v>
      </c>
      <c r="E45" s="175" t="s">
        <v>274</v>
      </c>
      <c r="F45" s="175"/>
      <c r="G45" s="175"/>
      <c r="H45" s="175"/>
      <c r="I45" s="175">
        <v>15</v>
      </c>
    </row>
    <row r="46" spans="1:9" ht="15" customHeight="1">
      <c r="A46" s="176" t="s">
        <v>322</v>
      </c>
      <c r="B46" s="175" t="s">
        <v>292</v>
      </c>
      <c r="C46" s="175" t="str">
        <f t="shared" si="4"/>
        <v>攻</v>
      </c>
      <c r="D46" s="175">
        <v>36</v>
      </c>
      <c r="E46" s="175" t="s">
        <v>274</v>
      </c>
      <c r="F46" s="175"/>
      <c r="G46" s="175"/>
      <c r="H46" s="175"/>
      <c r="I46" s="175">
        <v>13</v>
      </c>
    </row>
    <row r="47" spans="1:9" ht="15" customHeight="1">
      <c r="A47" s="176" t="s">
        <v>323</v>
      </c>
      <c r="B47" s="175" t="s">
        <v>292</v>
      </c>
      <c r="C47" s="175" t="str">
        <f t="shared" si="4"/>
        <v>攻</v>
      </c>
      <c r="D47" s="175">
        <v>80</v>
      </c>
      <c r="E47" s="175" t="s">
        <v>274</v>
      </c>
      <c r="F47" s="175"/>
      <c r="G47" s="175"/>
      <c r="H47" s="175"/>
      <c r="I47" s="175">
        <v>18</v>
      </c>
    </row>
    <row r="48" spans="1:9" ht="15" customHeight="1">
      <c r="A48" s="176" t="s">
        <v>324</v>
      </c>
      <c r="B48" s="175" t="s">
        <v>292</v>
      </c>
      <c r="C48" s="175" t="str">
        <f t="shared" si="4"/>
        <v>攻</v>
      </c>
      <c r="D48" s="175">
        <v>18</v>
      </c>
      <c r="E48" s="178" t="s">
        <v>293</v>
      </c>
      <c r="F48" s="175"/>
      <c r="G48" s="175"/>
      <c r="H48" s="175"/>
      <c r="I48" s="175">
        <v>4</v>
      </c>
    </row>
    <row r="49" spans="1:9" ht="15" customHeight="1">
      <c r="A49" s="176" t="s">
        <v>325</v>
      </c>
      <c r="B49" s="175" t="s">
        <v>292</v>
      </c>
      <c r="C49" s="175" t="str">
        <f t="shared" si="4"/>
        <v>攻</v>
      </c>
      <c r="D49" s="175">
        <v>45</v>
      </c>
      <c r="E49" s="178" t="s">
        <v>274</v>
      </c>
      <c r="F49" s="175"/>
      <c r="G49" s="175"/>
      <c r="H49" s="175"/>
      <c r="I49" s="175">
        <v>9</v>
      </c>
    </row>
    <row r="50" spans="1:9" ht="15" customHeight="1">
      <c r="A50" s="176" t="s">
        <v>326</v>
      </c>
      <c r="B50" s="178" t="s">
        <v>292</v>
      </c>
      <c r="C50" s="178" t="s">
        <v>20</v>
      </c>
      <c r="D50" s="175">
        <v>74</v>
      </c>
      <c r="E50" s="178" t="s">
        <v>274</v>
      </c>
      <c r="F50" s="175"/>
      <c r="G50" s="175"/>
      <c r="H50" s="175"/>
      <c r="I50" s="175">
        <v>18</v>
      </c>
    </row>
    <row r="51" spans="1:9" ht="15" customHeight="1">
      <c r="A51" s="176" t="s">
        <v>327</v>
      </c>
      <c r="B51" s="178" t="s">
        <v>292</v>
      </c>
      <c r="C51" s="178" t="s">
        <v>20</v>
      </c>
      <c r="D51" s="175">
        <v>22</v>
      </c>
      <c r="E51" s="178" t="s">
        <v>293</v>
      </c>
      <c r="F51" s="175"/>
      <c r="G51" s="175"/>
      <c r="H51" s="175"/>
      <c r="I51" s="175">
        <v>4</v>
      </c>
    </row>
    <row r="52" spans="1:9" ht="15" customHeight="1">
      <c r="A52" s="176" t="s">
        <v>328</v>
      </c>
      <c r="B52" s="178" t="s">
        <v>292</v>
      </c>
      <c r="C52" s="178" t="s">
        <v>20</v>
      </c>
      <c r="D52" s="175">
        <v>76</v>
      </c>
      <c r="E52" s="178" t="s">
        <v>274</v>
      </c>
      <c r="F52" s="175"/>
      <c r="G52" s="175"/>
      <c r="H52" s="175"/>
      <c r="I52" s="175">
        <v>19</v>
      </c>
    </row>
    <row r="53" spans="1:9" ht="15" customHeight="1">
      <c r="A53" s="174" t="s">
        <v>329</v>
      </c>
      <c r="B53" s="175" t="s">
        <v>292</v>
      </c>
      <c r="C53" s="175" t="str">
        <f>IF(ISNUMBER(D53)=FALSE,"辅","攻")</f>
        <v>辅</v>
      </c>
      <c r="D53" s="175"/>
      <c r="E53" s="175"/>
      <c r="F53" s="175"/>
      <c r="G53" s="175"/>
      <c r="H53" s="175"/>
      <c r="I53" s="175"/>
    </row>
    <row r="54" spans="1:9" ht="15" customHeight="1">
      <c r="A54" s="176" t="s">
        <v>330</v>
      </c>
      <c r="B54" s="178" t="s">
        <v>292</v>
      </c>
      <c r="C54" s="178" t="s">
        <v>20</v>
      </c>
      <c r="D54" s="175">
        <v>23</v>
      </c>
      <c r="E54" s="178" t="s">
        <v>293</v>
      </c>
      <c r="F54" s="175"/>
      <c r="G54" s="175"/>
      <c r="H54" s="175"/>
      <c r="I54" s="175">
        <v>4</v>
      </c>
    </row>
    <row r="55" spans="1:9" ht="15" customHeight="1">
      <c r="A55" s="174" t="s">
        <v>331</v>
      </c>
      <c r="B55" s="175" t="s">
        <v>292</v>
      </c>
      <c r="C55" s="175" t="s">
        <v>20</v>
      </c>
      <c r="D55" s="175">
        <v>27</v>
      </c>
      <c r="E55" s="175" t="s">
        <v>293</v>
      </c>
      <c r="F55" s="175"/>
      <c r="G55" s="175"/>
      <c r="H55" s="175"/>
      <c r="I55" s="175">
        <v>4</v>
      </c>
    </row>
    <row r="56" spans="1:9" ht="15" customHeight="1">
      <c r="A56" s="174" t="s">
        <v>332</v>
      </c>
      <c r="B56" s="175" t="s">
        <v>292</v>
      </c>
      <c r="C56" s="175" t="str">
        <f>IF(ISNUMBER(D56)=FALSE,"辅","攻")</f>
        <v>辅</v>
      </c>
      <c r="D56" s="175"/>
      <c r="E56" s="175"/>
      <c r="F56" s="175"/>
      <c r="G56" s="175"/>
      <c r="H56" s="175"/>
      <c r="I56" s="175"/>
    </row>
    <row r="57" spans="1:9" ht="15" customHeight="1">
      <c r="A57" s="174" t="s">
        <v>333</v>
      </c>
      <c r="B57" s="175" t="s">
        <v>292</v>
      </c>
      <c r="C57" s="175" t="s">
        <v>20</v>
      </c>
      <c r="D57" s="175">
        <v>24</v>
      </c>
      <c r="E57" s="175" t="s">
        <v>293</v>
      </c>
      <c r="F57" s="175"/>
      <c r="G57" s="175"/>
      <c r="H57" s="175"/>
      <c r="I57" s="175">
        <v>4</v>
      </c>
    </row>
    <row r="58" spans="1:9" ht="15" customHeight="1">
      <c r="A58" s="176" t="s">
        <v>334</v>
      </c>
      <c r="B58" s="178" t="s">
        <v>292</v>
      </c>
      <c r="C58" s="178" t="s">
        <v>335</v>
      </c>
      <c r="D58" s="175"/>
      <c r="E58" s="175"/>
      <c r="F58" s="175"/>
      <c r="G58" s="175"/>
      <c r="H58" s="175"/>
      <c r="I58" s="175"/>
    </row>
    <row r="59" spans="1:9" ht="15" customHeight="1">
      <c r="A59" s="176" t="s">
        <v>336</v>
      </c>
      <c r="B59" s="178" t="s">
        <v>292</v>
      </c>
      <c r="C59" s="178" t="s">
        <v>20</v>
      </c>
      <c r="D59" s="175">
        <v>52</v>
      </c>
      <c r="E59" s="178" t="s">
        <v>274</v>
      </c>
      <c r="F59" s="175"/>
      <c r="G59" s="175"/>
      <c r="H59" s="175"/>
      <c r="I59" s="175">
        <v>23</v>
      </c>
    </row>
    <row r="60" spans="1:9" ht="15" customHeight="1">
      <c r="A60" s="176" t="s">
        <v>337</v>
      </c>
      <c r="B60" s="178" t="s">
        <v>292</v>
      </c>
      <c r="C60" s="178" t="s">
        <v>20</v>
      </c>
      <c r="D60" s="175">
        <v>24</v>
      </c>
      <c r="E60" s="178" t="s">
        <v>293</v>
      </c>
      <c r="F60" s="175"/>
      <c r="G60" s="175"/>
      <c r="H60" s="175"/>
      <c r="I60" s="175">
        <v>6</v>
      </c>
    </row>
    <row r="61" spans="1:9" ht="15" customHeight="1">
      <c r="A61" s="174"/>
      <c r="B61" s="175"/>
      <c r="C61" s="175"/>
      <c r="D61" s="175"/>
      <c r="E61" s="175"/>
      <c r="F61" s="175"/>
      <c r="G61" s="175"/>
      <c r="H61" s="175"/>
      <c r="I61" s="175"/>
    </row>
    <row r="62" spans="1:9" ht="15" customHeight="1">
      <c r="A62" s="174" t="s">
        <v>338</v>
      </c>
      <c r="B62" s="175" t="s">
        <v>292</v>
      </c>
      <c r="C62" s="178" t="s">
        <v>30</v>
      </c>
      <c r="D62" s="175"/>
      <c r="E62" s="175"/>
      <c r="F62" s="179"/>
      <c r="G62" s="179">
        <v>7</v>
      </c>
      <c r="H62" s="179"/>
      <c r="I62" s="180">
        <v>4.5</v>
      </c>
    </row>
    <row r="63" spans="1:9" ht="15" customHeight="1">
      <c r="A63" s="174" t="s">
        <v>339</v>
      </c>
      <c r="B63" s="175" t="s">
        <v>292</v>
      </c>
      <c r="C63" s="178" t="s">
        <v>340</v>
      </c>
      <c r="D63" s="175"/>
      <c r="E63" s="175"/>
      <c r="F63" s="179"/>
      <c r="G63" s="179"/>
      <c r="H63" s="179">
        <v>8</v>
      </c>
      <c r="I63" s="180">
        <v>3</v>
      </c>
    </row>
    <row r="64" spans="1:9" ht="15" customHeight="1">
      <c r="A64" s="174" t="s">
        <v>341</v>
      </c>
      <c r="B64" s="175" t="s">
        <v>292</v>
      </c>
      <c r="C64" s="178" t="s">
        <v>20</v>
      </c>
      <c r="D64" s="175"/>
      <c r="E64" s="175"/>
      <c r="F64" s="179">
        <v>4</v>
      </c>
      <c r="G64" s="179"/>
      <c r="H64" s="179"/>
      <c r="I64" s="180">
        <v>4</v>
      </c>
    </row>
    <row r="65" spans="1:9" ht="15" customHeight="1">
      <c r="A65" s="174" t="s">
        <v>342</v>
      </c>
      <c r="B65" s="175" t="s">
        <v>292</v>
      </c>
      <c r="C65" s="178" t="s">
        <v>30</v>
      </c>
      <c r="D65" s="175"/>
      <c r="E65" s="175"/>
      <c r="F65" s="179"/>
      <c r="G65" s="179">
        <v>15</v>
      </c>
      <c r="H65" s="179"/>
      <c r="I65" s="180">
        <v>3</v>
      </c>
    </row>
    <row r="66" spans="1:9" ht="15" customHeight="1">
      <c r="A66" s="174" t="s">
        <v>343</v>
      </c>
      <c r="B66" s="175" t="s">
        <v>292</v>
      </c>
      <c r="C66" s="178" t="s">
        <v>340</v>
      </c>
      <c r="D66" s="175"/>
      <c r="E66" s="175"/>
      <c r="F66" s="179"/>
      <c r="G66" s="179"/>
      <c r="H66" s="179">
        <v>5</v>
      </c>
      <c r="I66" s="180">
        <v>4</v>
      </c>
    </row>
    <row r="67" spans="1:9" ht="15" customHeight="1">
      <c r="A67" s="174" t="s">
        <v>344</v>
      </c>
      <c r="B67" s="175" t="s">
        <v>292</v>
      </c>
      <c r="C67" s="178" t="s">
        <v>20</v>
      </c>
      <c r="D67" s="175"/>
      <c r="E67" s="175"/>
      <c r="F67" s="179">
        <v>12</v>
      </c>
      <c r="G67" s="179"/>
      <c r="H67" s="179"/>
      <c r="I67" s="180">
        <v>2</v>
      </c>
    </row>
    <row r="68" spans="1:9" ht="15" customHeight="1">
      <c r="A68" s="176" t="s">
        <v>345</v>
      </c>
      <c r="B68" s="178" t="s">
        <v>292</v>
      </c>
      <c r="C68" s="178" t="s">
        <v>20</v>
      </c>
      <c r="D68" s="175"/>
      <c r="E68" s="175"/>
      <c r="F68" s="179">
        <v>4</v>
      </c>
      <c r="G68" s="179"/>
      <c r="H68" s="179"/>
      <c r="I68" s="180">
        <v>2.4</v>
      </c>
    </row>
    <row r="69" spans="1:9" ht="15" customHeight="1">
      <c r="A69" s="176" t="s">
        <v>346</v>
      </c>
      <c r="B69" s="178" t="s">
        <v>292</v>
      </c>
      <c r="C69" s="178" t="s">
        <v>20</v>
      </c>
      <c r="D69" s="175"/>
      <c r="E69" s="175"/>
      <c r="F69" s="179">
        <v>8</v>
      </c>
      <c r="G69" s="179"/>
      <c r="H69" s="179"/>
      <c r="I69" s="180">
        <v>3</v>
      </c>
    </row>
    <row r="70" spans="1:9" ht="15" customHeight="1">
      <c r="A70" s="176" t="s">
        <v>347</v>
      </c>
      <c r="B70" s="178" t="s">
        <v>292</v>
      </c>
      <c r="C70" s="178" t="s">
        <v>30</v>
      </c>
      <c r="D70" s="175"/>
      <c r="E70" s="175"/>
      <c r="F70" s="179"/>
      <c r="G70" s="179">
        <v>5</v>
      </c>
      <c r="H70" s="179"/>
      <c r="I70" s="180">
        <v>4</v>
      </c>
    </row>
    <row r="71" spans="1:9" ht="15" customHeight="1">
      <c r="A71" s="176" t="s">
        <v>348</v>
      </c>
      <c r="B71" s="178" t="s">
        <v>292</v>
      </c>
      <c r="C71" s="178" t="s">
        <v>20</v>
      </c>
      <c r="D71" s="175"/>
      <c r="E71" s="175"/>
      <c r="F71" s="179">
        <v>13</v>
      </c>
      <c r="G71" s="179"/>
      <c r="H71" s="179"/>
      <c r="I71" s="180">
        <v>3.15</v>
      </c>
    </row>
    <row r="72" spans="1:9" ht="15" customHeight="1">
      <c r="A72" s="176" t="s">
        <v>349</v>
      </c>
      <c r="B72" s="178" t="s">
        <v>292</v>
      </c>
      <c r="C72" s="178" t="s">
        <v>30</v>
      </c>
      <c r="D72" s="175"/>
      <c r="E72" s="175"/>
      <c r="F72" s="179"/>
      <c r="G72" s="179">
        <v>6</v>
      </c>
      <c r="H72" s="179"/>
      <c r="I72" s="180">
        <v>5.15</v>
      </c>
    </row>
    <row r="73" spans="1:9" ht="15" customHeight="1">
      <c r="A73" s="174" t="s">
        <v>350</v>
      </c>
      <c r="B73" s="175" t="s">
        <v>292</v>
      </c>
      <c r="C73" s="178" t="s">
        <v>30</v>
      </c>
      <c r="D73" s="175"/>
      <c r="E73" s="175"/>
      <c r="F73" s="179"/>
      <c r="G73" s="179">
        <v>5</v>
      </c>
      <c r="H73" s="179"/>
      <c r="I73" s="180">
        <v>5</v>
      </c>
    </row>
    <row r="74" spans="1:9" ht="15" customHeight="1">
      <c r="A74" s="174" t="s">
        <v>351</v>
      </c>
      <c r="B74" s="175" t="s">
        <v>302</v>
      </c>
      <c r="C74" s="178" t="s">
        <v>340</v>
      </c>
      <c r="D74" s="175"/>
      <c r="E74" s="175"/>
      <c r="F74" s="179"/>
      <c r="G74" s="179"/>
      <c r="H74" s="179">
        <v>3</v>
      </c>
      <c r="I74" s="180">
        <v>2.8</v>
      </c>
    </row>
    <row r="75" spans="1:9" ht="15" customHeight="1">
      <c r="A75" s="174" t="s">
        <v>352</v>
      </c>
      <c r="B75" s="175" t="s">
        <v>302</v>
      </c>
      <c r="C75" s="178" t="s">
        <v>20</v>
      </c>
      <c r="D75" s="175"/>
      <c r="E75" s="175"/>
      <c r="F75" s="179">
        <v>7</v>
      </c>
      <c r="G75" s="179"/>
      <c r="H75" s="179"/>
      <c r="I75" s="180">
        <v>1.8</v>
      </c>
    </row>
    <row r="76" spans="1:9" ht="15" customHeight="1">
      <c r="A76" s="174" t="s">
        <v>353</v>
      </c>
      <c r="B76" s="175" t="s">
        <v>302</v>
      </c>
      <c r="C76" s="178" t="s">
        <v>30</v>
      </c>
      <c r="D76" s="175"/>
      <c r="E76" s="175"/>
      <c r="F76" s="179"/>
      <c r="G76" s="179">
        <v>10</v>
      </c>
      <c r="H76" s="179"/>
      <c r="I76" s="180">
        <v>2.2999999999999998</v>
      </c>
    </row>
    <row r="77" spans="1:9" ht="15" customHeight="1">
      <c r="A77" s="174" t="s">
        <v>354</v>
      </c>
      <c r="B77" s="175" t="s">
        <v>273</v>
      </c>
      <c r="C77" s="178" t="s">
        <v>340</v>
      </c>
      <c r="D77" s="175"/>
      <c r="E77" s="175"/>
      <c r="F77" s="179"/>
      <c r="G77" s="179"/>
      <c r="H77" s="179">
        <v>5</v>
      </c>
      <c r="I77" s="180">
        <v>1</v>
      </c>
    </row>
    <row r="78" spans="1:9" ht="15" customHeight="1">
      <c r="A78" s="174" t="s">
        <v>355</v>
      </c>
      <c r="B78" s="175" t="s">
        <v>273</v>
      </c>
      <c r="C78" s="178" t="s">
        <v>30</v>
      </c>
      <c r="D78" s="175"/>
      <c r="E78" s="175"/>
      <c r="F78" s="179"/>
      <c r="G78" s="179">
        <v>6</v>
      </c>
      <c r="H78" s="179"/>
      <c r="I78" s="180">
        <v>1.8</v>
      </c>
    </row>
    <row r="79" spans="1:9" ht="15" customHeight="1">
      <c r="A79" s="174" t="s">
        <v>356</v>
      </c>
      <c r="B79" s="175" t="s">
        <v>273</v>
      </c>
      <c r="C79" s="178" t="s">
        <v>20</v>
      </c>
      <c r="D79" s="175"/>
      <c r="E79" s="175"/>
      <c r="F79" s="179">
        <v>4</v>
      </c>
      <c r="G79" s="179"/>
      <c r="H79" s="179"/>
      <c r="I79" s="180">
        <v>1</v>
      </c>
    </row>
    <row r="80" spans="1:9" ht="15" customHeight="1">
      <c r="A80" s="174" t="s">
        <v>357</v>
      </c>
      <c r="B80" s="175" t="s">
        <v>292</v>
      </c>
      <c r="C80" s="178" t="s">
        <v>20</v>
      </c>
      <c r="D80" s="175"/>
      <c r="E80" s="175"/>
      <c r="F80" s="179">
        <v>15</v>
      </c>
      <c r="G80" s="179"/>
      <c r="H80" s="179"/>
      <c r="I80" s="180">
        <v>2.9</v>
      </c>
    </row>
    <row r="81" spans="1:9" ht="15" customHeight="1">
      <c r="A81" s="174" t="s">
        <v>358</v>
      </c>
      <c r="B81" s="175" t="s">
        <v>292</v>
      </c>
      <c r="C81" s="178" t="s">
        <v>20</v>
      </c>
      <c r="D81" s="175"/>
      <c r="E81" s="175"/>
      <c r="F81" s="179">
        <v>12</v>
      </c>
      <c r="G81" s="179"/>
      <c r="H81" s="179"/>
      <c r="I81" s="180">
        <v>3</v>
      </c>
    </row>
    <row r="82" spans="1:9" ht="15" customHeight="1">
      <c r="F82" s="181"/>
      <c r="G82" s="181"/>
      <c r="H82" s="181"/>
      <c r="I82" s="181"/>
    </row>
    <row r="83" spans="1:9" ht="15" customHeight="1">
      <c r="F83" s="181"/>
      <c r="G83" s="181"/>
      <c r="H83" s="181"/>
      <c r="I83" s="181"/>
    </row>
    <row r="84" spans="1:9" ht="15" customHeight="1">
      <c r="F84" s="181"/>
      <c r="G84" s="181"/>
      <c r="H84" s="181"/>
      <c r="I84" s="181"/>
    </row>
    <row r="85" spans="1:9" ht="15" customHeight="1">
      <c r="F85" s="181"/>
      <c r="G85" s="181"/>
      <c r="H85" s="181"/>
      <c r="I85" s="181"/>
    </row>
    <row r="86" spans="1:9" ht="15" customHeight="1">
      <c r="F86" s="181"/>
      <c r="G86" s="181"/>
      <c r="H86" s="181"/>
      <c r="I86" s="181"/>
    </row>
  </sheetData>
  <phoneticPr fontId="57" type="noConversion"/>
  <dataValidations count="1">
    <dataValidation type="whole" allowBlank="1" showInputMessage="1" showErrorMessage="1" sqref="F1:H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activeCell="H8" sqref="H8:H9"/>
    </sheetView>
  </sheetViews>
  <sheetFormatPr defaultColWidth="9" defaultRowHeight="13.5"/>
  <cols>
    <col min="1" max="1" width="11.125" style="6" customWidth="1"/>
    <col min="2" max="10" width="9.375" style="6" customWidth="1"/>
    <col min="11" max="16384" width="9" style="6"/>
  </cols>
  <sheetData>
    <row r="1" spans="2:18" ht="18" customHeight="1"/>
    <row r="2" spans="2:18" ht="9" customHeight="1">
      <c r="D2" s="676" t="s">
        <v>359</v>
      </c>
      <c r="E2" s="676"/>
      <c r="F2" s="676"/>
      <c r="G2" s="676"/>
      <c r="H2" s="676"/>
    </row>
    <row r="3" spans="2:18" ht="6.75" customHeight="1">
      <c r="D3" s="676"/>
      <c r="E3" s="676"/>
      <c r="F3" s="676"/>
      <c r="G3" s="676"/>
      <c r="H3" s="676"/>
    </row>
    <row r="4" spans="2:18" ht="20.25" customHeight="1">
      <c r="D4" s="676"/>
      <c r="E4" s="676"/>
      <c r="F4" s="676"/>
      <c r="G4" s="676"/>
      <c r="H4" s="676"/>
      <c r="J4" s="170" t="s">
        <v>360</v>
      </c>
      <c r="K4" s="171" t="s">
        <v>361</v>
      </c>
    </row>
    <row r="5" spans="2:18" ht="18.75" customHeight="1">
      <c r="D5" s="164"/>
      <c r="E5" s="164"/>
      <c r="F5" s="164"/>
      <c r="G5" s="164"/>
      <c r="H5" s="164"/>
      <c r="J5" s="172" t="s">
        <v>362</v>
      </c>
      <c r="L5" s="600" t="s">
        <v>363</v>
      </c>
      <c r="M5" s="601"/>
      <c r="N5" s="601"/>
      <c r="O5" s="601"/>
      <c r="P5" s="601"/>
      <c r="Q5" s="601"/>
    </row>
    <row r="6" spans="2:18" ht="14.25" customHeight="1">
      <c r="B6" s="666" t="s">
        <v>364</v>
      </c>
      <c r="C6" s="667"/>
      <c r="D6" s="603" t="str">
        <f>$A$30</f>
        <v>李寻欢</v>
      </c>
      <c r="E6" s="617" t="s">
        <v>365</v>
      </c>
      <c r="F6" s="628" t="s">
        <v>12</v>
      </c>
      <c r="G6" s="636" t="s">
        <v>20</v>
      </c>
      <c r="H6" s="636" t="s">
        <v>30</v>
      </c>
      <c r="I6" s="644" t="s">
        <v>340</v>
      </c>
      <c r="J6" s="652" t="s">
        <v>366</v>
      </c>
      <c r="L6" s="600" t="s">
        <v>367</v>
      </c>
      <c r="M6" s="601"/>
      <c r="N6" s="601"/>
      <c r="O6" s="601"/>
      <c r="P6" s="601"/>
      <c r="Q6" s="601"/>
    </row>
    <row r="7" spans="2:18" ht="14.25" customHeight="1">
      <c r="B7" s="668"/>
      <c r="C7" s="669"/>
      <c r="D7" s="604"/>
      <c r="E7" s="618"/>
      <c r="F7" s="629"/>
      <c r="G7" s="637"/>
      <c r="H7" s="637"/>
      <c r="I7" s="645"/>
      <c r="J7" s="653"/>
      <c r="L7" s="600" t="s">
        <v>368</v>
      </c>
      <c r="M7" s="601"/>
      <c r="N7" s="601"/>
      <c r="O7" s="601"/>
      <c r="P7" s="601"/>
      <c r="Q7" s="601"/>
    </row>
    <row r="8" spans="2:18" ht="14.25" customHeight="1">
      <c r="B8" s="670"/>
      <c r="C8" s="671"/>
      <c r="D8" s="605" t="s">
        <v>369</v>
      </c>
      <c r="E8" s="619">
        <v>255</v>
      </c>
      <c r="F8" s="630">
        <v>2456</v>
      </c>
      <c r="G8" s="638">
        <v>9915</v>
      </c>
      <c r="H8" s="638">
        <v>402</v>
      </c>
      <c r="I8" s="646">
        <v>537</v>
      </c>
      <c r="J8" s="654">
        <f t="shared" ref="J8" si="0">SUM(F8:I9)</f>
        <v>13310</v>
      </c>
      <c r="L8" s="600" t="s">
        <v>370</v>
      </c>
      <c r="M8" s="601"/>
      <c r="N8" s="601"/>
      <c r="O8" s="601"/>
      <c r="P8" s="601"/>
      <c r="Q8" s="601"/>
    </row>
    <row r="9" spans="2:18" ht="14.25" customHeight="1">
      <c r="B9" s="672"/>
      <c r="C9" s="673"/>
      <c r="D9" s="606"/>
      <c r="E9" s="620"/>
      <c r="F9" s="631"/>
      <c r="G9" s="639"/>
      <c r="H9" s="639"/>
      <c r="I9" s="647"/>
      <c r="J9" s="655"/>
      <c r="K9" s="11"/>
      <c r="L9" s="600" t="s">
        <v>371</v>
      </c>
      <c r="M9" s="601"/>
      <c r="N9" s="601"/>
      <c r="O9" s="601"/>
      <c r="P9" s="601"/>
      <c r="Q9" s="601"/>
    </row>
    <row r="10" spans="2:18" ht="14.25" customHeight="1">
      <c r="B10" s="672"/>
      <c r="C10" s="673"/>
      <c r="D10" s="607" t="s">
        <v>372</v>
      </c>
      <c r="E10" s="621" t="s">
        <v>373</v>
      </c>
      <c r="F10" s="632">
        <f>IF(J5="否",VLOOKUP($D$6,弟子基础属性!$C$1:$P$183,5,0),VLOOKUP($D$6,弟子觉醒属性!$C$1:$L$183,2,0))</f>
        <v>160</v>
      </c>
      <c r="G10" s="640">
        <f>IF(J5="否",VLOOKUP($D$6,弟子基础属性!$C$1:$P$183,6,0),VLOOKUP($D$6,弟子觉醒属性!$C$1:$L$183,3,0))</f>
        <v>280</v>
      </c>
      <c r="H10" s="640">
        <f>IF(J5="否",VLOOKUP($D$6,弟子基础属性!$C$1:$P$183,7,0),VLOOKUP($D$6,弟子觉醒属性!$C$1:$L$183,4,0))</f>
        <v>100</v>
      </c>
      <c r="I10" s="648">
        <f>IF(J5="否",VLOOKUP($D$6,弟子基础属性!$C$1:$P$183,8,0),VLOOKUP($D$6,弟子觉醒属性!$C$1:$L$183,5,0))</f>
        <v>100</v>
      </c>
      <c r="J10" s="656">
        <f>SUM(F10:I11)</f>
        <v>640</v>
      </c>
      <c r="K10" s="173"/>
      <c r="L10" s="602" t="s">
        <v>374</v>
      </c>
      <c r="M10" s="602"/>
      <c r="N10" s="602"/>
      <c r="O10" s="602"/>
      <c r="P10" s="602"/>
      <c r="Q10" s="602"/>
    </row>
    <row r="11" spans="2:18" ht="14.25" customHeight="1">
      <c r="B11" s="672"/>
      <c r="C11" s="673"/>
      <c r="D11" s="608"/>
      <c r="E11" s="622"/>
      <c r="F11" s="633"/>
      <c r="G11" s="641"/>
      <c r="H11" s="641"/>
      <c r="I11" s="649"/>
      <c r="J11" s="656"/>
      <c r="K11" s="173"/>
      <c r="L11" s="602" t="s">
        <v>375</v>
      </c>
      <c r="M11" s="602"/>
      <c r="N11" s="602"/>
      <c r="O11" s="602"/>
      <c r="P11" s="602"/>
      <c r="Q11" s="602"/>
    </row>
    <row r="12" spans="2:18" ht="13.5" customHeight="1">
      <c r="B12" s="672"/>
      <c r="C12" s="673"/>
      <c r="D12" s="608"/>
      <c r="E12" s="622" t="s">
        <v>271</v>
      </c>
      <c r="F12" s="634">
        <f>IF(J5="否",VLOOKUP($D$6,弟子基础属性!$C$1:$P$183,10,0),VLOOKUP($D$6,弟子觉醒属性!$C$1:$L$183,7,0))</f>
        <v>15</v>
      </c>
      <c r="G12" s="642">
        <f>IF(J5="否",VLOOKUP($D$6,弟子基础属性!$C$1:$P$183,11,0),VLOOKUP($D$6,弟子觉醒属性!$C$1:$L$183,8,0))</f>
        <v>11</v>
      </c>
      <c r="H12" s="642">
        <f>IF(J5="否",VLOOKUP($D$6,弟子基础属性!$C$1:$P$183,12,0),VLOOKUP($D$6,弟子觉醒属性!$C$1:$L$183,9,0))</f>
        <v>3.6</v>
      </c>
      <c r="I12" s="650">
        <f>IF(J5="否",VLOOKUP($D$6,弟子基础属性!$C$1:$P$183,13,0),VLOOKUP($D$6,弟子觉醒属性!$C$1:$L$183,10,0))</f>
        <v>5</v>
      </c>
      <c r="J12" s="657">
        <f>SUM(F12:I13)</f>
        <v>34.6</v>
      </c>
      <c r="K12" s="171" t="s">
        <v>376</v>
      </c>
    </row>
    <row r="13" spans="2:18" ht="13.5" customHeight="1">
      <c r="B13" s="672"/>
      <c r="C13" s="673"/>
      <c r="D13" s="609"/>
      <c r="E13" s="623"/>
      <c r="F13" s="634"/>
      <c r="G13" s="642"/>
      <c r="H13" s="642"/>
      <c r="I13" s="650"/>
      <c r="J13" s="657"/>
      <c r="L13" s="60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602"/>
      <c r="N13" s="602"/>
      <c r="O13" s="602"/>
      <c r="P13" s="602"/>
      <c r="Q13" s="602"/>
      <c r="R13" s="602"/>
    </row>
    <row r="14" spans="2:18" ht="14.25" hidden="1" customHeight="1">
      <c r="B14" s="672"/>
      <c r="C14" s="673"/>
      <c r="D14" s="605"/>
      <c r="E14" s="619"/>
      <c r="F14" s="633"/>
      <c r="G14" s="641"/>
      <c r="H14" s="641"/>
      <c r="I14" s="649"/>
      <c r="J14" s="658"/>
    </row>
    <row r="15" spans="2:18" ht="14.25" hidden="1" customHeight="1">
      <c r="B15" s="672"/>
      <c r="C15" s="673"/>
      <c r="D15" s="610"/>
      <c r="E15" s="620"/>
      <c r="F15" s="633"/>
      <c r="G15" s="641"/>
      <c r="H15" s="641"/>
      <c r="I15" s="649"/>
      <c r="J15" s="659"/>
    </row>
    <row r="16" spans="2:18">
      <c r="B16" s="672"/>
      <c r="C16" s="673"/>
      <c r="D16" s="677" t="s">
        <v>377</v>
      </c>
      <c r="E16" s="678"/>
      <c r="F16" s="633">
        <f>INT(F12*$E26+1)</f>
        <v>1426</v>
      </c>
      <c r="G16" s="641">
        <f>INT(G12*$E26+1)</f>
        <v>1046</v>
      </c>
      <c r="H16" s="641">
        <f>INT(H12*$E26+1)</f>
        <v>343</v>
      </c>
      <c r="I16" s="649">
        <f>INT(I12*$E26+1)</f>
        <v>476</v>
      </c>
      <c r="J16" s="660">
        <f>SUM(F16:I17)</f>
        <v>3291</v>
      </c>
      <c r="L16" s="60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602"/>
      <c r="N16" s="602"/>
      <c r="O16" s="602"/>
      <c r="P16" s="602"/>
      <c r="Q16" s="602"/>
      <c r="R16" s="602"/>
    </row>
    <row r="17" spans="1:17">
      <c r="B17" s="672"/>
      <c r="C17" s="673"/>
      <c r="D17" s="679"/>
      <c r="E17" s="680"/>
      <c r="F17" s="635"/>
      <c r="G17" s="643"/>
      <c r="H17" s="643"/>
      <c r="I17" s="651"/>
      <c r="J17" s="661"/>
      <c r="L17" s="60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602"/>
      <c r="N17" s="602"/>
      <c r="O17" s="602"/>
      <c r="P17" s="602"/>
      <c r="Q17" s="602"/>
    </row>
    <row r="18" spans="1:17" ht="14.25" customHeight="1">
      <c r="B18" s="672"/>
      <c r="C18" s="673"/>
      <c r="F18" s="20"/>
      <c r="G18" s="20"/>
      <c r="H18" s="20"/>
      <c r="I18" s="20"/>
      <c r="J18" s="20"/>
      <c r="L18" s="60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602"/>
      <c r="N18" s="602"/>
      <c r="O18" s="602"/>
      <c r="P18" s="602"/>
      <c r="Q18" s="602"/>
    </row>
    <row r="19" spans="1:17" ht="27" customHeight="1">
      <c r="B19" s="672"/>
      <c r="C19" s="673"/>
      <c r="F19" s="20"/>
      <c r="G19" s="20"/>
      <c r="H19" s="20"/>
      <c r="I19" s="20"/>
      <c r="J19" s="20"/>
    </row>
    <row r="20" spans="1:17" ht="14.25" customHeight="1">
      <c r="B20" s="672"/>
      <c r="C20" s="673"/>
      <c r="D20" s="611" t="s">
        <v>365</v>
      </c>
      <c r="E20" s="624" t="s">
        <v>378</v>
      </c>
      <c r="F20" s="624" t="s">
        <v>12</v>
      </c>
      <c r="G20" s="624" t="s">
        <v>20</v>
      </c>
      <c r="H20" s="624" t="s">
        <v>30</v>
      </c>
      <c r="I20" s="624" t="s">
        <v>340</v>
      </c>
      <c r="J20" s="662" t="s">
        <v>366</v>
      </c>
    </row>
    <row r="21" spans="1:17" ht="14.25" customHeight="1">
      <c r="B21" s="672"/>
      <c r="C21" s="673"/>
      <c r="D21" s="611"/>
      <c r="E21" s="624"/>
      <c r="F21" s="624"/>
      <c r="G21" s="624"/>
      <c r="H21" s="624"/>
      <c r="I21" s="624"/>
      <c r="J21" s="662"/>
    </row>
    <row r="22" spans="1:17" ht="14.25" customHeight="1">
      <c r="B22" s="672"/>
      <c r="C22" s="673"/>
      <c r="D22" s="612">
        <v>160</v>
      </c>
      <c r="E22" s="625">
        <f>4000+D27</f>
        <v>4000</v>
      </c>
      <c r="F22" s="625">
        <f>SMALL(F28:F31,G31)</f>
        <v>0</v>
      </c>
      <c r="G22" s="625">
        <f>SMALL(F28:F31,H31)</f>
        <v>8598</v>
      </c>
      <c r="H22" s="625">
        <f>SMALL(F28:F31,I31)</f>
        <v>0</v>
      </c>
      <c r="I22" s="625">
        <f>SMALL(F28:F31,J31)</f>
        <v>0</v>
      </c>
      <c r="J22" s="663">
        <f>SUM(F22:I23)</f>
        <v>8598</v>
      </c>
    </row>
    <row r="23" spans="1:17" ht="13.5" customHeight="1">
      <c r="B23" s="672"/>
      <c r="C23" s="673"/>
      <c r="D23" s="613"/>
      <c r="E23" s="626"/>
      <c r="F23" s="626"/>
      <c r="G23" s="626"/>
      <c r="H23" s="626"/>
      <c r="I23" s="626"/>
      <c r="J23" s="664"/>
    </row>
    <row r="24" spans="1:17" ht="13.5" customHeight="1">
      <c r="B24" s="672"/>
      <c r="C24" s="673"/>
      <c r="D24" s="614">
        <v>255</v>
      </c>
      <c r="E24" s="627">
        <f>E22+(D24-160)*15</f>
        <v>5425</v>
      </c>
      <c r="F24" s="627">
        <f>F12*(D24-160)+F22</f>
        <v>1425</v>
      </c>
      <c r="G24" s="627">
        <f>G12*(D24-160)+G22</f>
        <v>9643</v>
      </c>
      <c r="H24" s="627">
        <f>H12*(D24-160)+H22</f>
        <v>342</v>
      </c>
      <c r="I24" s="627">
        <f>I12*(D24-160)+I22</f>
        <v>475</v>
      </c>
      <c r="J24" s="665">
        <f>SUM(E24:I25)</f>
        <v>17310</v>
      </c>
    </row>
    <row r="25" spans="1:17" ht="15" customHeight="1">
      <c r="B25" s="674"/>
      <c r="C25" s="675"/>
      <c r="D25" s="615"/>
      <c r="E25" s="625"/>
      <c r="F25" s="625"/>
      <c r="G25" s="625"/>
      <c r="H25" s="625"/>
      <c r="I25" s="625"/>
      <c r="J25" s="663"/>
    </row>
    <row r="26" spans="1:17" ht="28.5" hidden="1" customHeight="1">
      <c r="D26" s="20">
        <f>E26*15+D27</f>
        <v>1425</v>
      </c>
      <c r="E26" s="20">
        <f>E8-160</f>
        <v>95</v>
      </c>
      <c r="F26" s="20">
        <f>F8-E26*F12</f>
        <v>1031</v>
      </c>
      <c r="G26" s="20">
        <f>G8-E26*G12</f>
        <v>8870</v>
      </c>
      <c r="H26" s="20">
        <f>H8-E26*H12</f>
        <v>60</v>
      </c>
      <c r="I26" s="20">
        <f>I8-E26*I12</f>
        <v>62</v>
      </c>
      <c r="J26" s="20"/>
    </row>
    <row r="27" spans="1:17" ht="22.5" hidden="1" customHeight="1">
      <c r="D27" s="20">
        <f>SUMIF(F26:I26,"&lt;0")</f>
        <v>0</v>
      </c>
      <c r="E27" s="20"/>
      <c r="F27" s="20">
        <f t="shared" ref="F27:I27" si="1">IF(F26&lt;0,0,F26)</f>
        <v>1031</v>
      </c>
      <c r="G27" s="20">
        <f t="shared" si="1"/>
        <v>8870</v>
      </c>
      <c r="H27" s="20">
        <f t="shared" si="1"/>
        <v>60</v>
      </c>
      <c r="I27" s="20">
        <f t="shared" si="1"/>
        <v>62</v>
      </c>
      <c r="J27" s="20"/>
    </row>
    <row r="28" spans="1:17" ht="24" hidden="1" customHeight="1">
      <c r="D28" s="20">
        <f>SMALL(F26:I26,1)</f>
        <v>60</v>
      </c>
      <c r="E28" s="20">
        <f>D28-D26</f>
        <v>-1365</v>
      </c>
      <c r="F28" s="20">
        <f t="shared" ref="F28:F31" si="2">IF(E28&lt;0,0,E28)</f>
        <v>0</v>
      </c>
      <c r="G28" s="20">
        <f t="shared" ref="G28:J28" si="3">RANK(F26,$F26:$I26,1)</f>
        <v>3</v>
      </c>
      <c r="H28" s="20">
        <f t="shared" si="3"/>
        <v>4</v>
      </c>
      <c r="I28" s="20">
        <f t="shared" si="3"/>
        <v>1</v>
      </c>
      <c r="J28" s="20">
        <f t="shared" si="3"/>
        <v>2</v>
      </c>
    </row>
    <row r="29" spans="1:17" ht="19.5" hidden="1" customHeight="1">
      <c r="D29" s="20">
        <f>SMALL(F26:I26,2)</f>
        <v>62</v>
      </c>
      <c r="E29" s="20">
        <f t="shared" ref="E29:E31" si="4">IF(E28&lt;0,D29+E28,D29)</f>
        <v>-1303</v>
      </c>
      <c r="F29" s="20">
        <f t="shared" si="2"/>
        <v>0</v>
      </c>
      <c r="G29" s="20">
        <f t="shared" ref="G29:G31" si="5">G28</f>
        <v>3</v>
      </c>
      <c r="H29" s="20">
        <f>IF(G28=H28,H28+1,H28)</f>
        <v>4</v>
      </c>
      <c r="I29" s="20">
        <f>IF(I28=H28,I28+1,IF(I28=G28,I28+1,I28))</f>
        <v>1</v>
      </c>
      <c r="J29" s="20">
        <f t="shared" ref="J29:J31" si="6">IF(J28=G28,J28+1,IF(J28=H28,J28+1,IF(J28=I28,J28+1,J28)))</f>
        <v>2</v>
      </c>
    </row>
    <row r="30" spans="1:17" ht="18" hidden="1" customHeight="1">
      <c r="A30" s="4" t="str">
        <f>INDEX(弟子基础属性!C3:C67,$A$31)</f>
        <v>李寻欢</v>
      </c>
      <c r="D30" s="20">
        <f>SMALL(F26:I26,3)</f>
        <v>1031</v>
      </c>
      <c r="E30" s="20">
        <f t="shared" si="4"/>
        <v>-272</v>
      </c>
      <c r="F30" s="20">
        <f t="shared" si="2"/>
        <v>0</v>
      </c>
      <c r="G30" s="20">
        <f t="shared" si="5"/>
        <v>3</v>
      </c>
      <c r="H30" s="20">
        <f>H29</f>
        <v>4</v>
      </c>
      <c r="I30" s="20">
        <f>IF(I29=H29,I29+1,IF(I29=G29,I29+1,I29))</f>
        <v>1</v>
      </c>
      <c r="J30" s="20">
        <f t="shared" si="6"/>
        <v>2</v>
      </c>
    </row>
    <row r="31" spans="1:17" ht="17.25" hidden="1" customHeight="1">
      <c r="A31" s="4">
        <v>16</v>
      </c>
      <c r="D31" s="20">
        <f>SMALL(F26:I26,4)</f>
        <v>8870</v>
      </c>
      <c r="E31" s="20">
        <f t="shared" si="4"/>
        <v>8598</v>
      </c>
      <c r="F31" s="20">
        <f t="shared" si="2"/>
        <v>8598</v>
      </c>
      <c r="G31" s="20">
        <f t="shared" si="5"/>
        <v>3</v>
      </c>
      <c r="H31" s="20">
        <f>H30</f>
        <v>4</v>
      </c>
      <c r="I31" s="20">
        <f>I30</f>
        <v>1</v>
      </c>
      <c r="J31" s="20">
        <f t="shared" si="6"/>
        <v>2</v>
      </c>
    </row>
    <row r="32" spans="1:17" ht="22.5" customHeight="1"/>
    <row r="34" spans="4:4" ht="17.100000000000001" customHeight="1"/>
    <row r="35" spans="4:4" ht="17.100000000000001" customHeight="1"/>
    <row r="36" spans="4:4" ht="17.100000000000001" customHeight="1"/>
    <row r="37" spans="4:4" ht="17.100000000000001" customHeight="1"/>
    <row r="38" spans="4:4" ht="17.100000000000001" customHeight="1"/>
    <row r="39" spans="4:4" ht="17.100000000000001" customHeight="1">
      <c r="D39" s="616"/>
    </row>
    <row r="40" spans="4:4" ht="17.100000000000001" customHeight="1">
      <c r="D40" s="616"/>
    </row>
  </sheetData>
  <sheetProtection algorithmName="SHA-512" hashValue="xIPxNp5AMD7W7RyOfUmRbcBNAAXwHQH1xp/7lozWtorGw4ZfVi06HLh7trqHyLOKiECxnm1pp/qEmKOk4ECbCQ==" saltValue="cdSdJUaCIJa1GArhJj9KJA==" spinCount="100000" sheet="1" objects="1" scenarios="1" selectLockedCells="1"/>
  <mergeCells count="76">
    <mergeCell ref="D2:H4"/>
    <mergeCell ref="D16:E17"/>
    <mergeCell ref="J16:J17"/>
    <mergeCell ref="J20:J21"/>
    <mergeCell ref="J22:J23"/>
    <mergeCell ref="J24:J25"/>
    <mergeCell ref="B6:C7"/>
    <mergeCell ref="B8:C25"/>
    <mergeCell ref="J6:J7"/>
    <mergeCell ref="J8:J9"/>
    <mergeCell ref="J10:J11"/>
    <mergeCell ref="J12:J13"/>
    <mergeCell ref="J14:J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L18:Q18"/>
    <mergeCell ref="D6:D7"/>
    <mergeCell ref="D8:D9"/>
    <mergeCell ref="D10:D13"/>
    <mergeCell ref="D14:D15"/>
    <mergeCell ref="F6:F7"/>
    <mergeCell ref="F8:F9"/>
    <mergeCell ref="F10:F11"/>
    <mergeCell ref="F12:F13"/>
    <mergeCell ref="F14:F15"/>
    <mergeCell ref="F16:F17"/>
    <mergeCell ref="H6:H7"/>
    <mergeCell ref="H8:H9"/>
    <mergeCell ref="H10:H11"/>
    <mergeCell ref="H12:H13"/>
    <mergeCell ref="H14:H15"/>
    <mergeCell ref="L10:Q10"/>
    <mergeCell ref="L11:Q11"/>
    <mergeCell ref="L13:R13"/>
    <mergeCell ref="L16:R16"/>
    <mergeCell ref="L17:Q17"/>
    <mergeCell ref="L5:Q5"/>
    <mergeCell ref="L6:Q6"/>
    <mergeCell ref="L7:Q7"/>
    <mergeCell ref="L8:Q8"/>
    <mergeCell ref="L9:Q9"/>
  </mergeCells>
  <phoneticPr fontId="57" type="noConversion"/>
  <dataValidations count="1">
    <dataValidation type="list" allowBlank="1" showInputMessage="1" showErrorMessage="1" sqref="J5">
      <formula1>"是,否"</formula1>
    </dataValidation>
  </dataValidations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D2:AA311"/>
  <sheetViews>
    <sheetView workbookViewId="0">
      <selection activeCell="T15" sqref="T15"/>
    </sheetView>
  </sheetViews>
  <sheetFormatPr defaultColWidth="9" defaultRowHeight="13.5"/>
  <cols>
    <col min="1" max="2" width="9" style="6"/>
    <col min="3" max="3" width="7.75" style="6" customWidth="1"/>
    <col min="4" max="5" width="9" style="6"/>
    <col min="6" max="6" width="9.75" style="6" customWidth="1"/>
    <col min="7" max="7" width="9" style="6" customWidth="1"/>
    <col min="8" max="8" width="10" style="6" customWidth="1"/>
    <col min="9" max="10" width="9" style="6" customWidth="1"/>
    <col min="11" max="11" width="10" style="6" customWidth="1"/>
    <col min="12" max="12" width="0.25" style="6" customWidth="1"/>
    <col min="13" max="13" width="8.5" style="6" hidden="1" customWidth="1"/>
    <col min="14" max="14" width="8.25" style="20" hidden="1" customWidth="1"/>
    <col min="15" max="15" width="6" style="20" hidden="1" customWidth="1"/>
    <col min="16" max="16" width="9.375" style="20" hidden="1" customWidth="1"/>
    <col min="17" max="17" width="7.375" style="20" hidden="1" customWidth="1"/>
    <col min="18" max="18" width="8.125" style="6" hidden="1" customWidth="1"/>
    <col min="19" max="19" width="8.875" style="6" hidden="1" customWidth="1"/>
    <col min="20" max="20" width="8.375" style="6" hidden="1" customWidth="1"/>
    <col min="21" max="21" width="9.375" style="6" hidden="1" customWidth="1"/>
    <col min="22" max="24" width="9" style="6" hidden="1" customWidth="1"/>
    <col min="25" max="25" width="14.875" style="6" customWidth="1"/>
    <col min="26" max="26" width="14.25" style="6" customWidth="1"/>
    <col min="27" max="16384" width="9" style="6"/>
  </cols>
  <sheetData>
    <row r="2" spans="4:27" ht="13.5" customHeight="1">
      <c r="N2" s="20" t="s">
        <v>379</v>
      </c>
      <c r="O2" s="31" t="s">
        <v>380</v>
      </c>
      <c r="P2" s="31" t="s">
        <v>381</v>
      </c>
      <c r="Q2" s="31" t="s">
        <v>382</v>
      </c>
    </row>
    <row r="3" spans="4:27" ht="13.5" customHeight="1">
      <c r="N3" s="20">
        <v>1</v>
      </c>
      <c r="O3" s="20">
        <v>1</v>
      </c>
      <c r="P3" s="20">
        <f t="shared" ref="P3" si="0">$G$16*O3</f>
        <v>160</v>
      </c>
      <c r="Q3" s="20">
        <v>0</v>
      </c>
    </row>
    <row r="4" spans="4:27" ht="13.5" customHeight="1">
      <c r="N4" s="20">
        <f t="shared" ref="N4" si="1">N3+1</f>
        <v>2</v>
      </c>
      <c r="O4" s="20">
        <v>1</v>
      </c>
      <c r="P4" s="20">
        <f t="shared" ref="P4:P35" si="2">$G$16*O4</f>
        <v>160</v>
      </c>
      <c r="Q4" s="20">
        <f t="shared" ref="Q4:Q7" si="3">P3+Q3</f>
        <v>160</v>
      </c>
    </row>
    <row r="5" spans="4:27" ht="13.5" customHeight="1">
      <c r="N5" s="20">
        <f t="shared" ref="N5:N36" si="4">N4+1</f>
        <v>3</v>
      </c>
      <c r="O5" s="20">
        <v>1</v>
      </c>
      <c r="P5" s="20">
        <f t="shared" si="2"/>
        <v>160</v>
      </c>
      <c r="Q5" s="20">
        <f t="shared" si="3"/>
        <v>320</v>
      </c>
    </row>
    <row r="6" spans="4:27" ht="14.25" customHeight="1">
      <c r="N6" s="20">
        <f t="shared" si="4"/>
        <v>4</v>
      </c>
      <c r="O6" s="20">
        <v>1</v>
      </c>
      <c r="P6" s="20">
        <f t="shared" si="2"/>
        <v>160</v>
      </c>
      <c r="Q6" s="20">
        <f t="shared" si="3"/>
        <v>480</v>
      </c>
    </row>
    <row r="7" spans="4:27" ht="14.25" customHeight="1">
      <c r="F7" s="718" t="s">
        <v>383</v>
      </c>
      <c r="G7" s="718"/>
      <c r="H7" s="718"/>
      <c r="I7" s="718"/>
      <c r="N7" s="20">
        <f t="shared" si="4"/>
        <v>5</v>
      </c>
      <c r="O7" s="20">
        <v>1</v>
      </c>
      <c r="P7" s="20">
        <f t="shared" si="2"/>
        <v>160</v>
      </c>
      <c r="Q7" s="20">
        <f t="shared" si="3"/>
        <v>640</v>
      </c>
    </row>
    <row r="8" spans="4:27" ht="14.25" customHeight="1">
      <c r="F8" s="718"/>
      <c r="G8" s="718"/>
      <c r="H8" s="718"/>
      <c r="I8" s="718"/>
      <c r="L8" s="169"/>
      <c r="N8" s="20">
        <f t="shared" si="4"/>
        <v>6</v>
      </c>
      <c r="O8" s="20">
        <v>1</v>
      </c>
      <c r="P8" s="20">
        <f t="shared" si="2"/>
        <v>160</v>
      </c>
      <c r="Q8" s="20">
        <f t="shared" ref="Q8" si="5">P7+Q7</f>
        <v>800</v>
      </c>
      <c r="U8" s="600"/>
      <c r="V8" s="600"/>
      <c r="W8" s="600"/>
      <c r="X8" s="600"/>
      <c r="Y8" s="600"/>
      <c r="Z8" s="600"/>
    </row>
    <row r="9" spans="4:27" ht="14.25" customHeight="1">
      <c r="F9" s="718"/>
      <c r="G9" s="718"/>
      <c r="H9" s="718"/>
      <c r="I9" s="718"/>
      <c r="N9" s="20">
        <f t="shared" si="4"/>
        <v>7</v>
      </c>
      <c r="O9" s="20">
        <v>1.5</v>
      </c>
      <c r="P9" s="20">
        <f t="shared" si="2"/>
        <v>240</v>
      </c>
      <c r="Q9" s="20">
        <f t="shared" ref="Q9:Q40" si="6">P8+Q8</f>
        <v>960</v>
      </c>
      <c r="U9" s="600"/>
      <c r="V9" s="600"/>
      <c r="W9" s="600"/>
      <c r="X9" s="600"/>
      <c r="Y9" s="600"/>
      <c r="Z9" s="600"/>
      <c r="AA9" s="600"/>
    </row>
    <row r="10" spans="4:27" ht="14.25" customHeight="1">
      <c r="N10" s="20">
        <f t="shared" si="4"/>
        <v>8</v>
      </c>
      <c r="O10" s="20">
        <v>1.5</v>
      </c>
      <c r="P10" s="20">
        <f t="shared" si="2"/>
        <v>240</v>
      </c>
      <c r="Q10" s="20">
        <f t="shared" si="6"/>
        <v>1200</v>
      </c>
    </row>
    <row r="11" spans="4:27" ht="14.25" customHeight="1">
      <c r="N11" s="20">
        <f t="shared" si="4"/>
        <v>9</v>
      </c>
      <c r="O11" s="20">
        <v>1.5</v>
      </c>
      <c r="P11" s="20">
        <f t="shared" si="2"/>
        <v>240</v>
      </c>
      <c r="Q11" s="20">
        <f t="shared" si="6"/>
        <v>1440</v>
      </c>
    </row>
    <row r="12" spans="4:27" ht="15.75" customHeight="1">
      <c r="D12" s="714" t="s">
        <v>364</v>
      </c>
      <c r="E12" s="715"/>
      <c r="F12" s="681" t="str">
        <f>S12</f>
        <v>张无忌</v>
      </c>
      <c r="G12" s="719" t="s">
        <v>384</v>
      </c>
      <c r="H12" s="719"/>
      <c r="I12" s="719"/>
      <c r="J12" s="719"/>
      <c r="K12" s="715"/>
      <c r="N12" s="20">
        <f t="shared" si="4"/>
        <v>10</v>
      </c>
      <c r="O12" s="20">
        <v>1.5</v>
      </c>
      <c r="P12" s="20">
        <f t="shared" si="2"/>
        <v>240</v>
      </c>
      <c r="Q12" s="20">
        <f t="shared" si="6"/>
        <v>1680</v>
      </c>
      <c r="S12" s="3" t="str">
        <f>INDEX(弟子基础属性!C3:C67,$S$13)</f>
        <v>张无忌</v>
      </c>
      <c r="T12" s="3"/>
    </row>
    <row r="13" spans="4:27" ht="15.75" customHeight="1">
      <c r="D13" s="716"/>
      <c r="E13" s="717"/>
      <c r="F13" s="682"/>
      <c r="G13" s="720"/>
      <c r="H13" s="720"/>
      <c r="I13" s="720"/>
      <c r="J13" s="720"/>
      <c r="K13" s="717"/>
      <c r="N13" s="20">
        <f t="shared" si="4"/>
        <v>11</v>
      </c>
      <c r="O13" s="20">
        <v>1.5</v>
      </c>
      <c r="P13" s="20">
        <f t="shared" si="2"/>
        <v>240</v>
      </c>
      <c r="Q13" s="20">
        <f t="shared" si="6"/>
        <v>1920</v>
      </c>
      <c r="S13" s="3">
        <v>44</v>
      </c>
      <c r="T13" s="3"/>
    </row>
    <row r="14" spans="4:27" ht="14.25" customHeight="1">
      <c r="D14" s="165"/>
      <c r="E14" s="166"/>
      <c r="F14" s="683" t="s">
        <v>385</v>
      </c>
      <c r="G14" s="687" t="s">
        <v>386</v>
      </c>
      <c r="H14" s="695"/>
      <c r="I14" s="698">
        <v>171</v>
      </c>
      <c r="J14" s="702" t="s">
        <v>387</v>
      </c>
      <c r="K14" s="708">
        <f>VLOOKUP($I$14,$N$3:$P$311,3,0)</f>
        <v>2386720</v>
      </c>
      <c r="N14" s="20">
        <f t="shared" si="4"/>
        <v>12</v>
      </c>
      <c r="O14" s="20">
        <v>1.5</v>
      </c>
      <c r="P14" s="20">
        <f t="shared" si="2"/>
        <v>240</v>
      </c>
      <c r="Q14" s="20">
        <f t="shared" si="6"/>
        <v>2160</v>
      </c>
      <c r="S14" s="3">
        <f>VLOOKUP($G$18,$N$3:$Q$311,4,0)</f>
        <v>312796880</v>
      </c>
      <c r="T14" s="3"/>
    </row>
    <row r="15" spans="4:27" ht="13.5" customHeight="1">
      <c r="D15" s="165"/>
      <c r="E15" s="166"/>
      <c r="F15" s="684"/>
      <c r="G15" s="688"/>
      <c r="H15" s="696"/>
      <c r="I15" s="699"/>
      <c r="J15" s="703"/>
      <c r="K15" s="709"/>
      <c r="N15" s="20">
        <f t="shared" si="4"/>
        <v>13</v>
      </c>
      <c r="O15" s="20">
        <v>1.5</v>
      </c>
      <c r="P15" s="20">
        <f t="shared" si="2"/>
        <v>240</v>
      </c>
      <c r="Q15" s="20">
        <f t="shared" si="6"/>
        <v>2400</v>
      </c>
      <c r="S15" s="3">
        <f>VLOOKUP($I$18,$N$3:$Q$311,4,0)</f>
        <v>352023360</v>
      </c>
      <c r="T15" s="3"/>
      <c r="U15" s="169" t="s">
        <v>361</v>
      </c>
    </row>
    <row r="16" spans="4:27" ht="13.5" customHeight="1">
      <c r="D16" s="165"/>
      <c r="E16" s="166"/>
      <c r="F16" s="685" t="s">
        <v>388</v>
      </c>
      <c r="G16" s="689">
        <f>VLOOKUP($F$12,弟子基础属性!$C$1:$P$183,4,0)</f>
        <v>160</v>
      </c>
      <c r="H16" s="696"/>
      <c r="I16" s="700"/>
      <c r="J16" s="703" t="s">
        <v>388</v>
      </c>
      <c r="K16" s="709"/>
      <c r="L16" s="169"/>
      <c r="N16" s="20">
        <f t="shared" si="4"/>
        <v>14</v>
      </c>
      <c r="O16" s="20">
        <v>1.5</v>
      </c>
      <c r="P16" s="20">
        <f t="shared" si="2"/>
        <v>240</v>
      </c>
      <c r="Q16" s="20">
        <f t="shared" si="6"/>
        <v>2640</v>
      </c>
    </row>
    <row r="17" spans="4:27" ht="13.5" customHeight="1">
      <c r="D17" s="165"/>
      <c r="E17" s="166"/>
      <c r="F17" s="686"/>
      <c r="G17" s="690"/>
      <c r="H17" s="697"/>
      <c r="I17" s="701"/>
      <c r="J17" s="704"/>
      <c r="K17" s="710"/>
      <c r="N17" s="20">
        <f t="shared" si="4"/>
        <v>15</v>
      </c>
      <c r="O17" s="20">
        <v>1.5</v>
      </c>
      <c r="P17" s="20">
        <f t="shared" si="2"/>
        <v>240</v>
      </c>
      <c r="Q17" s="20">
        <f t="shared" si="6"/>
        <v>2880</v>
      </c>
      <c r="U17" s="600" t="s">
        <v>389</v>
      </c>
      <c r="V17" s="600"/>
      <c r="W17" s="600"/>
      <c r="X17" s="600"/>
      <c r="Y17" s="600"/>
      <c r="Z17" s="600"/>
    </row>
    <row r="18" spans="4:27" ht="13.5" customHeight="1">
      <c r="D18" s="165"/>
      <c r="E18" s="166"/>
      <c r="F18" s="683" t="s">
        <v>390</v>
      </c>
      <c r="G18" s="691">
        <v>240</v>
      </c>
      <c r="H18" s="695"/>
      <c r="I18" s="691">
        <v>250</v>
      </c>
      <c r="J18" s="705" t="s">
        <v>391</v>
      </c>
      <c r="K18" s="711">
        <f>S15-S14</f>
        <v>39226480</v>
      </c>
      <c r="L18" s="169"/>
      <c r="N18" s="20">
        <f t="shared" si="4"/>
        <v>16</v>
      </c>
      <c r="O18" s="20">
        <v>3.5</v>
      </c>
      <c r="P18" s="20">
        <f t="shared" si="2"/>
        <v>560</v>
      </c>
      <c r="Q18" s="20">
        <f t="shared" si="6"/>
        <v>3120</v>
      </c>
      <c r="U18" s="600"/>
      <c r="V18" s="600"/>
      <c r="W18" s="600"/>
      <c r="X18" s="600"/>
      <c r="Y18" s="600"/>
      <c r="Z18" s="600"/>
    </row>
    <row r="19" spans="4:27">
      <c r="D19" s="165"/>
      <c r="E19" s="166"/>
      <c r="F19" s="684"/>
      <c r="G19" s="692"/>
      <c r="H19" s="696"/>
      <c r="I19" s="692"/>
      <c r="J19" s="706"/>
      <c r="K19" s="712"/>
      <c r="N19" s="20">
        <f t="shared" si="4"/>
        <v>17</v>
      </c>
      <c r="O19" s="20">
        <v>3.5</v>
      </c>
      <c r="P19" s="20">
        <f t="shared" si="2"/>
        <v>560</v>
      </c>
      <c r="Q19" s="20">
        <f t="shared" si="6"/>
        <v>3680</v>
      </c>
      <c r="U19" s="600" t="s">
        <v>392</v>
      </c>
      <c r="V19" s="600"/>
      <c r="W19" s="600"/>
      <c r="X19" s="600"/>
      <c r="Y19" s="600"/>
      <c r="Z19" s="600"/>
      <c r="AA19" s="600"/>
    </row>
    <row r="20" spans="4:27" ht="13.5" customHeight="1">
      <c r="D20" s="165"/>
      <c r="E20" s="166"/>
      <c r="F20" s="685" t="s">
        <v>388</v>
      </c>
      <c r="G20" s="693"/>
      <c r="H20" s="696"/>
      <c r="I20" s="693"/>
      <c r="J20" s="706" t="s">
        <v>388</v>
      </c>
      <c r="K20" s="712"/>
      <c r="N20" s="20">
        <f t="shared" si="4"/>
        <v>18</v>
      </c>
      <c r="O20" s="20">
        <v>3.5</v>
      </c>
      <c r="P20" s="20">
        <f t="shared" si="2"/>
        <v>560</v>
      </c>
      <c r="Q20" s="20">
        <f t="shared" si="6"/>
        <v>4240</v>
      </c>
    </row>
    <row r="21" spans="4:27" ht="13.5" customHeight="1">
      <c r="D21" s="167"/>
      <c r="E21" s="168"/>
      <c r="F21" s="686"/>
      <c r="G21" s="694"/>
      <c r="H21" s="697"/>
      <c r="I21" s="694"/>
      <c r="J21" s="707"/>
      <c r="K21" s="713"/>
      <c r="N21" s="20">
        <f t="shared" si="4"/>
        <v>19</v>
      </c>
      <c r="O21" s="20">
        <v>3.5</v>
      </c>
      <c r="P21" s="20">
        <f t="shared" si="2"/>
        <v>560</v>
      </c>
      <c r="Q21" s="20">
        <f t="shared" si="6"/>
        <v>4800</v>
      </c>
    </row>
    <row r="22" spans="4:27">
      <c r="N22" s="20">
        <f t="shared" si="4"/>
        <v>20</v>
      </c>
      <c r="O22" s="20">
        <v>3.5</v>
      </c>
      <c r="P22" s="20">
        <f t="shared" si="2"/>
        <v>560</v>
      </c>
      <c r="Q22" s="20">
        <f t="shared" si="6"/>
        <v>5360</v>
      </c>
    </row>
    <row r="23" spans="4:27">
      <c r="N23" s="20">
        <f t="shared" si="4"/>
        <v>21</v>
      </c>
      <c r="O23" s="20">
        <v>3.5</v>
      </c>
      <c r="P23" s="20">
        <f t="shared" si="2"/>
        <v>560</v>
      </c>
      <c r="Q23" s="20">
        <f t="shared" si="6"/>
        <v>5920</v>
      </c>
    </row>
    <row r="24" spans="4:27">
      <c r="N24" s="20">
        <f t="shared" si="4"/>
        <v>22</v>
      </c>
      <c r="O24" s="20">
        <v>6</v>
      </c>
      <c r="P24" s="20">
        <f t="shared" si="2"/>
        <v>960</v>
      </c>
      <c r="Q24" s="20">
        <f t="shared" si="6"/>
        <v>6480</v>
      </c>
    </row>
    <row r="25" spans="4:27">
      <c r="N25" s="20">
        <f t="shared" si="4"/>
        <v>23</v>
      </c>
      <c r="O25" s="20">
        <v>6</v>
      </c>
      <c r="P25" s="20">
        <f t="shared" si="2"/>
        <v>960</v>
      </c>
      <c r="Q25" s="20">
        <f t="shared" si="6"/>
        <v>7440</v>
      </c>
    </row>
    <row r="26" spans="4:27">
      <c r="N26" s="20">
        <f t="shared" si="4"/>
        <v>24</v>
      </c>
      <c r="O26" s="20">
        <v>6</v>
      </c>
      <c r="P26" s="20">
        <f t="shared" si="2"/>
        <v>960</v>
      </c>
      <c r="Q26" s="20">
        <f t="shared" si="6"/>
        <v>8400</v>
      </c>
    </row>
    <row r="27" spans="4:27">
      <c r="N27" s="20">
        <f t="shared" si="4"/>
        <v>25</v>
      </c>
      <c r="O27" s="20">
        <v>9</v>
      </c>
      <c r="P27" s="20">
        <f t="shared" si="2"/>
        <v>1440</v>
      </c>
      <c r="Q27" s="20">
        <f t="shared" si="6"/>
        <v>9360</v>
      </c>
    </row>
    <row r="28" spans="4:27">
      <c r="N28" s="20">
        <f t="shared" si="4"/>
        <v>26</v>
      </c>
      <c r="O28" s="20">
        <v>9</v>
      </c>
      <c r="P28" s="20">
        <f t="shared" si="2"/>
        <v>1440</v>
      </c>
      <c r="Q28" s="20">
        <f t="shared" si="6"/>
        <v>10800</v>
      </c>
    </row>
    <row r="29" spans="4:27">
      <c r="N29" s="20">
        <f t="shared" si="4"/>
        <v>27</v>
      </c>
      <c r="O29" s="20">
        <v>9</v>
      </c>
      <c r="P29" s="20">
        <f t="shared" si="2"/>
        <v>1440</v>
      </c>
      <c r="Q29" s="20">
        <f t="shared" si="6"/>
        <v>12240</v>
      </c>
    </row>
    <row r="30" spans="4:27">
      <c r="N30" s="20">
        <f t="shared" si="4"/>
        <v>28</v>
      </c>
      <c r="O30" s="20">
        <v>10</v>
      </c>
      <c r="P30" s="20">
        <f t="shared" si="2"/>
        <v>1600</v>
      </c>
      <c r="Q30" s="20">
        <f t="shared" si="6"/>
        <v>13680</v>
      </c>
    </row>
    <row r="31" spans="4:27">
      <c r="N31" s="20">
        <f t="shared" si="4"/>
        <v>29</v>
      </c>
      <c r="O31" s="20">
        <v>10</v>
      </c>
      <c r="P31" s="20">
        <f t="shared" si="2"/>
        <v>1600</v>
      </c>
      <c r="Q31" s="20">
        <f t="shared" si="6"/>
        <v>15280</v>
      </c>
    </row>
    <row r="32" spans="4:27">
      <c r="N32" s="20">
        <f t="shared" si="4"/>
        <v>30</v>
      </c>
      <c r="O32" s="20">
        <v>10</v>
      </c>
      <c r="P32" s="20">
        <f t="shared" si="2"/>
        <v>1600</v>
      </c>
      <c r="Q32" s="20">
        <f t="shared" si="6"/>
        <v>16880</v>
      </c>
    </row>
    <row r="33" spans="14:17">
      <c r="N33" s="20">
        <f t="shared" si="4"/>
        <v>31</v>
      </c>
      <c r="O33" s="20">
        <v>14</v>
      </c>
      <c r="P33" s="20">
        <f t="shared" si="2"/>
        <v>2240</v>
      </c>
      <c r="Q33" s="20">
        <f t="shared" si="6"/>
        <v>18480</v>
      </c>
    </row>
    <row r="34" spans="14:17">
      <c r="N34" s="20">
        <f t="shared" si="4"/>
        <v>32</v>
      </c>
      <c r="O34" s="20">
        <v>14</v>
      </c>
      <c r="P34" s="20">
        <f t="shared" si="2"/>
        <v>2240</v>
      </c>
      <c r="Q34" s="20">
        <f t="shared" si="6"/>
        <v>20720</v>
      </c>
    </row>
    <row r="35" spans="14:17">
      <c r="N35" s="20">
        <f t="shared" si="4"/>
        <v>33</v>
      </c>
      <c r="O35" s="20">
        <v>14</v>
      </c>
      <c r="P35" s="20">
        <f t="shared" si="2"/>
        <v>2240</v>
      </c>
      <c r="Q35" s="20">
        <f t="shared" si="6"/>
        <v>22960</v>
      </c>
    </row>
    <row r="36" spans="14:17">
      <c r="N36" s="20">
        <f t="shared" si="4"/>
        <v>34</v>
      </c>
      <c r="O36" s="20">
        <v>15.5</v>
      </c>
      <c r="P36" s="20">
        <f t="shared" ref="P36:P66" si="7">$G$16*O36</f>
        <v>2480</v>
      </c>
      <c r="Q36" s="20">
        <f t="shared" si="6"/>
        <v>25200</v>
      </c>
    </row>
    <row r="37" spans="14:17">
      <c r="N37" s="20">
        <f t="shared" ref="N37:N67" si="8">N36+1</f>
        <v>35</v>
      </c>
      <c r="O37" s="20">
        <v>15.5</v>
      </c>
      <c r="P37" s="20">
        <f t="shared" si="7"/>
        <v>2480</v>
      </c>
      <c r="Q37" s="20">
        <f t="shared" si="6"/>
        <v>27680</v>
      </c>
    </row>
    <row r="38" spans="14:17">
      <c r="N38" s="20">
        <f t="shared" si="8"/>
        <v>36</v>
      </c>
      <c r="O38" s="20">
        <v>15.5</v>
      </c>
      <c r="P38" s="20">
        <f t="shared" si="7"/>
        <v>2480</v>
      </c>
      <c r="Q38" s="20">
        <f t="shared" si="6"/>
        <v>30160</v>
      </c>
    </row>
    <row r="39" spans="14:17">
      <c r="N39" s="20">
        <f t="shared" si="8"/>
        <v>37</v>
      </c>
      <c r="O39" s="20">
        <v>20.5</v>
      </c>
      <c r="P39" s="20">
        <f t="shared" si="7"/>
        <v>3280</v>
      </c>
      <c r="Q39" s="20">
        <f t="shared" si="6"/>
        <v>32640</v>
      </c>
    </row>
    <row r="40" spans="14:17">
      <c r="N40" s="20">
        <f t="shared" si="8"/>
        <v>38</v>
      </c>
      <c r="O40" s="20">
        <v>20.5</v>
      </c>
      <c r="P40" s="20">
        <f t="shared" si="7"/>
        <v>3280</v>
      </c>
      <c r="Q40" s="20">
        <f t="shared" si="6"/>
        <v>35920</v>
      </c>
    </row>
    <row r="41" spans="14:17">
      <c r="N41" s="20">
        <f t="shared" si="8"/>
        <v>39</v>
      </c>
      <c r="O41" s="20">
        <v>20.5</v>
      </c>
      <c r="P41" s="20">
        <f t="shared" si="7"/>
        <v>3280</v>
      </c>
      <c r="Q41" s="20">
        <f t="shared" ref="Q41:Q71" si="9">P40+Q40</f>
        <v>39200</v>
      </c>
    </row>
    <row r="42" spans="14:17">
      <c r="N42" s="20">
        <f t="shared" si="8"/>
        <v>40</v>
      </c>
      <c r="O42" s="20">
        <v>23</v>
      </c>
      <c r="P42" s="20">
        <f t="shared" si="7"/>
        <v>3680</v>
      </c>
      <c r="Q42" s="20">
        <f t="shared" si="9"/>
        <v>42480</v>
      </c>
    </row>
    <row r="43" spans="14:17">
      <c r="N43" s="20">
        <f t="shared" si="8"/>
        <v>41</v>
      </c>
      <c r="O43" s="20">
        <v>23</v>
      </c>
      <c r="P43" s="20">
        <f t="shared" si="7"/>
        <v>3680</v>
      </c>
      <c r="Q43" s="20">
        <f t="shared" si="9"/>
        <v>46160</v>
      </c>
    </row>
    <row r="44" spans="14:17">
      <c r="N44" s="20">
        <f t="shared" si="8"/>
        <v>42</v>
      </c>
      <c r="O44" s="20">
        <v>23</v>
      </c>
      <c r="P44" s="20">
        <f t="shared" si="7"/>
        <v>3680</v>
      </c>
      <c r="Q44" s="20">
        <f t="shared" si="9"/>
        <v>49840</v>
      </c>
    </row>
    <row r="45" spans="14:17">
      <c r="N45" s="20">
        <f t="shared" si="8"/>
        <v>43</v>
      </c>
      <c r="O45" s="20">
        <v>30</v>
      </c>
      <c r="P45" s="20">
        <f t="shared" si="7"/>
        <v>4800</v>
      </c>
      <c r="Q45" s="20">
        <f t="shared" si="9"/>
        <v>53520</v>
      </c>
    </row>
    <row r="46" spans="14:17">
      <c r="N46" s="20">
        <f t="shared" si="8"/>
        <v>44</v>
      </c>
      <c r="O46" s="20">
        <v>30</v>
      </c>
      <c r="P46" s="20">
        <f t="shared" si="7"/>
        <v>4800</v>
      </c>
      <c r="Q46" s="20">
        <f t="shared" si="9"/>
        <v>58320</v>
      </c>
    </row>
    <row r="47" spans="14:17">
      <c r="N47" s="20">
        <f t="shared" si="8"/>
        <v>45</v>
      </c>
      <c r="O47" s="20">
        <v>30</v>
      </c>
      <c r="P47" s="20">
        <f t="shared" si="7"/>
        <v>4800</v>
      </c>
      <c r="Q47" s="20">
        <f t="shared" si="9"/>
        <v>63120</v>
      </c>
    </row>
    <row r="48" spans="14:17">
      <c r="N48" s="20">
        <f t="shared" si="8"/>
        <v>46</v>
      </c>
      <c r="O48" s="20">
        <v>33.5</v>
      </c>
      <c r="P48" s="20">
        <f t="shared" si="7"/>
        <v>5360</v>
      </c>
      <c r="Q48" s="20">
        <f t="shared" si="9"/>
        <v>67920</v>
      </c>
    </row>
    <row r="49" spans="14:17">
      <c r="N49" s="20">
        <f t="shared" si="8"/>
        <v>47</v>
      </c>
      <c r="O49" s="20">
        <v>33.5</v>
      </c>
      <c r="P49" s="20">
        <f t="shared" si="7"/>
        <v>5360</v>
      </c>
      <c r="Q49" s="20">
        <f t="shared" si="9"/>
        <v>73280</v>
      </c>
    </row>
    <row r="50" spans="14:17">
      <c r="N50" s="20">
        <f t="shared" si="8"/>
        <v>48</v>
      </c>
      <c r="O50" s="20">
        <v>33.5</v>
      </c>
      <c r="P50" s="20">
        <f t="shared" si="7"/>
        <v>5360</v>
      </c>
      <c r="Q50" s="20">
        <f t="shared" si="9"/>
        <v>78640</v>
      </c>
    </row>
    <row r="51" spans="14:17">
      <c r="N51" s="20">
        <f t="shared" si="8"/>
        <v>49</v>
      </c>
      <c r="O51" s="20">
        <v>42</v>
      </c>
      <c r="P51" s="20">
        <f t="shared" si="7"/>
        <v>6720</v>
      </c>
      <c r="Q51" s="20">
        <f t="shared" si="9"/>
        <v>84000</v>
      </c>
    </row>
    <row r="52" spans="14:17">
      <c r="N52" s="20">
        <f t="shared" si="8"/>
        <v>50</v>
      </c>
      <c r="O52" s="20">
        <v>42</v>
      </c>
      <c r="P52" s="20">
        <f t="shared" si="7"/>
        <v>6720</v>
      </c>
      <c r="Q52" s="20">
        <f t="shared" si="9"/>
        <v>90720</v>
      </c>
    </row>
    <row r="53" spans="14:17">
      <c r="N53" s="20">
        <f t="shared" si="8"/>
        <v>51</v>
      </c>
      <c r="O53" s="20">
        <v>42</v>
      </c>
      <c r="P53" s="20">
        <f t="shared" si="7"/>
        <v>6720</v>
      </c>
      <c r="Q53" s="20">
        <f t="shared" si="9"/>
        <v>97440</v>
      </c>
    </row>
    <row r="54" spans="14:17">
      <c r="N54" s="20">
        <f t="shared" si="8"/>
        <v>52</v>
      </c>
      <c r="O54" s="20">
        <v>47</v>
      </c>
      <c r="P54" s="20">
        <f t="shared" si="7"/>
        <v>7520</v>
      </c>
      <c r="Q54" s="20">
        <f t="shared" si="9"/>
        <v>104160</v>
      </c>
    </row>
    <row r="55" spans="14:17">
      <c r="N55" s="20">
        <f t="shared" si="8"/>
        <v>53</v>
      </c>
      <c r="O55" s="20">
        <v>47</v>
      </c>
      <c r="P55" s="20">
        <f t="shared" si="7"/>
        <v>7520</v>
      </c>
      <c r="Q55" s="20">
        <f t="shared" si="9"/>
        <v>111680</v>
      </c>
    </row>
    <row r="56" spans="14:17">
      <c r="N56" s="20">
        <f t="shared" si="8"/>
        <v>54</v>
      </c>
      <c r="O56" s="20">
        <v>47</v>
      </c>
      <c r="P56" s="20">
        <f t="shared" si="7"/>
        <v>7520</v>
      </c>
      <c r="Q56" s="20">
        <f t="shared" si="9"/>
        <v>119200</v>
      </c>
    </row>
    <row r="57" spans="14:17">
      <c r="N57" s="20">
        <f t="shared" si="8"/>
        <v>55</v>
      </c>
      <c r="O57" s="20">
        <v>58</v>
      </c>
      <c r="P57" s="20">
        <f t="shared" si="7"/>
        <v>9280</v>
      </c>
      <c r="Q57" s="20">
        <f t="shared" si="9"/>
        <v>126720</v>
      </c>
    </row>
    <row r="58" spans="14:17">
      <c r="N58" s="20">
        <f t="shared" si="8"/>
        <v>56</v>
      </c>
      <c r="O58" s="20">
        <v>58</v>
      </c>
      <c r="P58" s="20">
        <f t="shared" si="7"/>
        <v>9280</v>
      </c>
      <c r="Q58" s="20">
        <f t="shared" si="9"/>
        <v>136000</v>
      </c>
    </row>
    <row r="59" spans="14:17">
      <c r="N59" s="20">
        <f t="shared" si="8"/>
        <v>57</v>
      </c>
      <c r="O59" s="20">
        <v>58</v>
      </c>
      <c r="P59" s="20">
        <f t="shared" si="7"/>
        <v>9280</v>
      </c>
      <c r="Q59" s="20">
        <f t="shared" si="9"/>
        <v>145280</v>
      </c>
    </row>
    <row r="60" spans="14:17">
      <c r="N60" s="20">
        <f t="shared" si="8"/>
        <v>58</v>
      </c>
      <c r="O60" s="20">
        <v>64</v>
      </c>
      <c r="P60" s="20">
        <f t="shared" si="7"/>
        <v>10240</v>
      </c>
      <c r="Q60" s="20">
        <f t="shared" si="9"/>
        <v>154560</v>
      </c>
    </row>
    <row r="61" spans="14:17">
      <c r="N61" s="20">
        <f t="shared" si="8"/>
        <v>59</v>
      </c>
      <c r="O61" s="20">
        <v>64</v>
      </c>
      <c r="P61" s="20">
        <f t="shared" si="7"/>
        <v>10240</v>
      </c>
      <c r="Q61" s="20">
        <f t="shared" si="9"/>
        <v>164800</v>
      </c>
    </row>
    <row r="62" spans="14:17">
      <c r="N62" s="20">
        <f t="shared" si="8"/>
        <v>60</v>
      </c>
      <c r="O62" s="20">
        <v>64</v>
      </c>
      <c r="P62" s="20">
        <f t="shared" si="7"/>
        <v>10240</v>
      </c>
      <c r="Q62" s="20">
        <f t="shared" si="9"/>
        <v>175040</v>
      </c>
    </row>
    <row r="63" spans="14:17">
      <c r="N63" s="20">
        <f t="shared" si="8"/>
        <v>61</v>
      </c>
      <c r="O63" s="20">
        <v>78.5</v>
      </c>
      <c r="P63" s="20">
        <f t="shared" si="7"/>
        <v>12560</v>
      </c>
      <c r="Q63" s="20">
        <f t="shared" si="9"/>
        <v>185280</v>
      </c>
    </row>
    <row r="64" spans="14:17">
      <c r="N64" s="20">
        <f t="shared" si="8"/>
        <v>62</v>
      </c>
      <c r="O64" s="20">
        <v>78.5</v>
      </c>
      <c r="P64" s="20">
        <f t="shared" si="7"/>
        <v>12560</v>
      </c>
      <c r="Q64" s="20">
        <f t="shared" si="9"/>
        <v>197840</v>
      </c>
    </row>
    <row r="65" spans="14:17">
      <c r="N65" s="20">
        <f t="shared" si="8"/>
        <v>63</v>
      </c>
      <c r="O65" s="20">
        <v>78.5</v>
      </c>
      <c r="P65" s="20">
        <f t="shared" si="7"/>
        <v>12560</v>
      </c>
      <c r="Q65" s="20">
        <f t="shared" si="9"/>
        <v>210400</v>
      </c>
    </row>
    <row r="66" spans="14:17">
      <c r="N66" s="20">
        <f t="shared" si="8"/>
        <v>64</v>
      </c>
      <c r="O66" s="20">
        <v>104</v>
      </c>
      <c r="P66" s="20">
        <f t="shared" si="7"/>
        <v>16640</v>
      </c>
      <c r="Q66" s="20">
        <f t="shared" si="9"/>
        <v>222960</v>
      </c>
    </row>
    <row r="67" spans="14:17">
      <c r="N67" s="20">
        <f t="shared" si="8"/>
        <v>65</v>
      </c>
      <c r="O67" s="20">
        <v>104</v>
      </c>
      <c r="P67" s="20">
        <f t="shared" ref="P67" si="10">$G$16*O67</f>
        <v>16640</v>
      </c>
      <c r="Q67" s="20">
        <f t="shared" si="9"/>
        <v>239600</v>
      </c>
    </row>
    <row r="68" spans="14:17">
      <c r="N68" s="20">
        <f t="shared" ref="N68" si="11">N67+1</f>
        <v>66</v>
      </c>
      <c r="O68" s="20">
        <v>104</v>
      </c>
      <c r="P68" s="20">
        <f t="shared" ref="P68:P99" si="12">$G$16*O68</f>
        <v>16640</v>
      </c>
      <c r="Q68" s="20">
        <f t="shared" si="9"/>
        <v>256240</v>
      </c>
    </row>
    <row r="69" spans="14:17">
      <c r="N69" s="20">
        <f t="shared" ref="N69:N100" si="13">N68+1</f>
        <v>67</v>
      </c>
      <c r="O69" s="20">
        <v>134.5</v>
      </c>
      <c r="P69" s="20">
        <f t="shared" si="12"/>
        <v>21520</v>
      </c>
      <c r="Q69" s="20">
        <f t="shared" si="9"/>
        <v>272880</v>
      </c>
    </row>
    <row r="70" spans="14:17">
      <c r="N70" s="20">
        <f t="shared" si="13"/>
        <v>68</v>
      </c>
      <c r="O70" s="20">
        <v>134.5</v>
      </c>
      <c r="P70" s="20">
        <f t="shared" si="12"/>
        <v>21520</v>
      </c>
      <c r="Q70" s="20">
        <f t="shared" si="9"/>
        <v>294400</v>
      </c>
    </row>
    <row r="71" spans="14:17">
      <c r="N71" s="20">
        <f t="shared" si="13"/>
        <v>69</v>
      </c>
      <c r="O71" s="20">
        <v>134.5</v>
      </c>
      <c r="P71" s="20">
        <f t="shared" si="12"/>
        <v>21520</v>
      </c>
      <c r="Q71" s="20">
        <f t="shared" si="9"/>
        <v>315920</v>
      </c>
    </row>
    <row r="72" spans="14:17">
      <c r="N72" s="20">
        <f t="shared" si="13"/>
        <v>70</v>
      </c>
      <c r="O72" s="20">
        <f>29832/176</f>
        <v>169.5</v>
      </c>
      <c r="P72" s="20">
        <f t="shared" si="12"/>
        <v>27120</v>
      </c>
      <c r="Q72" s="20">
        <f t="shared" ref="Q72" si="14">P71+Q71</f>
        <v>337440</v>
      </c>
    </row>
    <row r="73" spans="14:17">
      <c r="N73" s="20">
        <f t="shared" si="13"/>
        <v>71</v>
      </c>
      <c r="O73" s="20">
        <v>169.5</v>
      </c>
      <c r="P73" s="20">
        <f t="shared" si="12"/>
        <v>27120</v>
      </c>
      <c r="Q73" s="20">
        <f t="shared" ref="Q73:Q104" si="15">P72+Q72</f>
        <v>364560</v>
      </c>
    </row>
    <row r="74" spans="14:17">
      <c r="N74" s="20">
        <f t="shared" si="13"/>
        <v>72</v>
      </c>
      <c r="O74" s="20">
        <f>26442/156</f>
        <v>169.5</v>
      </c>
      <c r="P74" s="20">
        <f t="shared" si="12"/>
        <v>27120</v>
      </c>
      <c r="Q74" s="20">
        <f t="shared" si="15"/>
        <v>391680</v>
      </c>
    </row>
    <row r="75" spans="14:17">
      <c r="N75" s="20">
        <f t="shared" si="13"/>
        <v>73</v>
      </c>
      <c r="O75" s="20">
        <f>36960/176</f>
        <v>210</v>
      </c>
      <c r="P75" s="20">
        <f t="shared" si="12"/>
        <v>33600</v>
      </c>
      <c r="Q75" s="20">
        <f t="shared" si="15"/>
        <v>418800</v>
      </c>
    </row>
    <row r="76" spans="14:17">
      <c r="N76" s="20">
        <f t="shared" si="13"/>
        <v>74</v>
      </c>
      <c r="O76" s="20">
        <v>210</v>
      </c>
      <c r="P76" s="20">
        <f t="shared" si="12"/>
        <v>33600</v>
      </c>
      <c r="Q76" s="20">
        <f t="shared" si="15"/>
        <v>452400</v>
      </c>
    </row>
    <row r="77" spans="14:17">
      <c r="N77" s="20">
        <f t="shared" si="13"/>
        <v>75</v>
      </c>
      <c r="O77" s="20">
        <f>31920/152</f>
        <v>210</v>
      </c>
      <c r="P77" s="20">
        <f t="shared" si="12"/>
        <v>33600</v>
      </c>
      <c r="Q77" s="20">
        <f t="shared" si="15"/>
        <v>486000</v>
      </c>
    </row>
    <row r="78" spans="14:17">
      <c r="N78" s="20">
        <f t="shared" si="13"/>
        <v>76</v>
      </c>
      <c r="O78" s="20">
        <v>257</v>
      </c>
      <c r="P78" s="20">
        <f t="shared" si="12"/>
        <v>41120</v>
      </c>
      <c r="Q78" s="20">
        <f t="shared" si="15"/>
        <v>519600</v>
      </c>
    </row>
    <row r="79" spans="14:17">
      <c r="N79" s="20">
        <f t="shared" si="13"/>
        <v>77</v>
      </c>
      <c r="O79" s="20">
        <v>257</v>
      </c>
      <c r="P79" s="20">
        <f t="shared" si="12"/>
        <v>41120</v>
      </c>
      <c r="Q79" s="20">
        <f t="shared" si="15"/>
        <v>560720</v>
      </c>
    </row>
    <row r="80" spans="14:17">
      <c r="N80" s="20">
        <f t="shared" si="13"/>
        <v>78</v>
      </c>
      <c r="O80" s="20">
        <v>257</v>
      </c>
      <c r="P80" s="20">
        <f t="shared" si="12"/>
        <v>41120</v>
      </c>
      <c r="Q80" s="20">
        <f t="shared" si="15"/>
        <v>601840</v>
      </c>
    </row>
    <row r="81" spans="14:17">
      <c r="N81" s="20">
        <f t="shared" si="13"/>
        <v>79</v>
      </c>
      <c r="O81" s="20">
        <v>425</v>
      </c>
      <c r="P81" s="20">
        <f t="shared" si="12"/>
        <v>68000</v>
      </c>
      <c r="Q81" s="20">
        <f t="shared" si="15"/>
        <v>642960</v>
      </c>
    </row>
    <row r="82" spans="14:17">
      <c r="N82" s="20">
        <f t="shared" si="13"/>
        <v>80</v>
      </c>
      <c r="O82" s="20">
        <f>83300/196</f>
        <v>425</v>
      </c>
      <c r="P82" s="20">
        <f t="shared" si="12"/>
        <v>68000</v>
      </c>
      <c r="Q82" s="20">
        <f t="shared" si="15"/>
        <v>710960</v>
      </c>
    </row>
    <row r="83" spans="14:17">
      <c r="N83" s="20">
        <f t="shared" si="13"/>
        <v>81</v>
      </c>
      <c r="O83" s="20">
        <f>88400/208</f>
        <v>425</v>
      </c>
      <c r="P83" s="20">
        <f t="shared" si="12"/>
        <v>68000</v>
      </c>
      <c r="Q83" s="20">
        <f t="shared" si="15"/>
        <v>778960</v>
      </c>
    </row>
    <row r="84" spans="14:17">
      <c r="N84" s="20">
        <f t="shared" si="13"/>
        <v>82</v>
      </c>
      <c r="O84" s="20">
        <f>84150/180</f>
        <v>467.5</v>
      </c>
      <c r="P84" s="20">
        <f t="shared" si="12"/>
        <v>74800</v>
      </c>
      <c r="Q84" s="20">
        <f t="shared" si="15"/>
        <v>846960</v>
      </c>
    </row>
    <row r="85" spans="14:17">
      <c r="N85" s="20">
        <f t="shared" si="13"/>
        <v>83</v>
      </c>
      <c r="O85" s="20">
        <f>76670/164</f>
        <v>467.5</v>
      </c>
      <c r="P85" s="20">
        <f t="shared" si="12"/>
        <v>74800</v>
      </c>
      <c r="Q85" s="20">
        <f t="shared" si="15"/>
        <v>921760</v>
      </c>
    </row>
    <row r="86" spans="14:17">
      <c r="N86" s="20">
        <f t="shared" si="13"/>
        <v>84</v>
      </c>
      <c r="O86" s="20">
        <f>71060/152</f>
        <v>467.5</v>
      </c>
      <c r="P86" s="20">
        <f t="shared" si="12"/>
        <v>74800</v>
      </c>
      <c r="Q86" s="20">
        <f t="shared" si="15"/>
        <v>996560</v>
      </c>
    </row>
    <row r="87" spans="14:17">
      <c r="N87" s="20">
        <f t="shared" si="13"/>
        <v>85</v>
      </c>
      <c r="O87" s="20">
        <f>104424/152</f>
        <v>687</v>
      </c>
      <c r="P87" s="20">
        <f t="shared" si="12"/>
        <v>109920</v>
      </c>
      <c r="Q87" s="20">
        <f t="shared" si="15"/>
        <v>1071360</v>
      </c>
    </row>
    <row r="88" spans="14:17">
      <c r="N88" s="20">
        <f t="shared" si="13"/>
        <v>86</v>
      </c>
      <c r="O88" s="20">
        <f>134652/196</f>
        <v>687</v>
      </c>
      <c r="P88" s="20">
        <f t="shared" si="12"/>
        <v>109920</v>
      </c>
      <c r="Q88" s="20">
        <f t="shared" si="15"/>
        <v>1181280</v>
      </c>
    </row>
    <row r="89" spans="14:17">
      <c r="N89" s="20">
        <f t="shared" si="13"/>
        <v>87</v>
      </c>
      <c r="O89" s="20">
        <v>687</v>
      </c>
      <c r="P89" s="20">
        <f t="shared" si="12"/>
        <v>109920</v>
      </c>
      <c r="Q89" s="20">
        <f t="shared" si="15"/>
        <v>1291200</v>
      </c>
    </row>
    <row r="90" spans="14:17">
      <c r="N90" s="20">
        <f t="shared" si="13"/>
        <v>88</v>
      </c>
      <c r="O90" s="20">
        <f t="shared" ref="O90:O92" si="16">115064/152</f>
        <v>757</v>
      </c>
      <c r="P90" s="20">
        <f t="shared" si="12"/>
        <v>121120</v>
      </c>
      <c r="Q90" s="20">
        <f t="shared" si="15"/>
        <v>1401120</v>
      </c>
    </row>
    <row r="91" spans="14:17">
      <c r="N91" s="20">
        <f t="shared" si="13"/>
        <v>89</v>
      </c>
      <c r="O91" s="20">
        <f t="shared" si="16"/>
        <v>757</v>
      </c>
      <c r="P91" s="20">
        <f t="shared" si="12"/>
        <v>121120</v>
      </c>
      <c r="Q91" s="20">
        <f t="shared" si="15"/>
        <v>1522240</v>
      </c>
    </row>
    <row r="92" spans="14:17">
      <c r="N92" s="20">
        <f t="shared" si="13"/>
        <v>90</v>
      </c>
      <c r="O92" s="20">
        <f t="shared" si="16"/>
        <v>757</v>
      </c>
      <c r="P92" s="20">
        <f t="shared" si="12"/>
        <v>121120</v>
      </c>
      <c r="Q92" s="20">
        <f t="shared" si="15"/>
        <v>1643360</v>
      </c>
    </row>
    <row r="93" spans="14:17">
      <c r="N93" s="20">
        <f t="shared" si="13"/>
        <v>91</v>
      </c>
      <c r="O93" s="20">
        <v>1042</v>
      </c>
      <c r="P93" s="20">
        <f t="shared" si="12"/>
        <v>166720</v>
      </c>
      <c r="Q93" s="20">
        <f t="shared" si="15"/>
        <v>1764480</v>
      </c>
    </row>
    <row r="94" spans="14:17">
      <c r="N94" s="20">
        <f t="shared" si="13"/>
        <v>92</v>
      </c>
      <c r="O94" s="20">
        <v>1042</v>
      </c>
      <c r="P94" s="20">
        <f t="shared" si="12"/>
        <v>166720</v>
      </c>
      <c r="Q94" s="20">
        <f t="shared" si="15"/>
        <v>1931200</v>
      </c>
    </row>
    <row r="95" spans="14:17">
      <c r="N95" s="20">
        <f t="shared" si="13"/>
        <v>93</v>
      </c>
      <c r="O95" s="20">
        <v>1042</v>
      </c>
      <c r="P95" s="20">
        <f t="shared" si="12"/>
        <v>166720</v>
      </c>
      <c r="Q95" s="20">
        <f t="shared" si="15"/>
        <v>2097920</v>
      </c>
    </row>
    <row r="96" spans="14:17">
      <c r="N96" s="20">
        <f t="shared" si="13"/>
        <v>94</v>
      </c>
      <c r="O96" s="20">
        <v>1375</v>
      </c>
      <c r="P96" s="20">
        <f t="shared" si="12"/>
        <v>220000</v>
      </c>
      <c r="Q96" s="20">
        <f t="shared" si="15"/>
        <v>2264640</v>
      </c>
    </row>
    <row r="97" spans="14:17">
      <c r="N97" s="20">
        <f t="shared" si="13"/>
        <v>95</v>
      </c>
      <c r="O97" s="20">
        <v>1375</v>
      </c>
      <c r="P97" s="20">
        <f t="shared" si="12"/>
        <v>220000</v>
      </c>
      <c r="Q97" s="20">
        <f t="shared" si="15"/>
        <v>2484640</v>
      </c>
    </row>
    <row r="98" spans="14:17">
      <c r="N98" s="20">
        <f t="shared" si="13"/>
        <v>96</v>
      </c>
      <c r="O98" s="20">
        <v>1375</v>
      </c>
      <c r="P98" s="20">
        <f t="shared" si="12"/>
        <v>220000</v>
      </c>
      <c r="Q98" s="20">
        <f t="shared" si="15"/>
        <v>2704640</v>
      </c>
    </row>
    <row r="99" spans="14:17">
      <c r="N99" s="20">
        <f t="shared" si="13"/>
        <v>97</v>
      </c>
      <c r="O99" s="20">
        <v>1767.5</v>
      </c>
      <c r="P99" s="20">
        <f t="shared" si="12"/>
        <v>282800</v>
      </c>
      <c r="Q99" s="20">
        <f t="shared" si="15"/>
        <v>2924640</v>
      </c>
    </row>
    <row r="100" spans="14:17">
      <c r="N100" s="20">
        <f t="shared" si="13"/>
        <v>98</v>
      </c>
      <c r="O100" s="20">
        <v>1767.5</v>
      </c>
      <c r="P100" s="20">
        <f t="shared" ref="P100:P130" si="17">$G$16*O100</f>
        <v>282800</v>
      </c>
      <c r="Q100" s="20">
        <f t="shared" si="15"/>
        <v>3207440</v>
      </c>
    </row>
    <row r="101" spans="14:17">
      <c r="N101" s="20">
        <f t="shared" ref="N101:N131" si="18">N100+1</f>
        <v>99</v>
      </c>
      <c r="O101" s="20">
        <v>1767.5</v>
      </c>
      <c r="P101" s="20">
        <f t="shared" si="17"/>
        <v>282800</v>
      </c>
      <c r="Q101" s="20">
        <f t="shared" si="15"/>
        <v>3490240</v>
      </c>
    </row>
    <row r="102" spans="14:17">
      <c r="N102" s="20">
        <f t="shared" si="18"/>
        <v>100</v>
      </c>
      <c r="O102" s="20">
        <v>2227</v>
      </c>
      <c r="P102" s="20">
        <f t="shared" si="17"/>
        <v>356320</v>
      </c>
      <c r="Q102" s="20">
        <f t="shared" si="15"/>
        <v>3773040</v>
      </c>
    </row>
    <row r="103" spans="14:17">
      <c r="N103" s="20">
        <f t="shared" si="18"/>
        <v>101</v>
      </c>
      <c r="O103" s="20">
        <v>2227</v>
      </c>
      <c r="P103" s="20">
        <f t="shared" si="17"/>
        <v>356320</v>
      </c>
      <c r="Q103" s="20">
        <f t="shared" si="15"/>
        <v>4129360</v>
      </c>
    </row>
    <row r="104" spans="14:17">
      <c r="N104" s="20">
        <f t="shared" si="18"/>
        <v>102</v>
      </c>
      <c r="O104" s="20">
        <v>2227</v>
      </c>
      <c r="P104" s="20">
        <f t="shared" si="17"/>
        <v>356320</v>
      </c>
      <c r="Q104" s="20">
        <f t="shared" si="15"/>
        <v>4485680</v>
      </c>
    </row>
    <row r="105" spans="14:17">
      <c r="N105" s="20">
        <f t="shared" si="18"/>
        <v>103</v>
      </c>
      <c r="O105" s="20">
        <v>2760</v>
      </c>
      <c r="P105" s="20">
        <f t="shared" si="17"/>
        <v>441600</v>
      </c>
      <c r="Q105" s="20">
        <f t="shared" ref="Q105:Q135" si="19">P104+Q104</f>
        <v>4842000</v>
      </c>
    </row>
    <row r="106" spans="14:17">
      <c r="N106" s="20">
        <f t="shared" si="18"/>
        <v>104</v>
      </c>
      <c r="O106" s="20">
        <v>2760</v>
      </c>
      <c r="P106" s="20">
        <f t="shared" si="17"/>
        <v>441600</v>
      </c>
      <c r="Q106" s="20">
        <f t="shared" si="19"/>
        <v>5283600</v>
      </c>
    </row>
    <row r="107" spans="14:17">
      <c r="N107" s="20">
        <f t="shared" si="18"/>
        <v>105</v>
      </c>
      <c r="O107" s="20">
        <v>2760</v>
      </c>
      <c r="P107" s="20">
        <f t="shared" si="17"/>
        <v>441600</v>
      </c>
      <c r="Q107" s="20">
        <f t="shared" si="19"/>
        <v>5725200</v>
      </c>
    </row>
    <row r="108" spans="14:17">
      <c r="N108" s="20">
        <f t="shared" si="18"/>
        <v>106</v>
      </c>
      <c r="O108" s="20">
        <v>3375</v>
      </c>
      <c r="P108" s="20">
        <f t="shared" si="17"/>
        <v>540000</v>
      </c>
      <c r="Q108" s="20">
        <f t="shared" si="19"/>
        <v>6166800</v>
      </c>
    </row>
    <row r="109" spans="14:17">
      <c r="N109" s="20">
        <f t="shared" si="18"/>
        <v>107</v>
      </c>
      <c r="O109" s="20">
        <v>3375</v>
      </c>
      <c r="P109" s="20">
        <f t="shared" si="17"/>
        <v>540000</v>
      </c>
      <c r="Q109" s="20">
        <f t="shared" si="19"/>
        <v>6706800</v>
      </c>
    </row>
    <row r="110" spans="14:17">
      <c r="N110" s="20">
        <f t="shared" si="18"/>
        <v>108</v>
      </c>
      <c r="O110" s="20">
        <v>3375</v>
      </c>
      <c r="P110" s="20">
        <f t="shared" si="17"/>
        <v>540000</v>
      </c>
      <c r="Q110" s="20">
        <f t="shared" si="19"/>
        <v>7246800</v>
      </c>
    </row>
    <row r="111" spans="14:17">
      <c r="N111" s="20">
        <f t="shared" si="18"/>
        <v>109</v>
      </c>
      <c r="O111" s="20">
        <v>3717</v>
      </c>
      <c r="P111" s="20">
        <f t="shared" si="17"/>
        <v>594720</v>
      </c>
      <c r="Q111" s="20">
        <f t="shared" si="19"/>
        <v>7786800</v>
      </c>
    </row>
    <row r="112" spans="14:17">
      <c r="N112" s="20">
        <f t="shared" si="18"/>
        <v>110</v>
      </c>
      <c r="O112" s="20">
        <v>3717</v>
      </c>
      <c r="P112" s="20">
        <f t="shared" si="17"/>
        <v>594720</v>
      </c>
      <c r="Q112" s="20">
        <f t="shared" si="19"/>
        <v>8381520</v>
      </c>
    </row>
    <row r="113" spans="14:17">
      <c r="N113" s="20">
        <f t="shared" si="18"/>
        <v>111</v>
      </c>
      <c r="O113" s="20">
        <v>3717</v>
      </c>
      <c r="P113" s="20">
        <f t="shared" si="17"/>
        <v>594720</v>
      </c>
      <c r="Q113" s="20">
        <f t="shared" si="19"/>
        <v>8976240</v>
      </c>
    </row>
    <row r="114" spans="14:17">
      <c r="N114" s="20">
        <f t="shared" si="18"/>
        <v>112</v>
      </c>
      <c r="O114" s="20">
        <v>4092</v>
      </c>
      <c r="P114" s="20">
        <f t="shared" si="17"/>
        <v>654720</v>
      </c>
      <c r="Q114" s="20">
        <f t="shared" si="19"/>
        <v>9570960</v>
      </c>
    </row>
    <row r="115" spans="14:17">
      <c r="N115" s="20">
        <f t="shared" si="18"/>
        <v>113</v>
      </c>
      <c r="O115" s="20">
        <v>4092</v>
      </c>
      <c r="P115" s="20">
        <f t="shared" si="17"/>
        <v>654720</v>
      </c>
      <c r="Q115" s="20">
        <f t="shared" si="19"/>
        <v>10225680</v>
      </c>
    </row>
    <row r="116" spans="14:17">
      <c r="N116" s="20">
        <f t="shared" si="18"/>
        <v>114</v>
      </c>
      <c r="O116" s="20">
        <v>4092</v>
      </c>
      <c r="P116" s="20">
        <f t="shared" si="17"/>
        <v>654720</v>
      </c>
      <c r="Q116" s="20">
        <f t="shared" si="19"/>
        <v>10880400</v>
      </c>
    </row>
    <row r="117" spans="14:17">
      <c r="N117" s="20">
        <f t="shared" si="18"/>
        <v>115</v>
      </c>
      <c r="O117" s="20">
        <v>4508.5</v>
      </c>
      <c r="P117" s="20">
        <f t="shared" si="17"/>
        <v>721360</v>
      </c>
      <c r="Q117" s="20">
        <f t="shared" si="19"/>
        <v>11535120</v>
      </c>
    </row>
    <row r="118" spans="14:17">
      <c r="N118" s="20">
        <f t="shared" si="18"/>
        <v>116</v>
      </c>
      <c r="O118" s="20">
        <v>4508.5</v>
      </c>
      <c r="P118" s="20">
        <f t="shared" si="17"/>
        <v>721360</v>
      </c>
      <c r="Q118" s="20">
        <f t="shared" si="19"/>
        <v>12256480</v>
      </c>
    </row>
    <row r="119" spans="14:17">
      <c r="N119" s="20">
        <f t="shared" si="18"/>
        <v>117</v>
      </c>
      <c r="O119" s="20">
        <v>4508.5</v>
      </c>
      <c r="P119" s="20">
        <f t="shared" si="17"/>
        <v>721360</v>
      </c>
      <c r="Q119" s="20">
        <f t="shared" si="19"/>
        <v>12977840</v>
      </c>
    </row>
    <row r="120" spans="14:17">
      <c r="N120" s="20">
        <f t="shared" si="18"/>
        <v>118</v>
      </c>
      <c r="O120" s="20">
        <v>4967</v>
      </c>
      <c r="P120" s="20">
        <f t="shared" si="17"/>
        <v>794720</v>
      </c>
      <c r="Q120" s="20">
        <f t="shared" si="19"/>
        <v>13699200</v>
      </c>
    </row>
    <row r="121" spans="14:17">
      <c r="N121" s="20">
        <f t="shared" si="18"/>
        <v>119</v>
      </c>
      <c r="O121" s="20">
        <v>4967</v>
      </c>
      <c r="P121" s="20">
        <f t="shared" si="17"/>
        <v>794720</v>
      </c>
      <c r="Q121" s="20">
        <f t="shared" si="19"/>
        <v>14493920</v>
      </c>
    </row>
    <row r="122" spans="14:17">
      <c r="N122" s="20">
        <f t="shared" si="18"/>
        <v>120</v>
      </c>
      <c r="O122" s="20">
        <v>4967</v>
      </c>
      <c r="P122" s="20">
        <f t="shared" si="17"/>
        <v>794720</v>
      </c>
      <c r="Q122" s="20">
        <f t="shared" si="19"/>
        <v>15288640</v>
      </c>
    </row>
    <row r="123" spans="14:17">
      <c r="N123" s="20">
        <f t="shared" si="18"/>
        <v>121</v>
      </c>
      <c r="O123" s="20">
        <v>5467</v>
      </c>
      <c r="P123" s="20">
        <f t="shared" si="17"/>
        <v>874720</v>
      </c>
      <c r="Q123" s="20">
        <f t="shared" si="19"/>
        <v>16083360</v>
      </c>
    </row>
    <row r="124" spans="14:17">
      <c r="N124" s="20">
        <f t="shared" si="18"/>
        <v>122</v>
      </c>
      <c r="O124" s="20">
        <v>5467</v>
      </c>
      <c r="P124" s="20">
        <f t="shared" si="17"/>
        <v>874720</v>
      </c>
      <c r="Q124" s="20">
        <f t="shared" si="19"/>
        <v>16958080</v>
      </c>
    </row>
    <row r="125" spans="14:17">
      <c r="N125" s="20">
        <f t="shared" si="18"/>
        <v>123</v>
      </c>
      <c r="O125" s="20">
        <v>5467</v>
      </c>
      <c r="P125" s="20">
        <f t="shared" si="17"/>
        <v>874720</v>
      </c>
      <c r="Q125" s="20">
        <f t="shared" si="19"/>
        <v>17832800</v>
      </c>
    </row>
    <row r="126" spans="14:17">
      <c r="N126" s="20">
        <f t="shared" si="18"/>
        <v>124</v>
      </c>
      <c r="O126" s="20">
        <v>6017</v>
      </c>
      <c r="P126" s="20">
        <f t="shared" si="17"/>
        <v>962720</v>
      </c>
      <c r="Q126" s="20">
        <f t="shared" si="19"/>
        <v>18707520</v>
      </c>
    </row>
    <row r="127" spans="14:17">
      <c r="N127" s="20">
        <f t="shared" si="18"/>
        <v>125</v>
      </c>
      <c r="O127" s="20">
        <v>6017</v>
      </c>
      <c r="P127" s="20">
        <f t="shared" si="17"/>
        <v>962720</v>
      </c>
      <c r="Q127" s="20">
        <f t="shared" si="19"/>
        <v>19670240</v>
      </c>
    </row>
    <row r="128" spans="14:17">
      <c r="N128" s="20">
        <f t="shared" si="18"/>
        <v>126</v>
      </c>
      <c r="O128" s="20">
        <v>6017</v>
      </c>
      <c r="P128" s="20">
        <f t="shared" si="17"/>
        <v>962720</v>
      </c>
      <c r="Q128" s="20">
        <f t="shared" si="19"/>
        <v>20632960</v>
      </c>
    </row>
    <row r="129" spans="14:17">
      <c r="N129" s="20">
        <f t="shared" si="18"/>
        <v>127</v>
      </c>
      <c r="O129" s="20">
        <v>6625</v>
      </c>
      <c r="P129" s="20">
        <f t="shared" si="17"/>
        <v>1060000</v>
      </c>
      <c r="Q129" s="20">
        <f t="shared" si="19"/>
        <v>21595680</v>
      </c>
    </row>
    <row r="130" spans="14:17">
      <c r="N130" s="20">
        <f t="shared" si="18"/>
        <v>128</v>
      </c>
      <c r="O130" s="20">
        <v>6625</v>
      </c>
      <c r="P130" s="20">
        <f t="shared" si="17"/>
        <v>1060000</v>
      </c>
      <c r="Q130" s="20">
        <f t="shared" si="19"/>
        <v>22655680</v>
      </c>
    </row>
    <row r="131" spans="14:17">
      <c r="N131" s="20">
        <f t="shared" si="18"/>
        <v>129</v>
      </c>
      <c r="O131" s="20">
        <v>6625</v>
      </c>
      <c r="P131" s="20">
        <f t="shared" ref="P131" si="20">$G$16*O131</f>
        <v>1060000</v>
      </c>
      <c r="Q131" s="20">
        <f t="shared" si="19"/>
        <v>23715680</v>
      </c>
    </row>
    <row r="132" spans="14:17">
      <c r="N132" s="20">
        <f t="shared" ref="N132" si="21">N131+1</f>
        <v>130</v>
      </c>
      <c r="O132" s="20">
        <v>7292</v>
      </c>
      <c r="P132" s="20">
        <f t="shared" ref="P132:P163" si="22">$G$16*O132</f>
        <v>1166720</v>
      </c>
      <c r="Q132" s="20">
        <f t="shared" si="19"/>
        <v>24775680</v>
      </c>
    </row>
    <row r="133" spans="14:17">
      <c r="N133" s="20">
        <f t="shared" ref="N133:N164" si="23">N132+1</f>
        <v>131</v>
      </c>
      <c r="O133" s="20">
        <v>7292</v>
      </c>
      <c r="P133" s="20">
        <f t="shared" si="22"/>
        <v>1166720</v>
      </c>
      <c r="Q133" s="20">
        <f t="shared" si="19"/>
        <v>25942400</v>
      </c>
    </row>
    <row r="134" spans="14:17">
      <c r="N134" s="20">
        <f t="shared" si="23"/>
        <v>132</v>
      </c>
      <c r="O134" s="20">
        <v>7292</v>
      </c>
      <c r="P134" s="20">
        <f t="shared" si="22"/>
        <v>1166720</v>
      </c>
      <c r="Q134" s="20">
        <f t="shared" si="19"/>
        <v>27109120</v>
      </c>
    </row>
    <row r="135" spans="14:17">
      <c r="N135" s="20">
        <f t="shared" si="23"/>
        <v>133</v>
      </c>
      <c r="O135" s="20">
        <v>8025</v>
      </c>
      <c r="P135" s="20">
        <f t="shared" si="22"/>
        <v>1284000</v>
      </c>
      <c r="Q135" s="20">
        <f t="shared" si="19"/>
        <v>28275840</v>
      </c>
    </row>
    <row r="136" spans="14:17">
      <c r="N136" s="20">
        <f t="shared" si="23"/>
        <v>134</v>
      </c>
      <c r="O136" s="20">
        <v>8025</v>
      </c>
      <c r="P136" s="20">
        <f t="shared" si="22"/>
        <v>1284000</v>
      </c>
      <c r="Q136" s="20">
        <f t="shared" ref="Q136" si="24">P135+Q135</f>
        <v>29559840</v>
      </c>
    </row>
    <row r="137" spans="14:17">
      <c r="N137" s="20">
        <f t="shared" si="23"/>
        <v>135</v>
      </c>
      <c r="O137" s="20">
        <v>8025</v>
      </c>
      <c r="P137" s="20">
        <f t="shared" si="22"/>
        <v>1284000</v>
      </c>
      <c r="Q137" s="20">
        <f t="shared" ref="Q137:Q168" si="25">P136+Q136</f>
        <v>30843840</v>
      </c>
    </row>
    <row r="138" spans="14:17">
      <c r="N138" s="20">
        <f t="shared" si="23"/>
        <v>136</v>
      </c>
      <c r="O138" s="20">
        <v>8833.5</v>
      </c>
      <c r="P138" s="20">
        <f t="shared" si="22"/>
        <v>1413360</v>
      </c>
      <c r="Q138" s="20">
        <f t="shared" si="25"/>
        <v>32127840</v>
      </c>
    </row>
    <row r="139" spans="14:17">
      <c r="N139" s="20">
        <f t="shared" si="23"/>
        <v>137</v>
      </c>
      <c r="O139" s="20">
        <v>8833.5</v>
      </c>
      <c r="P139" s="20">
        <f t="shared" si="22"/>
        <v>1413360</v>
      </c>
      <c r="Q139" s="20">
        <f t="shared" si="25"/>
        <v>33541200</v>
      </c>
    </row>
    <row r="140" spans="14:17">
      <c r="N140" s="20">
        <f t="shared" si="23"/>
        <v>138</v>
      </c>
      <c r="O140" s="20">
        <v>8833.5</v>
      </c>
      <c r="P140" s="20">
        <f t="shared" si="22"/>
        <v>1413360</v>
      </c>
      <c r="Q140" s="20">
        <f t="shared" si="25"/>
        <v>34954560</v>
      </c>
    </row>
    <row r="141" spans="14:17">
      <c r="N141" s="20">
        <f t="shared" si="23"/>
        <v>139</v>
      </c>
      <c r="O141" s="20">
        <v>9717</v>
      </c>
      <c r="P141" s="20">
        <f t="shared" si="22"/>
        <v>1554720</v>
      </c>
      <c r="Q141" s="20">
        <f t="shared" si="25"/>
        <v>36367920</v>
      </c>
    </row>
    <row r="142" spans="14:17">
      <c r="N142" s="20">
        <f t="shared" si="23"/>
        <v>140</v>
      </c>
      <c r="O142" s="20">
        <v>9717</v>
      </c>
      <c r="P142" s="20">
        <f t="shared" si="22"/>
        <v>1554720</v>
      </c>
      <c r="Q142" s="20">
        <f t="shared" si="25"/>
        <v>37922640</v>
      </c>
    </row>
    <row r="143" spans="14:17">
      <c r="N143" s="20">
        <f t="shared" si="23"/>
        <v>141</v>
      </c>
      <c r="O143" s="20">
        <v>9717</v>
      </c>
      <c r="P143" s="20">
        <f t="shared" si="22"/>
        <v>1554720</v>
      </c>
      <c r="Q143" s="20">
        <f t="shared" si="25"/>
        <v>39477360</v>
      </c>
    </row>
    <row r="144" spans="14:17">
      <c r="N144" s="20">
        <f t="shared" si="23"/>
        <v>142</v>
      </c>
      <c r="O144" s="20">
        <v>10692</v>
      </c>
      <c r="P144" s="20">
        <f t="shared" si="22"/>
        <v>1710720</v>
      </c>
      <c r="Q144" s="20">
        <f t="shared" si="25"/>
        <v>41032080</v>
      </c>
    </row>
    <row r="145" spans="14:17">
      <c r="N145" s="20">
        <f t="shared" si="23"/>
        <v>143</v>
      </c>
      <c r="O145" s="20">
        <v>10692</v>
      </c>
      <c r="P145" s="20">
        <f t="shared" si="22"/>
        <v>1710720</v>
      </c>
      <c r="Q145" s="20">
        <f t="shared" si="25"/>
        <v>42742800</v>
      </c>
    </row>
    <row r="146" spans="14:17">
      <c r="N146" s="20">
        <f t="shared" si="23"/>
        <v>144</v>
      </c>
      <c r="O146" s="20">
        <v>10692</v>
      </c>
      <c r="P146" s="20">
        <f t="shared" si="22"/>
        <v>1710720</v>
      </c>
      <c r="Q146" s="20">
        <f t="shared" si="25"/>
        <v>44453520</v>
      </c>
    </row>
    <row r="147" spans="14:17">
      <c r="N147" s="20">
        <f t="shared" si="23"/>
        <v>145</v>
      </c>
      <c r="O147" s="20">
        <v>11767</v>
      </c>
      <c r="P147" s="20">
        <f t="shared" si="22"/>
        <v>1882720</v>
      </c>
      <c r="Q147" s="20">
        <f t="shared" si="25"/>
        <v>46164240</v>
      </c>
    </row>
    <row r="148" spans="14:17">
      <c r="N148" s="20">
        <f t="shared" si="23"/>
        <v>146</v>
      </c>
      <c r="O148" s="20">
        <v>11767</v>
      </c>
      <c r="P148" s="20">
        <f t="shared" si="22"/>
        <v>1882720</v>
      </c>
      <c r="Q148" s="20">
        <f t="shared" si="25"/>
        <v>48046960</v>
      </c>
    </row>
    <row r="149" spans="14:17">
      <c r="N149" s="20">
        <f t="shared" si="23"/>
        <v>147</v>
      </c>
      <c r="O149" s="20">
        <v>11767</v>
      </c>
      <c r="P149" s="20">
        <f t="shared" si="22"/>
        <v>1882720</v>
      </c>
      <c r="Q149" s="20">
        <f t="shared" si="25"/>
        <v>49929680</v>
      </c>
    </row>
    <row r="150" spans="14:17">
      <c r="N150" s="20">
        <f t="shared" si="23"/>
        <v>148</v>
      </c>
      <c r="O150" s="20">
        <v>12950</v>
      </c>
      <c r="P150" s="20">
        <f t="shared" si="22"/>
        <v>2072000</v>
      </c>
      <c r="Q150" s="20">
        <f t="shared" si="25"/>
        <v>51812400</v>
      </c>
    </row>
    <row r="151" spans="14:17">
      <c r="N151" s="20">
        <f t="shared" si="23"/>
        <v>149</v>
      </c>
      <c r="O151" s="20">
        <v>12950</v>
      </c>
      <c r="P151" s="20">
        <f t="shared" si="22"/>
        <v>2072000</v>
      </c>
      <c r="Q151" s="20">
        <f t="shared" si="25"/>
        <v>53884400</v>
      </c>
    </row>
    <row r="152" spans="14:17">
      <c r="N152" s="20">
        <f t="shared" si="23"/>
        <v>150</v>
      </c>
      <c r="O152" s="20">
        <v>12950</v>
      </c>
      <c r="P152" s="20">
        <f t="shared" si="22"/>
        <v>2072000</v>
      </c>
      <c r="Q152" s="20">
        <f t="shared" si="25"/>
        <v>55956400</v>
      </c>
    </row>
    <row r="153" spans="14:17">
      <c r="N153" s="20">
        <f t="shared" si="23"/>
        <v>151</v>
      </c>
      <c r="O153" s="20">
        <v>13217</v>
      </c>
      <c r="P153" s="20">
        <f t="shared" si="22"/>
        <v>2114720</v>
      </c>
      <c r="Q153" s="20">
        <f t="shared" si="25"/>
        <v>58028400</v>
      </c>
    </row>
    <row r="154" spans="14:17">
      <c r="N154" s="20">
        <f t="shared" si="23"/>
        <v>152</v>
      </c>
      <c r="O154" s="20">
        <v>13217</v>
      </c>
      <c r="P154" s="20">
        <f t="shared" si="22"/>
        <v>2114720</v>
      </c>
      <c r="Q154" s="20">
        <f t="shared" si="25"/>
        <v>60143120</v>
      </c>
    </row>
    <row r="155" spans="14:17">
      <c r="N155" s="20">
        <f t="shared" si="23"/>
        <v>153</v>
      </c>
      <c r="O155" s="20">
        <v>13217</v>
      </c>
      <c r="P155" s="20">
        <f t="shared" si="22"/>
        <v>2114720</v>
      </c>
      <c r="Q155" s="20">
        <f t="shared" si="25"/>
        <v>62257840</v>
      </c>
    </row>
    <row r="156" spans="14:17">
      <c r="N156" s="20">
        <f t="shared" si="23"/>
        <v>154</v>
      </c>
      <c r="O156" s="20">
        <v>13483.5</v>
      </c>
      <c r="P156" s="20">
        <f t="shared" si="22"/>
        <v>2157360</v>
      </c>
      <c r="Q156" s="20">
        <f t="shared" si="25"/>
        <v>64372560</v>
      </c>
    </row>
    <row r="157" spans="14:17">
      <c r="N157" s="20">
        <f t="shared" si="23"/>
        <v>155</v>
      </c>
      <c r="O157" s="20">
        <v>13483.5</v>
      </c>
      <c r="P157" s="20">
        <f t="shared" si="22"/>
        <v>2157360</v>
      </c>
      <c r="Q157" s="20">
        <f t="shared" si="25"/>
        <v>66529920</v>
      </c>
    </row>
    <row r="158" spans="14:17">
      <c r="N158" s="20">
        <f t="shared" si="23"/>
        <v>156</v>
      </c>
      <c r="O158" s="20">
        <v>13483.5</v>
      </c>
      <c r="P158" s="20">
        <f t="shared" si="22"/>
        <v>2157360</v>
      </c>
      <c r="Q158" s="20">
        <f t="shared" si="25"/>
        <v>68687280</v>
      </c>
    </row>
    <row r="159" spans="14:17">
      <c r="N159" s="20">
        <f t="shared" si="23"/>
        <v>157</v>
      </c>
      <c r="O159" s="20">
        <v>13758.5</v>
      </c>
      <c r="P159" s="20">
        <f t="shared" si="22"/>
        <v>2201360</v>
      </c>
      <c r="Q159" s="20">
        <f t="shared" si="25"/>
        <v>70844640</v>
      </c>
    </row>
    <row r="160" spans="14:17">
      <c r="N160" s="20">
        <f t="shared" si="23"/>
        <v>158</v>
      </c>
      <c r="O160" s="20">
        <v>13758.5</v>
      </c>
      <c r="P160" s="20">
        <f t="shared" si="22"/>
        <v>2201360</v>
      </c>
      <c r="Q160" s="20">
        <f t="shared" si="25"/>
        <v>73046000</v>
      </c>
    </row>
    <row r="161" spans="14:17">
      <c r="N161" s="20">
        <f t="shared" si="23"/>
        <v>159</v>
      </c>
      <c r="O161" s="20">
        <v>13758.5</v>
      </c>
      <c r="P161" s="20">
        <f t="shared" si="22"/>
        <v>2201360</v>
      </c>
      <c r="Q161" s="20">
        <f t="shared" si="25"/>
        <v>75247360</v>
      </c>
    </row>
    <row r="162" spans="14:17">
      <c r="N162" s="20">
        <f t="shared" si="23"/>
        <v>160</v>
      </c>
      <c r="O162" s="20">
        <v>14042</v>
      </c>
      <c r="P162" s="20">
        <f t="shared" si="22"/>
        <v>2246720</v>
      </c>
      <c r="Q162" s="20">
        <f t="shared" si="25"/>
        <v>77448720</v>
      </c>
    </row>
    <row r="163" spans="14:17">
      <c r="N163" s="20">
        <f t="shared" si="23"/>
        <v>161</v>
      </c>
      <c r="O163" s="20">
        <v>14042</v>
      </c>
      <c r="P163" s="20">
        <f t="shared" si="22"/>
        <v>2246720</v>
      </c>
      <c r="Q163" s="20">
        <f t="shared" si="25"/>
        <v>79695440</v>
      </c>
    </row>
    <row r="164" spans="14:17">
      <c r="N164" s="20">
        <f t="shared" si="23"/>
        <v>162</v>
      </c>
      <c r="O164" s="20">
        <v>14042</v>
      </c>
      <c r="P164" s="20">
        <f t="shared" ref="P164:P194" si="26">$G$16*O164</f>
        <v>2246720</v>
      </c>
      <c r="Q164" s="20">
        <f t="shared" si="25"/>
        <v>81942160</v>
      </c>
    </row>
    <row r="165" spans="14:17">
      <c r="N165" s="20">
        <f t="shared" ref="N165:N193" si="27">N164+1</f>
        <v>163</v>
      </c>
      <c r="O165" s="20">
        <v>14325</v>
      </c>
      <c r="P165" s="20">
        <f t="shared" si="26"/>
        <v>2292000</v>
      </c>
      <c r="Q165" s="20">
        <f t="shared" si="25"/>
        <v>84188880</v>
      </c>
    </row>
    <row r="166" spans="14:17">
      <c r="N166" s="20">
        <f t="shared" si="27"/>
        <v>164</v>
      </c>
      <c r="O166" s="20">
        <v>14325</v>
      </c>
      <c r="P166" s="20">
        <f t="shared" si="26"/>
        <v>2292000</v>
      </c>
      <c r="Q166" s="20">
        <f t="shared" si="25"/>
        <v>86480880</v>
      </c>
    </row>
    <row r="167" spans="14:17">
      <c r="N167" s="20">
        <f t="shared" si="27"/>
        <v>165</v>
      </c>
      <c r="O167" s="20">
        <v>14325</v>
      </c>
      <c r="P167" s="20">
        <f t="shared" si="26"/>
        <v>2292000</v>
      </c>
      <c r="Q167" s="20">
        <f t="shared" si="25"/>
        <v>88772880</v>
      </c>
    </row>
    <row r="168" spans="14:17">
      <c r="N168" s="20">
        <f t="shared" si="27"/>
        <v>166</v>
      </c>
      <c r="O168" s="20">
        <v>14617</v>
      </c>
      <c r="P168" s="20">
        <f t="shared" si="26"/>
        <v>2338720</v>
      </c>
      <c r="Q168" s="20">
        <f t="shared" si="25"/>
        <v>91064880</v>
      </c>
    </row>
    <row r="169" spans="14:17">
      <c r="N169" s="20">
        <f t="shared" si="27"/>
        <v>167</v>
      </c>
      <c r="O169" s="20">
        <v>14617</v>
      </c>
      <c r="P169" s="20">
        <f t="shared" si="26"/>
        <v>2338720</v>
      </c>
      <c r="Q169" s="20">
        <f t="shared" ref="Q169:Q199" si="28">P168+Q168</f>
        <v>93403600</v>
      </c>
    </row>
    <row r="170" spans="14:17">
      <c r="N170" s="20">
        <f t="shared" si="27"/>
        <v>168</v>
      </c>
      <c r="O170" s="20">
        <v>14617</v>
      </c>
      <c r="P170" s="20">
        <f t="shared" si="26"/>
        <v>2338720</v>
      </c>
      <c r="Q170" s="20">
        <f t="shared" si="28"/>
        <v>95742320</v>
      </c>
    </row>
    <row r="171" spans="14:17">
      <c r="N171" s="20">
        <f t="shared" si="27"/>
        <v>169</v>
      </c>
      <c r="O171" s="20">
        <v>14917</v>
      </c>
      <c r="P171" s="20">
        <f t="shared" si="26"/>
        <v>2386720</v>
      </c>
      <c r="Q171" s="20">
        <f t="shared" si="28"/>
        <v>98081040</v>
      </c>
    </row>
    <row r="172" spans="14:17">
      <c r="N172" s="20">
        <f t="shared" si="27"/>
        <v>170</v>
      </c>
      <c r="O172" s="20">
        <v>14917</v>
      </c>
      <c r="P172" s="20">
        <f t="shared" si="26"/>
        <v>2386720</v>
      </c>
      <c r="Q172" s="20">
        <f t="shared" si="28"/>
        <v>100467760</v>
      </c>
    </row>
    <row r="173" spans="14:17">
      <c r="N173" s="20">
        <f t="shared" si="27"/>
        <v>171</v>
      </c>
      <c r="O173" s="20">
        <v>14917</v>
      </c>
      <c r="P173" s="20">
        <f t="shared" si="26"/>
        <v>2386720</v>
      </c>
      <c r="Q173" s="20">
        <f t="shared" si="28"/>
        <v>102854480</v>
      </c>
    </row>
    <row r="174" spans="14:17">
      <c r="N174" s="20">
        <f t="shared" si="27"/>
        <v>172</v>
      </c>
      <c r="O174" s="20">
        <v>15217</v>
      </c>
      <c r="P174" s="20">
        <f t="shared" si="26"/>
        <v>2434720</v>
      </c>
      <c r="Q174" s="20">
        <f t="shared" si="28"/>
        <v>105241200</v>
      </c>
    </row>
    <row r="175" spans="14:17">
      <c r="N175" s="20">
        <f t="shared" si="27"/>
        <v>173</v>
      </c>
      <c r="O175" s="20">
        <v>15217</v>
      </c>
      <c r="P175" s="20">
        <f t="shared" si="26"/>
        <v>2434720</v>
      </c>
      <c r="Q175" s="20">
        <f t="shared" si="28"/>
        <v>107675920</v>
      </c>
    </row>
    <row r="176" spans="14:17">
      <c r="N176" s="20">
        <f t="shared" si="27"/>
        <v>174</v>
      </c>
      <c r="O176" s="20">
        <v>15217</v>
      </c>
      <c r="P176" s="20">
        <f t="shared" si="26"/>
        <v>2434720</v>
      </c>
      <c r="Q176" s="20">
        <f t="shared" si="28"/>
        <v>110110640</v>
      </c>
    </row>
    <row r="177" spans="14:17">
      <c r="N177" s="20">
        <f t="shared" si="27"/>
        <v>175</v>
      </c>
      <c r="O177" s="20">
        <v>15525</v>
      </c>
      <c r="P177" s="20">
        <f t="shared" si="26"/>
        <v>2484000</v>
      </c>
      <c r="Q177" s="20">
        <f t="shared" si="28"/>
        <v>112545360</v>
      </c>
    </row>
    <row r="178" spans="14:17">
      <c r="N178" s="20">
        <f t="shared" si="27"/>
        <v>176</v>
      </c>
      <c r="O178" s="20">
        <v>15525</v>
      </c>
      <c r="P178" s="20">
        <f t="shared" si="26"/>
        <v>2484000</v>
      </c>
      <c r="Q178" s="20">
        <f t="shared" si="28"/>
        <v>115029360</v>
      </c>
    </row>
    <row r="179" spans="14:17">
      <c r="N179" s="20">
        <f t="shared" si="27"/>
        <v>177</v>
      </c>
      <c r="O179" s="20">
        <v>15525</v>
      </c>
      <c r="P179" s="20">
        <f t="shared" si="26"/>
        <v>2484000</v>
      </c>
      <c r="Q179" s="20">
        <f t="shared" si="28"/>
        <v>117513360</v>
      </c>
    </row>
    <row r="180" spans="14:17">
      <c r="N180" s="20">
        <f t="shared" si="27"/>
        <v>178</v>
      </c>
      <c r="O180" s="20">
        <v>15842</v>
      </c>
      <c r="P180" s="20">
        <f t="shared" si="26"/>
        <v>2534720</v>
      </c>
      <c r="Q180" s="20">
        <f t="shared" si="28"/>
        <v>119997360</v>
      </c>
    </row>
    <row r="181" spans="14:17">
      <c r="N181" s="20">
        <f t="shared" si="27"/>
        <v>179</v>
      </c>
      <c r="O181" s="20">
        <v>15842</v>
      </c>
      <c r="P181" s="20">
        <f t="shared" si="26"/>
        <v>2534720</v>
      </c>
      <c r="Q181" s="20">
        <f t="shared" si="28"/>
        <v>122532080</v>
      </c>
    </row>
    <row r="182" spans="14:17">
      <c r="N182" s="20">
        <f t="shared" si="27"/>
        <v>180</v>
      </c>
      <c r="O182" s="20">
        <v>15842</v>
      </c>
      <c r="P182" s="20">
        <f t="shared" si="26"/>
        <v>2534720</v>
      </c>
      <c r="Q182" s="20">
        <f t="shared" si="28"/>
        <v>125066800</v>
      </c>
    </row>
    <row r="183" spans="14:17">
      <c r="N183" s="20">
        <f t="shared" si="27"/>
        <v>181</v>
      </c>
      <c r="O183" s="20">
        <v>16167</v>
      </c>
      <c r="P183" s="20">
        <f t="shared" si="26"/>
        <v>2586720</v>
      </c>
      <c r="Q183" s="20">
        <f t="shared" si="28"/>
        <v>127601520</v>
      </c>
    </row>
    <row r="184" spans="14:17">
      <c r="N184" s="20">
        <f t="shared" si="27"/>
        <v>182</v>
      </c>
      <c r="O184" s="20">
        <v>16167</v>
      </c>
      <c r="P184" s="20">
        <f t="shared" si="26"/>
        <v>2586720</v>
      </c>
      <c r="Q184" s="20">
        <f t="shared" si="28"/>
        <v>130188240</v>
      </c>
    </row>
    <row r="185" spans="14:17">
      <c r="N185" s="20">
        <f t="shared" si="27"/>
        <v>183</v>
      </c>
      <c r="O185" s="20">
        <v>16167</v>
      </c>
      <c r="P185" s="20">
        <f t="shared" si="26"/>
        <v>2586720</v>
      </c>
      <c r="Q185" s="20">
        <f t="shared" si="28"/>
        <v>132774960</v>
      </c>
    </row>
    <row r="186" spans="14:17">
      <c r="N186" s="20">
        <f t="shared" si="27"/>
        <v>184</v>
      </c>
      <c r="O186" s="20">
        <v>16492</v>
      </c>
      <c r="P186" s="20">
        <f t="shared" si="26"/>
        <v>2638720</v>
      </c>
      <c r="Q186" s="20">
        <f t="shared" si="28"/>
        <v>135361680</v>
      </c>
    </row>
    <row r="187" spans="14:17">
      <c r="N187" s="20">
        <f t="shared" si="27"/>
        <v>185</v>
      </c>
      <c r="O187" s="20">
        <v>16492</v>
      </c>
      <c r="P187" s="20">
        <f t="shared" si="26"/>
        <v>2638720</v>
      </c>
      <c r="Q187" s="20">
        <f t="shared" si="28"/>
        <v>138000400</v>
      </c>
    </row>
    <row r="188" spans="14:17">
      <c r="N188" s="20">
        <f t="shared" si="27"/>
        <v>186</v>
      </c>
      <c r="O188" s="20">
        <v>16492</v>
      </c>
      <c r="P188" s="20">
        <f t="shared" si="26"/>
        <v>2638720</v>
      </c>
      <c r="Q188" s="20">
        <f t="shared" si="28"/>
        <v>140639120</v>
      </c>
    </row>
    <row r="189" spans="14:17">
      <c r="N189" s="20">
        <f t="shared" si="27"/>
        <v>187</v>
      </c>
      <c r="O189" s="20">
        <v>16825</v>
      </c>
      <c r="P189" s="20">
        <f t="shared" si="26"/>
        <v>2692000</v>
      </c>
      <c r="Q189" s="20">
        <f t="shared" si="28"/>
        <v>143277840</v>
      </c>
    </row>
    <row r="190" spans="14:17">
      <c r="N190" s="20">
        <f t="shared" si="27"/>
        <v>188</v>
      </c>
      <c r="O190" s="20">
        <v>16825</v>
      </c>
      <c r="P190" s="20">
        <f t="shared" si="26"/>
        <v>2692000</v>
      </c>
      <c r="Q190" s="20">
        <f t="shared" si="28"/>
        <v>145969840</v>
      </c>
    </row>
    <row r="191" spans="14:17">
      <c r="N191" s="20">
        <f t="shared" si="27"/>
        <v>189</v>
      </c>
      <c r="O191" s="20">
        <v>16825</v>
      </c>
      <c r="P191" s="20">
        <f t="shared" si="26"/>
        <v>2692000</v>
      </c>
      <c r="Q191" s="20">
        <f t="shared" si="28"/>
        <v>148661840</v>
      </c>
    </row>
    <row r="192" spans="14:17">
      <c r="N192" s="20">
        <f t="shared" si="27"/>
        <v>190</v>
      </c>
      <c r="O192" s="20">
        <v>17167</v>
      </c>
      <c r="P192" s="20">
        <f t="shared" si="26"/>
        <v>2746720</v>
      </c>
      <c r="Q192" s="20">
        <f t="shared" si="28"/>
        <v>151353840</v>
      </c>
    </row>
    <row r="193" spans="14:17">
      <c r="N193" s="20">
        <f t="shared" si="27"/>
        <v>191</v>
      </c>
      <c r="O193" s="20">
        <v>17167</v>
      </c>
      <c r="P193" s="20">
        <f t="shared" si="26"/>
        <v>2746720</v>
      </c>
      <c r="Q193" s="20">
        <f t="shared" si="28"/>
        <v>154100560</v>
      </c>
    </row>
    <row r="194" spans="14:17">
      <c r="N194" s="20">
        <v>192</v>
      </c>
      <c r="O194" s="20">
        <v>17167</v>
      </c>
      <c r="P194" s="20">
        <f t="shared" si="26"/>
        <v>2746720</v>
      </c>
      <c r="Q194" s="20">
        <f t="shared" si="28"/>
        <v>156847280</v>
      </c>
    </row>
    <row r="195" spans="14:17">
      <c r="N195" s="20">
        <v>193</v>
      </c>
      <c r="O195" s="20">
        <v>17517</v>
      </c>
      <c r="P195" s="20">
        <f t="shared" ref="P195" si="29">$G$16*O195</f>
        <v>2802720</v>
      </c>
      <c r="Q195" s="20">
        <f t="shared" si="28"/>
        <v>159594000</v>
      </c>
    </row>
    <row r="196" spans="14:17">
      <c r="N196" s="20">
        <v>194</v>
      </c>
      <c r="O196" s="20">
        <v>17517</v>
      </c>
      <c r="P196" s="20">
        <f t="shared" ref="P196:P227" si="30">$G$16*O196</f>
        <v>2802720</v>
      </c>
      <c r="Q196" s="20">
        <f t="shared" si="28"/>
        <v>162396720</v>
      </c>
    </row>
    <row r="197" spans="14:17">
      <c r="N197" s="20">
        <v>195</v>
      </c>
      <c r="O197" s="20">
        <v>17517</v>
      </c>
      <c r="P197" s="20">
        <f t="shared" si="30"/>
        <v>2802720</v>
      </c>
      <c r="Q197" s="20">
        <f t="shared" si="28"/>
        <v>165199440</v>
      </c>
    </row>
    <row r="198" spans="14:17">
      <c r="N198" s="20">
        <v>196</v>
      </c>
      <c r="O198" s="20">
        <v>17875</v>
      </c>
      <c r="P198" s="20">
        <f t="shared" si="30"/>
        <v>2860000</v>
      </c>
      <c r="Q198" s="20">
        <f t="shared" si="28"/>
        <v>168002160</v>
      </c>
    </row>
    <row r="199" spans="14:17">
      <c r="N199" s="20">
        <v>197</v>
      </c>
      <c r="O199" s="20">
        <v>17875</v>
      </c>
      <c r="P199" s="20">
        <f t="shared" si="30"/>
        <v>2860000</v>
      </c>
      <c r="Q199" s="20">
        <f t="shared" si="28"/>
        <v>170862160</v>
      </c>
    </row>
    <row r="200" spans="14:17">
      <c r="N200" s="20">
        <v>198</v>
      </c>
      <c r="O200" s="20">
        <v>17875</v>
      </c>
      <c r="P200" s="20">
        <f t="shared" si="30"/>
        <v>2860000</v>
      </c>
      <c r="Q200" s="20">
        <f t="shared" ref="Q200" si="31">P199+Q199</f>
        <v>173722160</v>
      </c>
    </row>
    <row r="201" spans="14:17">
      <c r="N201" s="20">
        <v>199</v>
      </c>
      <c r="O201" s="20">
        <v>18233.5</v>
      </c>
      <c r="P201" s="20">
        <f t="shared" si="30"/>
        <v>2917360</v>
      </c>
      <c r="Q201" s="20">
        <f t="shared" ref="Q201:Q232" si="32">P200+Q200</f>
        <v>176582160</v>
      </c>
    </row>
    <row r="202" spans="14:17">
      <c r="N202" s="20">
        <v>200</v>
      </c>
      <c r="O202" s="20">
        <v>18233.5</v>
      </c>
      <c r="P202" s="20">
        <f t="shared" si="30"/>
        <v>2917360</v>
      </c>
      <c r="Q202" s="20">
        <f t="shared" si="32"/>
        <v>179499520</v>
      </c>
    </row>
    <row r="203" spans="14:17">
      <c r="N203" s="20">
        <v>201</v>
      </c>
      <c r="O203" s="20">
        <v>18233.5</v>
      </c>
      <c r="P203" s="20">
        <f t="shared" si="30"/>
        <v>2917360</v>
      </c>
      <c r="Q203" s="20">
        <f t="shared" si="32"/>
        <v>182416880</v>
      </c>
    </row>
    <row r="204" spans="14:17">
      <c r="N204" s="20">
        <v>202</v>
      </c>
      <c r="O204" s="20">
        <v>18600</v>
      </c>
      <c r="P204" s="20">
        <f t="shared" si="30"/>
        <v>2976000</v>
      </c>
      <c r="Q204" s="20">
        <f t="shared" si="32"/>
        <v>185334240</v>
      </c>
    </row>
    <row r="205" spans="14:17">
      <c r="N205" s="20">
        <v>203</v>
      </c>
      <c r="O205" s="20">
        <v>18600</v>
      </c>
      <c r="P205" s="20">
        <f t="shared" si="30"/>
        <v>2976000</v>
      </c>
      <c r="Q205" s="20">
        <f t="shared" si="32"/>
        <v>188310240</v>
      </c>
    </row>
    <row r="206" spans="14:17">
      <c r="N206" s="20">
        <v>204</v>
      </c>
      <c r="O206" s="20">
        <v>18600</v>
      </c>
      <c r="P206" s="20">
        <f t="shared" si="30"/>
        <v>2976000</v>
      </c>
      <c r="Q206" s="20">
        <f t="shared" si="32"/>
        <v>191286240</v>
      </c>
    </row>
    <row r="207" spans="14:17">
      <c r="N207" s="20">
        <v>205</v>
      </c>
      <c r="O207" s="20">
        <v>18975</v>
      </c>
      <c r="P207" s="20">
        <f t="shared" si="30"/>
        <v>3036000</v>
      </c>
      <c r="Q207" s="20">
        <f t="shared" si="32"/>
        <v>194262240</v>
      </c>
    </row>
    <row r="208" spans="14:17">
      <c r="N208" s="20">
        <v>206</v>
      </c>
      <c r="O208" s="20">
        <v>18975</v>
      </c>
      <c r="P208" s="20">
        <f t="shared" si="30"/>
        <v>3036000</v>
      </c>
      <c r="Q208" s="20">
        <f t="shared" si="32"/>
        <v>197298240</v>
      </c>
    </row>
    <row r="209" spans="14:17">
      <c r="N209" s="20">
        <v>207</v>
      </c>
      <c r="O209" s="20">
        <v>18975</v>
      </c>
      <c r="P209" s="20">
        <f t="shared" si="30"/>
        <v>3036000</v>
      </c>
      <c r="Q209" s="20">
        <f t="shared" si="32"/>
        <v>200334240</v>
      </c>
    </row>
    <row r="210" spans="14:17">
      <c r="N210" s="20">
        <v>208</v>
      </c>
      <c r="O210" s="20">
        <v>19358.5</v>
      </c>
      <c r="P210" s="20">
        <f t="shared" si="30"/>
        <v>3097360</v>
      </c>
      <c r="Q210" s="20">
        <f t="shared" si="32"/>
        <v>203370240</v>
      </c>
    </row>
    <row r="211" spans="14:17">
      <c r="N211" s="20">
        <v>209</v>
      </c>
      <c r="O211" s="20">
        <v>19358.5</v>
      </c>
      <c r="P211" s="20">
        <f t="shared" si="30"/>
        <v>3097360</v>
      </c>
      <c r="Q211" s="20">
        <f t="shared" si="32"/>
        <v>206467600</v>
      </c>
    </row>
    <row r="212" spans="14:17">
      <c r="N212" s="20">
        <v>210</v>
      </c>
      <c r="O212" s="20">
        <v>19358.5</v>
      </c>
      <c r="P212" s="20">
        <f t="shared" si="30"/>
        <v>3097360</v>
      </c>
      <c r="Q212" s="20">
        <f t="shared" si="32"/>
        <v>209564960</v>
      </c>
    </row>
    <row r="213" spans="14:17">
      <c r="N213" s="20">
        <v>211</v>
      </c>
      <c r="O213" s="20">
        <v>19750</v>
      </c>
      <c r="P213" s="20">
        <f t="shared" si="30"/>
        <v>3160000</v>
      </c>
      <c r="Q213" s="20">
        <f t="shared" si="32"/>
        <v>212662320</v>
      </c>
    </row>
    <row r="214" spans="14:17">
      <c r="N214" s="20">
        <v>212</v>
      </c>
      <c r="O214" s="20">
        <v>19750</v>
      </c>
      <c r="P214" s="20">
        <f t="shared" si="30"/>
        <v>3160000</v>
      </c>
      <c r="Q214" s="20">
        <f t="shared" si="32"/>
        <v>215822320</v>
      </c>
    </row>
    <row r="215" spans="14:17">
      <c r="N215" s="20">
        <v>213</v>
      </c>
      <c r="O215" s="20">
        <v>19750</v>
      </c>
      <c r="P215" s="20">
        <f t="shared" si="30"/>
        <v>3160000</v>
      </c>
      <c r="Q215" s="20">
        <f t="shared" si="32"/>
        <v>218982320</v>
      </c>
    </row>
    <row r="216" spans="14:17">
      <c r="N216" s="20">
        <v>214</v>
      </c>
      <c r="O216" s="20">
        <v>20150</v>
      </c>
      <c r="P216" s="20">
        <f t="shared" si="30"/>
        <v>3224000</v>
      </c>
      <c r="Q216" s="20">
        <f t="shared" si="32"/>
        <v>222142320</v>
      </c>
    </row>
    <row r="217" spans="14:17">
      <c r="N217" s="20">
        <v>215</v>
      </c>
      <c r="O217" s="20">
        <v>20150</v>
      </c>
      <c r="P217" s="20">
        <f t="shared" si="30"/>
        <v>3224000</v>
      </c>
      <c r="Q217" s="20">
        <f t="shared" si="32"/>
        <v>225366320</v>
      </c>
    </row>
    <row r="218" spans="14:17">
      <c r="N218" s="20">
        <v>216</v>
      </c>
      <c r="O218" s="20">
        <v>20150</v>
      </c>
      <c r="P218" s="20">
        <f t="shared" si="30"/>
        <v>3224000</v>
      </c>
      <c r="Q218" s="20">
        <f t="shared" si="32"/>
        <v>228590320</v>
      </c>
    </row>
    <row r="219" spans="14:17">
      <c r="N219" s="20">
        <v>217</v>
      </c>
      <c r="O219" s="20">
        <v>20558.5</v>
      </c>
      <c r="P219" s="20">
        <f t="shared" si="30"/>
        <v>3289360</v>
      </c>
      <c r="Q219" s="20">
        <f t="shared" si="32"/>
        <v>231814320</v>
      </c>
    </row>
    <row r="220" spans="14:17">
      <c r="N220" s="20">
        <v>218</v>
      </c>
      <c r="O220" s="20">
        <v>20558.5</v>
      </c>
      <c r="P220" s="20">
        <f t="shared" si="30"/>
        <v>3289360</v>
      </c>
      <c r="Q220" s="20">
        <f t="shared" si="32"/>
        <v>235103680</v>
      </c>
    </row>
    <row r="221" spans="14:17">
      <c r="N221" s="20">
        <v>219</v>
      </c>
      <c r="O221" s="20">
        <v>20558.5</v>
      </c>
      <c r="P221" s="20">
        <f t="shared" si="30"/>
        <v>3289360</v>
      </c>
      <c r="Q221" s="20">
        <f t="shared" si="32"/>
        <v>238393040</v>
      </c>
    </row>
    <row r="222" spans="14:17">
      <c r="N222" s="20">
        <v>220</v>
      </c>
      <c r="O222" s="20">
        <v>20975</v>
      </c>
      <c r="P222" s="20">
        <f t="shared" si="30"/>
        <v>3356000</v>
      </c>
      <c r="Q222" s="20">
        <f t="shared" si="32"/>
        <v>241682400</v>
      </c>
    </row>
    <row r="223" spans="14:17">
      <c r="N223" s="20">
        <v>221</v>
      </c>
      <c r="O223" s="20">
        <v>20975</v>
      </c>
      <c r="P223" s="20">
        <f t="shared" si="30"/>
        <v>3356000</v>
      </c>
      <c r="Q223" s="20">
        <f t="shared" si="32"/>
        <v>245038400</v>
      </c>
    </row>
    <row r="224" spans="14:17">
      <c r="N224" s="20">
        <v>222</v>
      </c>
      <c r="O224" s="20">
        <v>20975</v>
      </c>
      <c r="P224" s="20">
        <f t="shared" si="30"/>
        <v>3356000</v>
      </c>
      <c r="Q224" s="20">
        <f t="shared" si="32"/>
        <v>248394400</v>
      </c>
    </row>
    <row r="225" spans="14:17">
      <c r="N225" s="20">
        <v>223</v>
      </c>
      <c r="O225" s="20">
        <v>21400</v>
      </c>
      <c r="P225" s="20">
        <f t="shared" si="30"/>
        <v>3424000</v>
      </c>
      <c r="Q225" s="20">
        <f t="shared" si="32"/>
        <v>251750400</v>
      </c>
    </row>
    <row r="226" spans="14:17">
      <c r="N226" s="20">
        <v>224</v>
      </c>
      <c r="O226" s="20">
        <v>21400</v>
      </c>
      <c r="P226" s="20">
        <f t="shared" si="30"/>
        <v>3424000</v>
      </c>
      <c r="Q226" s="20">
        <f t="shared" si="32"/>
        <v>255174400</v>
      </c>
    </row>
    <row r="227" spans="14:17">
      <c r="N227" s="20">
        <v>225</v>
      </c>
      <c r="O227" s="20">
        <v>21400</v>
      </c>
      <c r="P227" s="20">
        <f t="shared" si="30"/>
        <v>3424000</v>
      </c>
      <c r="Q227" s="20">
        <f t="shared" si="32"/>
        <v>258598400</v>
      </c>
    </row>
    <row r="228" spans="14:17">
      <c r="N228" s="20">
        <v>226</v>
      </c>
      <c r="O228" s="20">
        <v>21833.5</v>
      </c>
      <c r="P228" s="20">
        <f t="shared" ref="P228:P258" si="33">$G$16*O228</f>
        <v>3493360</v>
      </c>
      <c r="Q228" s="20">
        <f t="shared" si="32"/>
        <v>262022400</v>
      </c>
    </row>
    <row r="229" spans="14:17">
      <c r="N229" s="20">
        <v>227</v>
      </c>
      <c r="O229" s="20">
        <v>21833.5</v>
      </c>
      <c r="P229" s="20">
        <f t="shared" si="33"/>
        <v>3493360</v>
      </c>
      <c r="Q229" s="20">
        <f t="shared" si="32"/>
        <v>265515760</v>
      </c>
    </row>
    <row r="230" spans="14:17">
      <c r="N230" s="20">
        <v>228</v>
      </c>
      <c r="O230" s="20">
        <v>21833.5</v>
      </c>
      <c r="P230" s="20">
        <f t="shared" si="33"/>
        <v>3493360</v>
      </c>
      <c r="Q230" s="20">
        <f t="shared" si="32"/>
        <v>269009120</v>
      </c>
    </row>
    <row r="231" spans="14:17">
      <c r="N231" s="20">
        <v>229</v>
      </c>
      <c r="O231" s="20">
        <v>22275</v>
      </c>
      <c r="P231" s="20">
        <f t="shared" si="33"/>
        <v>3564000</v>
      </c>
      <c r="Q231" s="20">
        <f t="shared" si="32"/>
        <v>272502480</v>
      </c>
    </row>
    <row r="232" spans="14:17">
      <c r="N232" s="20">
        <v>230</v>
      </c>
      <c r="O232" s="20">
        <v>22275</v>
      </c>
      <c r="P232" s="20">
        <f t="shared" si="33"/>
        <v>3564000</v>
      </c>
      <c r="Q232" s="20">
        <f t="shared" si="32"/>
        <v>276066480</v>
      </c>
    </row>
    <row r="233" spans="14:17">
      <c r="N233" s="20">
        <v>231</v>
      </c>
      <c r="O233" s="20">
        <v>22275</v>
      </c>
      <c r="P233" s="20">
        <f t="shared" si="33"/>
        <v>3564000</v>
      </c>
      <c r="Q233" s="20">
        <f t="shared" ref="Q233:Q263" si="34">P232+Q232</f>
        <v>279630480</v>
      </c>
    </row>
    <row r="234" spans="14:17">
      <c r="N234" s="20">
        <v>232</v>
      </c>
      <c r="O234" s="20">
        <v>22725</v>
      </c>
      <c r="P234" s="20">
        <f t="shared" si="33"/>
        <v>3636000</v>
      </c>
      <c r="Q234" s="20">
        <f t="shared" si="34"/>
        <v>283194480</v>
      </c>
    </row>
    <row r="235" spans="14:17">
      <c r="N235" s="20">
        <v>233</v>
      </c>
      <c r="O235" s="20">
        <v>22725</v>
      </c>
      <c r="P235" s="20">
        <f t="shared" si="33"/>
        <v>3636000</v>
      </c>
      <c r="Q235" s="20">
        <f t="shared" si="34"/>
        <v>286830480</v>
      </c>
    </row>
    <row r="236" spans="14:17">
      <c r="N236" s="20">
        <v>234</v>
      </c>
      <c r="O236" s="20">
        <v>22725</v>
      </c>
      <c r="P236" s="20">
        <f t="shared" si="33"/>
        <v>3636000</v>
      </c>
      <c r="Q236" s="20">
        <f t="shared" si="34"/>
        <v>290466480</v>
      </c>
    </row>
    <row r="237" spans="14:17">
      <c r="N237" s="20">
        <v>235</v>
      </c>
      <c r="O237" s="20">
        <v>23180</v>
      </c>
      <c r="P237" s="20">
        <f t="shared" si="33"/>
        <v>3708800</v>
      </c>
      <c r="Q237" s="20">
        <f t="shared" si="34"/>
        <v>294102480</v>
      </c>
    </row>
    <row r="238" spans="14:17">
      <c r="N238" s="20">
        <v>236</v>
      </c>
      <c r="O238" s="20">
        <v>23180</v>
      </c>
      <c r="P238" s="20">
        <f t="shared" si="33"/>
        <v>3708800</v>
      </c>
      <c r="Q238" s="20">
        <f t="shared" si="34"/>
        <v>297811280</v>
      </c>
    </row>
    <row r="239" spans="14:17">
      <c r="N239" s="20">
        <v>237</v>
      </c>
      <c r="O239" s="20">
        <v>23180</v>
      </c>
      <c r="P239" s="20">
        <f t="shared" si="33"/>
        <v>3708800</v>
      </c>
      <c r="Q239" s="20">
        <f t="shared" si="34"/>
        <v>301520080</v>
      </c>
    </row>
    <row r="240" spans="14:17">
      <c r="N240" s="20">
        <v>238</v>
      </c>
      <c r="O240" s="20">
        <v>23650</v>
      </c>
      <c r="P240" s="20">
        <f t="shared" si="33"/>
        <v>3784000</v>
      </c>
      <c r="Q240" s="20">
        <f t="shared" si="34"/>
        <v>305228880</v>
      </c>
    </row>
    <row r="241" spans="14:17">
      <c r="N241" s="20">
        <v>239</v>
      </c>
      <c r="O241" s="20">
        <v>23650</v>
      </c>
      <c r="P241" s="20">
        <f t="shared" si="33"/>
        <v>3784000</v>
      </c>
      <c r="Q241" s="20">
        <f t="shared" si="34"/>
        <v>309012880</v>
      </c>
    </row>
    <row r="242" spans="14:17">
      <c r="N242" s="20">
        <v>240</v>
      </c>
      <c r="O242" s="20">
        <v>23650</v>
      </c>
      <c r="P242" s="20">
        <f t="shared" si="33"/>
        <v>3784000</v>
      </c>
      <c r="Q242" s="20">
        <f t="shared" si="34"/>
        <v>312796880</v>
      </c>
    </row>
    <row r="243" spans="14:17">
      <c r="N243" s="20">
        <v>241</v>
      </c>
      <c r="O243" s="20">
        <v>24125</v>
      </c>
      <c r="P243" s="20">
        <f t="shared" si="33"/>
        <v>3860000</v>
      </c>
      <c r="Q243" s="20">
        <f t="shared" si="34"/>
        <v>316580880</v>
      </c>
    </row>
    <row r="244" spans="14:17">
      <c r="N244" s="20">
        <v>242</v>
      </c>
      <c r="O244" s="20">
        <v>24125</v>
      </c>
      <c r="P244" s="20">
        <f t="shared" si="33"/>
        <v>3860000</v>
      </c>
      <c r="Q244" s="20">
        <f t="shared" si="34"/>
        <v>320440880</v>
      </c>
    </row>
    <row r="245" spans="14:17">
      <c r="N245" s="20">
        <v>243</v>
      </c>
      <c r="O245" s="20">
        <v>24125</v>
      </c>
      <c r="P245" s="20">
        <f t="shared" si="33"/>
        <v>3860000</v>
      </c>
      <c r="Q245" s="20">
        <f t="shared" si="34"/>
        <v>324300880</v>
      </c>
    </row>
    <row r="246" spans="14:17">
      <c r="N246" s="20">
        <v>244</v>
      </c>
      <c r="O246" s="20">
        <v>24608.5</v>
      </c>
      <c r="P246" s="20">
        <f t="shared" si="33"/>
        <v>3937360</v>
      </c>
      <c r="Q246" s="20">
        <f t="shared" si="34"/>
        <v>328160880</v>
      </c>
    </row>
    <row r="247" spans="14:17">
      <c r="N247" s="20">
        <v>245</v>
      </c>
      <c r="O247" s="20">
        <v>24608.5</v>
      </c>
      <c r="P247" s="20">
        <f t="shared" si="33"/>
        <v>3937360</v>
      </c>
      <c r="Q247" s="20">
        <f t="shared" si="34"/>
        <v>332098240</v>
      </c>
    </row>
    <row r="248" spans="14:17">
      <c r="N248" s="20">
        <v>246</v>
      </c>
      <c r="O248" s="20">
        <v>24608.5</v>
      </c>
      <c r="P248" s="20">
        <f t="shared" si="33"/>
        <v>3937360</v>
      </c>
      <c r="Q248" s="20">
        <f t="shared" si="34"/>
        <v>336035600</v>
      </c>
    </row>
    <row r="249" spans="14:17">
      <c r="N249" s="20">
        <v>247</v>
      </c>
      <c r="O249" s="20">
        <v>25105</v>
      </c>
      <c r="P249" s="20">
        <f t="shared" si="33"/>
        <v>4016800</v>
      </c>
      <c r="Q249" s="20">
        <f t="shared" si="34"/>
        <v>339972960</v>
      </c>
    </row>
    <row r="250" spans="14:17">
      <c r="N250" s="20">
        <v>248</v>
      </c>
      <c r="O250" s="20">
        <v>25105</v>
      </c>
      <c r="P250" s="20">
        <f t="shared" si="33"/>
        <v>4016800</v>
      </c>
      <c r="Q250" s="20">
        <f t="shared" si="34"/>
        <v>343989760</v>
      </c>
    </row>
    <row r="251" spans="14:17">
      <c r="N251" s="20">
        <v>249</v>
      </c>
      <c r="O251" s="20">
        <v>25105</v>
      </c>
      <c r="P251" s="20">
        <f t="shared" si="33"/>
        <v>4016800</v>
      </c>
      <c r="Q251" s="20">
        <f t="shared" si="34"/>
        <v>348006560</v>
      </c>
    </row>
    <row r="252" spans="14:17">
      <c r="N252" s="20">
        <v>250</v>
      </c>
      <c r="O252" s="20">
        <v>25617</v>
      </c>
      <c r="P252" s="20">
        <f t="shared" si="33"/>
        <v>4098720</v>
      </c>
      <c r="Q252" s="20">
        <f t="shared" si="34"/>
        <v>352023360</v>
      </c>
    </row>
    <row r="253" spans="14:17">
      <c r="N253" s="20">
        <v>251</v>
      </c>
      <c r="O253" s="20">
        <v>25617</v>
      </c>
      <c r="P253" s="20">
        <f t="shared" si="33"/>
        <v>4098720</v>
      </c>
      <c r="Q253" s="20">
        <f t="shared" si="34"/>
        <v>356122080</v>
      </c>
    </row>
    <row r="254" spans="14:17">
      <c r="N254" s="20">
        <v>252</v>
      </c>
      <c r="O254" s="20">
        <v>25617</v>
      </c>
      <c r="P254" s="20">
        <f t="shared" si="33"/>
        <v>4098720</v>
      </c>
      <c r="Q254" s="20">
        <f t="shared" si="34"/>
        <v>360220800</v>
      </c>
    </row>
    <row r="255" spans="14:17">
      <c r="N255" s="20">
        <v>253</v>
      </c>
      <c r="O255" s="20">
        <v>26142</v>
      </c>
      <c r="P255" s="20">
        <f t="shared" si="33"/>
        <v>4182720</v>
      </c>
      <c r="Q255" s="20">
        <f t="shared" si="34"/>
        <v>364319520</v>
      </c>
    </row>
    <row r="256" spans="14:17">
      <c r="N256" s="20">
        <v>254</v>
      </c>
      <c r="O256" s="20">
        <v>26142</v>
      </c>
      <c r="P256" s="20">
        <f t="shared" si="33"/>
        <v>4182720</v>
      </c>
      <c r="Q256" s="20">
        <f t="shared" si="34"/>
        <v>368502240</v>
      </c>
    </row>
    <row r="257" spans="14:17">
      <c r="N257" s="20">
        <v>255</v>
      </c>
      <c r="O257" s="20">
        <v>26142</v>
      </c>
      <c r="P257" s="20">
        <f t="shared" si="33"/>
        <v>4182720</v>
      </c>
      <c r="Q257" s="20">
        <f t="shared" si="34"/>
        <v>372684960</v>
      </c>
    </row>
    <row r="258" spans="14:17">
      <c r="N258" s="20">
        <v>256</v>
      </c>
      <c r="O258" s="20">
        <v>26667</v>
      </c>
      <c r="P258" s="20">
        <f t="shared" si="33"/>
        <v>4266720</v>
      </c>
      <c r="Q258" s="20">
        <f t="shared" si="34"/>
        <v>376867680</v>
      </c>
    </row>
    <row r="259" spans="14:17">
      <c r="N259" s="20">
        <v>257</v>
      </c>
      <c r="O259" s="20">
        <v>26667</v>
      </c>
      <c r="P259" s="20">
        <f t="shared" ref="P259" si="35">$G$16*O259</f>
        <v>4266720</v>
      </c>
      <c r="Q259" s="20">
        <f t="shared" si="34"/>
        <v>381134400</v>
      </c>
    </row>
    <row r="260" spans="14:17">
      <c r="N260" s="20">
        <v>258</v>
      </c>
      <c r="O260" s="20">
        <v>26667</v>
      </c>
      <c r="P260" s="20">
        <f t="shared" ref="P260:P291" si="36">$G$16*O260</f>
        <v>4266720</v>
      </c>
      <c r="Q260" s="20">
        <f t="shared" si="34"/>
        <v>385401120</v>
      </c>
    </row>
    <row r="261" spans="14:17">
      <c r="N261" s="20">
        <v>259</v>
      </c>
      <c r="O261" s="20">
        <v>27192</v>
      </c>
      <c r="P261" s="20">
        <f t="shared" si="36"/>
        <v>4350720</v>
      </c>
      <c r="Q261" s="20">
        <f t="shared" si="34"/>
        <v>389667840</v>
      </c>
    </row>
    <row r="262" spans="14:17">
      <c r="N262" s="20">
        <v>260</v>
      </c>
      <c r="O262" s="20">
        <v>27192</v>
      </c>
      <c r="P262" s="20">
        <f t="shared" si="36"/>
        <v>4350720</v>
      </c>
      <c r="Q262" s="20">
        <f t="shared" si="34"/>
        <v>394018560</v>
      </c>
    </row>
    <row r="263" spans="14:17">
      <c r="N263" s="20">
        <v>261</v>
      </c>
      <c r="O263" s="20">
        <v>27192</v>
      </c>
      <c r="P263" s="20">
        <f t="shared" si="36"/>
        <v>4350720</v>
      </c>
      <c r="Q263" s="20">
        <f t="shared" si="34"/>
        <v>398369280</v>
      </c>
    </row>
    <row r="264" spans="14:17">
      <c r="N264" s="20">
        <v>262</v>
      </c>
      <c r="O264" s="20">
        <v>27742</v>
      </c>
      <c r="P264" s="20">
        <f t="shared" si="36"/>
        <v>4438720</v>
      </c>
      <c r="Q264" s="20">
        <f t="shared" ref="Q264" si="37">P263+Q263</f>
        <v>402720000</v>
      </c>
    </row>
    <row r="265" spans="14:17">
      <c r="N265" s="20">
        <v>263</v>
      </c>
      <c r="O265" s="20">
        <v>27742</v>
      </c>
      <c r="P265" s="20">
        <f t="shared" si="36"/>
        <v>4438720</v>
      </c>
      <c r="Q265" s="20">
        <f t="shared" ref="Q265:Q311" si="38">P264+Q264</f>
        <v>407158720</v>
      </c>
    </row>
    <row r="266" spans="14:17">
      <c r="N266" s="20">
        <v>264</v>
      </c>
      <c r="O266" s="20">
        <v>27742</v>
      </c>
      <c r="P266" s="20">
        <f t="shared" si="36"/>
        <v>4438720</v>
      </c>
      <c r="Q266" s="20">
        <f t="shared" si="38"/>
        <v>411597440</v>
      </c>
    </row>
    <row r="267" spans="14:17">
      <c r="N267" s="20">
        <v>265</v>
      </c>
      <c r="O267" s="20">
        <v>28300</v>
      </c>
      <c r="P267" s="20">
        <f t="shared" si="36"/>
        <v>4528000</v>
      </c>
      <c r="Q267" s="20">
        <f t="shared" si="38"/>
        <v>416036160</v>
      </c>
    </row>
    <row r="268" spans="14:17">
      <c r="N268" s="20">
        <v>266</v>
      </c>
      <c r="O268" s="20">
        <v>28300</v>
      </c>
      <c r="P268" s="20">
        <f t="shared" si="36"/>
        <v>4528000</v>
      </c>
      <c r="Q268" s="20">
        <f t="shared" si="38"/>
        <v>420564160</v>
      </c>
    </row>
    <row r="269" spans="14:17">
      <c r="N269" s="20">
        <v>267</v>
      </c>
      <c r="O269" s="20">
        <v>28300</v>
      </c>
      <c r="P269" s="20">
        <f t="shared" si="36"/>
        <v>4528000</v>
      </c>
      <c r="Q269" s="20">
        <f t="shared" si="38"/>
        <v>425092160</v>
      </c>
    </row>
    <row r="270" spans="14:17">
      <c r="N270" s="20">
        <v>268</v>
      </c>
      <c r="O270" s="20">
        <v>28867</v>
      </c>
      <c r="P270" s="20">
        <f t="shared" si="36"/>
        <v>4618720</v>
      </c>
      <c r="Q270" s="20">
        <f t="shared" si="38"/>
        <v>429620160</v>
      </c>
    </row>
    <row r="271" spans="14:17">
      <c r="N271" s="20">
        <v>269</v>
      </c>
      <c r="O271" s="20">
        <v>28867</v>
      </c>
      <c r="P271" s="20">
        <f t="shared" si="36"/>
        <v>4618720</v>
      </c>
      <c r="Q271" s="20">
        <f t="shared" si="38"/>
        <v>434238880</v>
      </c>
    </row>
    <row r="272" spans="14:17">
      <c r="N272" s="20">
        <v>270</v>
      </c>
      <c r="O272" s="20">
        <v>28867</v>
      </c>
      <c r="P272" s="20">
        <f t="shared" si="36"/>
        <v>4618720</v>
      </c>
      <c r="Q272" s="20">
        <f t="shared" si="38"/>
        <v>438857600</v>
      </c>
    </row>
    <row r="273" spans="14:17">
      <c r="N273" s="20">
        <v>271</v>
      </c>
      <c r="O273" s="20">
        <v>29450</v>
      </c>
      <c r="P273" s="20">
        <f t="shared" si="36"/>
        <v>4712000</v>
      </c>
      <c r="Q273" s="20">
        <f t="shared" si="38"/>
        <v>443476320</v>
      </c>
    </row>
    <row r="274" spans="14:17">
      <c r="N274" s="20">
        <v>272</v>
      </c>
      <c r="O274" s="20">
        <v>29450</v>
      </c>
      <c r="P274" s="20">
        <f t="shared" si="36"/>
        <v>4712000</v>
      </c>
      <c r="Q274" s="20">
        <f t="shared" si="38"/>
        <v>448188320</v>
      </c>
    </row>
    <row r="275" spans="14:17">
      <c r="N275" s="20">
        <v>273</v>
      </c>
      <c r="O275" s="20">
        <v>29450</v>
      </c>
      <c r="P275" s="20">
        <f t="shared" si="36"/>
        <v>4712000</v>
      </c>
      <c r="Q275" s="20">
        <f t="shared" si="38"/>
        <v>452900320</v>
      </c>
    </row>
    <row r="276" spans="14:17">
      <c r="N276" s="20">
        <v>274</v>
      </c>
      <c r="O276" s="20">
        <v>30042</v>
      </c>
      <c r="P276" s="20">
        <f t="shared" si="36"/>
        <v>4806720</v>
      </c>
      <c r="Q276" s="20">
        <f t="shared" si="38"/>
        <v>457612320</v>
      </c>
    </row>
    <row r="277" spans="14:17">
      <c r="N277" s="20">
        <v>275</v>
      </c>
      <c r="O277" s="20">
        <v>30042</v>
      </c>
      <c r="P277" s="20">
        <f t="shared" si="36"/>
        <v>4806720</v>
      </c>
      <c r="Q277" s="20">
        <f t="shared" si="38"/>
        <v>462419040</v>
      </c>
    </row>
    <row r="278" spans="14:17">
      <c r="N278" s="20">
        <v>276</v>
      </c>
      <c r="O278" s="20">
        <v>30042</v>
      </c>
      <c r="P278" s="20">
        <f t="shared" si="36"/>
        <v>4806720</v>
      </c>
      <c r="Q278" s="20">
        <f t="shared" si="38"/>
        <v>467225760</v>
      </c>
    </row>
    <row r="279" spans="14:17">
      <c r="N279" s="20">
        <v>277</v>
      </c>
      <c r="O279" s="20">
        <v>30650</v>
      </c>
      <c r="P279" s="20">
        <f t="shared" si="36"/>
        <v>4904000</v>
      </c>
      <c r="Q279" s="20">
        <f t="shared" si="38"/>
        <v>472032480</v>
      </c>
    </row>
    <row r="280" spans="14:17">
      <c r="N280" s="20">
        <v>278</v>
      </c>
      <c r="O280" s="20">
        <v>30650</v>
      </c>
      <c r="P280" s="20">
        <f t="shared" si="36"/>
        <v>4904000</v>
      </c>
      <c r="Q280" s="20">
        <f t="shared" si="38"/>
        <v>476936480</v>
      </c>
    </row>
    <row r="281" spans="14:17">
      <c r="N281" s="20">
        <v>279</v>
      </c>
      <c r="O281" s="20">
        <v>30650</v>
      </c>
      <c r="P281" s="20">
        <f t="shared" si="36"/>
        <v>4904000</v>
      </c>
      <c r="Q281" s="20">
        <f t="shared" si="38"/>
        <v>481840480</v>
      </c>
    </row>
    <row r="282" spans="14:17">
      <c r="N282" s="20">
        <v>280</v>
      </c>
      <c r="O282" s="20">
        <v>31267</v>
      </c>
      <c r="P282" s="20">
        <f t="shared" si="36"/>
        <v>5002720</v>
      </c>
      <c r="Q282" s="20">
        <f t="shared" si="38"/>
        <v>486744480</v>
      </c>
    </row>
    <row r="283" spans="14:17">
      <c r="N283" s="20">
        <v>281</v>
      </c>
      <c r="O283" s="20">
        <v>31267</v>
      </c>
      <c r="P283" s="20">
        <f t="shared" si="36"/>
        <v>5002720</v>
      </c>
      <c r="Q283" s="20">
        <f t="shared" si="38"/>
        <v>491747200</v>
      </c>
    </row>
    <row r="284" spans="14:17">
      <c r="N284" s="20">
        <v>282</v>
      </c>
      <c r="O284" s="20">
        <v>31267</v>
      </c>
      <c r="P284" s="20">
        <f t="shared" si="36"/>
        <v>5002720</v>
      </c>
      <c r="Q284" s="20">
        <f t="shared" si="38"/>
        <v>496749920</v>
      </c>
    </row>
    <row r="285" spans="14:17">
      <c r="N285" s="20">
        <v>283</v>
      </c>
      <c r="O285" s="20">
        <v>31900</v>
      </c>
      <c r="P285" s="20">
        <f t="shared" si="36"/>
        <v>5104000</v>
      </c>
      <c r="Q285" s="20">
        <f t="shared" si="38"/>
        <v>501752640</v>
      </c>
    </row>
    <row r="286" spans="14:17">
      <c r="N286" s="20">
        <v>284</v>
      </c>
      <c r="O286" s="20">
        <v>31900</v>
      </c>
      <c r="P286" s="20">
        <f t="shared" si="36"/>
        <v>5104000</v>
      </c>
      <c r="Q286" s="20">
        <f t="shared" si="38"/>
        <v>506856640</v>
      </c>
    </row>
    <row r="287" spans="14:17">
      <c r="N287" s="20">
        <v>285</v>
      </c>
      <c r="O287" s="20">
        <v>31900</v>
      </c>
      <c r="P287" s="20">
        <f t="shared" si="36"/>
        <v>5104000</v>
      </c>
      <c r="Q287" s="20">
        <f t="shared" si="38"/>
        <v>511960640</v>
      </c>
    </row>
    <row r="288" spans="14:17">
      <c r="N288" s="20">
        <v>286</v>
      </c>
      <c r="O288" s="20">
        <v>32550</v>
      </c>
      <c r="P288" s="20">
        <f t="shared" si="36"/>
        <v>5208000</v>
      </c>
      <c r="Q288" s="20">
        <f t="shared" si="38"/>
        <v>517064640</v>
      </c>
    </row>
    <row r="289" spans="14:17">
      <c r="N289" s="20">
        <v>287</v>
      </c>
      <c r="O289" s="20">
        <v>32550</v>
      </c>
      <c r="P289" s="20">
        <f t="shared" si="36"/>
        <v>5208000</v>
      </c>
      <c r="Q289" s="20">
        <f t="shared" si="38"/>
        <v>522272640</v>
      </c>
    </row>
    <row r="290" spans="14:17">
      <c r="N290" s="20">
        <v>288</v>
      </c>
      <c r="O290" s="20">
        <v>32542</v>
      </c>
      <c r="P290" s="20">
        <f t="shared" si="36"/>
        <v>5206720</v>
      </c>
      <c r="Q290" s="20">
        <f t="shared" si="38"/>
        <v>527480640</v>
      </c>
    </row>
    <row r="291" spans="14:17">
      <c r="N291" s="20">
        <v>289</v>
      </c>
      <c r="O291" s="20">
        <v>33200</v>
      </c>
      <c r="P291" s="20">
        <f t="shared" si="36"/>
        <v>5312000</v>
      </c>
      <c r="Q291" s="20">
        <f t="shared" si="38"/>
        <v>532687360</v>
      </c>
    </row>
    <row r="292" spans="14:17">
      <c r="N292" s="20">
        <v>290</v>
      </c>
      <c r="O292" s="20">
        <v>33200</v>
      </c>
      <c r="P292" s="20">
        <f t="shared" ref="P292:P311" si="39">$G$16*O292</f>
        <v>5312000</v>
      </c>
      <c r="Q292" s="20">
        <f t="shared" si="38"/>
        <v>537999360</v>
      </c>
    </row>
    <row r="293" spans="14:17">
      <c r="N293" s="20">
        <v>291</v>
      </c>
      <c r="O293" s="20">
        <v>33200</v>
      </c>
      <c r="P293" s="20">
        <f t="shared" si="39"/>
        <v>5312000</v>
      </c>
      <c r="Q293" s="20">
        <f t="shared" si="38"/>
        <v>543311360</v>
      </c>
    </row>
    <row r="294" spans="14:17">
      <c r="N294" s="20">
        <v>292</v>
      </c>
      <c r="P294" s="20">
        <f t="shared" si="39"/>
        <v>0</v>
      </c>
      <c r="Q294" s="20">
        <f t="shared" si="38"/>
        <v>548623360</v>
      </c>
    </row>
    <row r="295" spans="14:17">
      <c r="N295" s="20">
        <v>293</v>
      </c>
      <c r="P295" s="20">
        <f t="shared" si="39"/>
        <v>0</v>
      </c>
      <c r="Q295" s="20">
        <f t="shared" si="38"/>
        <v>548623360</v>
      </c>
    </row>
    <row r="296" spans="14:17">
      <c r="N296" s="20">
        <v>294</v>
      </c>
      <c r="P296" s="20">
        <f t="shared" si="39"/>
        <v>0</v>
      </c>
      <c r="Q296" s="20">
        <f t="shared" si="38"/>
        <v>548623360</v>
      </c>
    </row>
    <row r="297" spans="14:17">
      <c r="N297" s="20">
        <v>295</v>
      </c>
      <c r="P297" s="20">
        <f t="shared" si="39"/>
        <v>0</v>
      </c>
      <c r="Q297" s="20">
        <f t="shared" si="38"/>
        <v>548623360</v>
      </c>
    </row>
    <row r="298" spans="14:17">
      <c r="N298" s="20">
        <v>296</v>
      </c>
      <c r="O298" s="20">
        <v>34550</v>
      </c>
      <c r="P298" s="20">
        <f t="shared" si="39"/>
        <v>5528000</v>
      </c>
      <c r="Q298" s="20">
        <f t="shared" si="38"/>
        <v>548623360</v>
      </c>
    </row>
    <row r="299" spans="14:17">
      <c r="N299" s="20">
        <v>297</v>
      </c>
      <c r="P299" s="20">
        <f t="shared" si="39"/>
        <v>0</v>
      </c>
      <c r="Q299" s="20">
        <f t="shared" si="38"/>
        <v>554151360</v>
      </c>
    </row>
    <row r="300" spans="14:17">
      <c r="N300" s="20">
        <v>298</v>
      </c>
      <c r="P300" s="20">
        <f t="shared" si="39"/>
        <v>0</v>
      </c>
      <c r="Q300" s="20">
        <f t="shared" si="38"/>
        <v>554151360</v>
      </c>
    </row>
    <row r="301" spans="14:17">
      <c r="N301" s="20">
        <v>299</v>
      </c>
      <c r="P301" s="20">
        <f t="shared" si="39"/>
        <v>0</v>
      </c>
      <c r="Q301" s="20">
        <f t="shared" si="38"/>
        <v>554151360</v>
      </c>
    </row>
    <row r="302" spans="14:17">
      <c r="N302" s="20">
        <v>300</v>
      </c>
      <c r="P302" s="20">
        <f t="shared" si="39"/>
        <v>0</v>
      </c>
      <c r="Q302" s="20">
        <f t="shared" si="38"/>
        <v>554151360</v>
      </c>
    </row>
    <row r="303" spans="14:17">
      <c r="N303" s="20">
        <v>301</v>
      </c>
      <c r="P303" s="20">
        <f t="shared" si="39"/>
        <v>0</v>
      </c>
      <c r="Q303" s="20">
        <f t="shared" si="38"/>
        <v>554151360</v>
      </c>
    </row>
    <row r="304" spans="14:17">
      <c r="N304" s="20">
        <v>302</v>
      </c>
      <c r="P304" s="20">
        <f t="shared" si="39"/>
        <v>0</v>
      </c>
      <c r="Q304" s="20">
        <f t="shared" si="38"/>
        <v>554151360</v>
      </c>
    </row>
    <row r="305" spans="14:17">
      <c r="N305" s="20">
        <v>303</v>
      </c>
      <c r="O305" s="20">
        <v>35964.25</v>
      </c>
      <c r="P305" s="20">
        <f t="shared" si="39"/>
        <v>5754280</v>
      </c>
      <c r="Q305" s="20">
        <f t="shared" si="38"/>
        <v>554151360</v>
      </c>
    </row>
    <row r="306" spans="14:17">
      <c r="N306" s="20">
        <v>304</v>
      </c>
      <c r="O306" s="20">
        <v>36706.75</v>
      </c>
      <c r="P306" s="20">
        <f t="shared" si="39"/>
        <v>5873080</v>
      </c>
      <c r="Q306" s="20">
        <f t="shared" si="38"/>
        <v>559905640</v>
      </c>
    </row>
    <row r="307" spans="14:17">
      <c r="N307" s="20">
        <v>305</v>
      </c>
      <c r="P307" s="20">
        <f t="shared" si="39"/>
        <v>0</v>
      </c>
      <c r="Q307" s="20">
        <f t="shared" si="38"/>
        <v>565778720</v>
      </c>
    </row>
    <row r="308" spans="14:17">
      <c r="N308" s="20">
        <v>306</v>
      </c>
      <c r="P308" s="20">
        <f t="shared" si="39"/>
        <v>0</v>
      </c>
      <c r="Q308" s="20">
        <f t="shared" si="38"/>
        <v>565778720</v>
      </c>
    </row>
    <row r="309" spans="14:17">
      <c r="N309" s="20">
        <v>307</v>
      </c>
      <c r="P309" s="20">
        <f t="shared" si="39"/>
        <v>0</v>
      </c>
      <c r="Q309" s="20">
        <f t="shared" si="38"/>
        <v>565778720</v>
      </c>
    </row>
    <row r="310" spans="14:17">
      <c r="N310" s="20">
        <v>308</v>
      </c>
      <c r="P310" s="20">
        <f t="shared" si="39"/>
        <v>0</v>
      </c>
      <c r="Q310" s="20">
        <f t="shared" si="38"/>
        <v>565778720</v>
      </c>
    </row>
    <row r="311" spans="14:17">
      <c r="N311" s="20">
        <v>309</v>
      </c>
      <c r="P311" s="20">
        <f t="shared" si="39"/>
        <v>0</v>
      </c>
      <c r="Q311" s="20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objects="1" scenarios="1" selectLockedCells="1"/>
  <mergeCells count="29">
    <mergeCell ref="K14:K17"/>
    <mergeCell ref="K18:K21"/>
    <mergeCell ref="D12:E13"/>
    <mergeCell ref="F7:I9"/>
    <mergeCell ref="G12:K13"/>
    <mergeCell ref="I14:I15"/>
    <mergeCell ref="I16:I17"/>
    <mergeCell ref="I18:I19"/>
    <mergeCell ref="I20:I21"/>
    <mergeCell ref="J14:J15"/>
    <mergeCell ref="J16:J17"/>
    <mergeCell ref="J18:J19"/>
    <mergeCell ref="J20:J21"/>
    <mergeCell ref="G14:G15"/>
    <mergeCell ref="G16:G17"/>
    <mergeCell ref="G18:G19"/>
    <mergeCell ref="G20:G21"/>
    <mergeCell ref="H14:H17"/>
    <mergeCell ref="H18:H21"/>
    <mergeCell ref="F12:F13"/>
    <mergeCell ref="F14:F15"/>
    <mergeCell ref="F16:F17"/>
    <mergeCell ref="F18:F19"/>
    <mergeCell ref="F20:F21"/>
    <mergeCell ref="U8:Z8"/>
    <mergeCell ref="U9:AA9"/>
    <mergeCell ref="U17:Z17"/>
    <mergeCell ref="U18:Z18"/>
    <mergeCell ref="U19:AA19"/>
  </mergeCells>
  <phoneticPr fontId="57" type="noConversion"/>
  <pageMargins left="0.69930555555555596" right="0.69930555555555596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4"/>
  <sheetViews>
    <sheetView topLeftCell="A9" workbookViewId="0">
      <selection activeCell="I24" sqref="I24"/>
    </sheetView>
  </sheetViews>
  <sheetFormatPr defaultColWidth="9" defaultRowHeight="13.5"/>
  <cols>
    <col min="1" max="7" width="9" style="6"/>
    <col min="8" max="8" width="9.125" style="6" customWidth="1"/>
    <col min="9" max="10" width="9.5" style="6" customWidth="1"/>
    <col min="11" max="11" width="9.125" style="6" customWidth="1"/>
    <col min="12" max="16384" width="9" style="6"/>
  </cols>
  <sheetData>
    <row r="1" spans="1:14" ht="4.5" customHeight="1"/>
    <row r="2" spans="1:14" ht="18.75" customHeight="1">
      <c r="F2" s="721" t="s">
        <v>393</v>
      </c>
      <c r="G2" s="722"/>
      <c r="H2" s="133" t="s">
        <v>12</v>
      </c>
      <c r="I2" s="133" t="s">
        <v>20</v>
      </c>
      <c r="J2" s="133" t="s">
        <v>30</v>
      </c>
      <c r="K2" s="151" t="s">
        <v>340</v>
      </c>
      <c r="M2" s="132" t="s">
        <v>394</v>
      </c>
      <c r="N2" s="151" t="s">
        <v>12</v>
      </c>
    </row>
    <row r="3" spans="1:14" ht="17.25" customHeight="1">
      <c r="A3" s="751" t="s">
        <v>395</v>
      </c>
      <c r="B3" s="751"/>
      <c r="C3" s="751"/>
      <c r="D3" s="751"/>
      <c r="E3" s="751"/>
      <c r="F3" s="723" t="s">
        <v>396</v>
      </c>
      <c r="G3" s="724"/>
      <c r="H3" s="135"/>
      <c r="I3" s="135">
        <v>7117</v>
      </c>
      <c r="J3" s="152">
        <v>6705</v>
      </c>
      <c r="K3" s="153"/>
      <c r="M3" s="134" t="s">
        <v>397</v>
      </c>
      <c r="N3" s="154">
        <v>100</v>
      </c>
    </row>
    <row r="4" spans="1:14" ht="17.25" customHeight="1">
      <c r="A4" s="751"/>
      <c r="B4" s="751"/>
      <c r="C4" s="751"/>
      <c r="D4" s="751"/>
      <c r="E4" s="751"/>
      <c r="F4" s="725" t="s">
        <v>398</v>
      </c>
      <c r="G4" s="726"/>
      <c r="H4" s="136"/>
      <c r="I4" s="136">
        <v>621</v>
      </c>
      <c r="J4" s="142">
        <v>273</v>
      </c>
      <c r="K4" s="155"/>
      <c r="M4" s="156" t="s">
        <v>399</v>
      </c>
      <c r="N4" s="157">
        <v>100</v>
      </c>
    </row>
    <row r="5" spans="1:14" ht="16.5" customHeight="1">
      <c r="F5" s="727" t="s">
        <v>400</v>
      </c>
      <c r="G5" s="728"/>
      <c r="H5" s="137"/>
      <c r="I5" s="137">
        <v>800</v>
      </c>
      <c r="J5" s="158">
        <v>720</v>
      </c>
      <c r="K5" s="159"/>
    </row>
    <row r="6" spans="1:14" ht="18.75" hidden="1" customHeight="1">
      <c r="E6" s="138"/>
      <c r="F6" s="729">
        <f>CHOOSE(F10,0.3,0.55,0.75,0.9,1)</f>
        <v>1</v>
      </c>
      <c r="G6" s="730"/>
      <c r="H6" s="139">
        <f>H3+H4+H5+N3</f>
        <v>100</v>
      </c>
      <c r="I6" s="139">
        <f t="shared" ref="I6:K6" si="0">I3+I4+I5</f>
        <v>8538</v>
      </c>
      <c r="J6" s="139">
        <f t="shared" si="0"/>
        <v>7698</v>
      </c>
      <c r="K6" s="139">
        <f t="shared" si="0"/>
        <v>0</v>
      </c>
    </row>
    <row r="7" spans="1:14" ht="15" customHeight="1">
      <c r="A7" s="140" t="s">
        <v>401</v>
      </c>
      <c r="E7" s="138"/>
      <c r="F7" s="731" t="s">
        <v>402</v>
      </c>
      <c r="G7" s="732"/>
      <c r="H7" s="142"/>
      <c r="I7" s="136">
        <v>72</v>
      </c>
      <c r="J7" s="142">
        <v>75</v>
      </c>
      <c r="K7" s="155"/>
    </row>
    <row r="8" spans="1:14" ht="15" customHeight="1">
      <c r="A8" s="143"/>
      <c r="E8" s="744"/>
      <c r="F8" s="736" t="s">
        <v>403</v>
      </c>
      <c r="G8" s="144" t="s">
        <v>404</v>
      </c>
      <c r="H8" s="136"/>
      <c r="I8" s="136">
        <v>46.02</v>
      </c>
      <c r="J8" s="142"/>
      <c r="K8" s="155"/>
    </row>
    <row r="9" spans="1:14" ht="15" customHeight="1">
      <c r="B9" s="601" t="s">
        <v>405</v>
      </c>
      <c r="C9" s="601"/>
      <c r="D9" s="601"/>
      <c r="E9" s="744"/>
      <c r="F9" s="745"/>
      <c r="G9" s="144" t="s">
        <v>406</v>
      </c>
      <c r="H9" s="136"/>
      <c r="I9" s="136">
        <v>49.6</v>
      </c>
      <c r="J9" s="142">
        <v>68.055999999999997</v>
      </c>
      <c r="K9" s="155"/>
    </row>
    <row r="10" spans="1:14" ht="15" customHeight="1">
      <c r="B10" s="601" t="s">
        <v>407</v>
      </c>
      <c r="C10" s="601"/>
      <c r="D10" s="601"/>
      <c r="E10" s="744"/>
      <c r="F10" s="746">
        <v>5</v>
      </c>
      <c r="G10" s="144" t="s">
        <v>408</v>
      </c>
      <c r="H10" s="136"/>
      <c r="I10" s="136">
        <v>39</v>
      </c>
      <c r="J10" s="142">
        <v>51</v>
      </c>
      <c r="K10" s="155"/>
    </row>
    <row r="11" spans="1:14" ht="15" customHeight="1">
      <c r="A11" s="138"/>
      <c r="B11" s="600" t="s">
        <v>409</v>
      </c>
      <c r="C11" s="601"/>
      <c r="D11" s="601"/>
      <c r="E11" s="744"/>
      <c r="F11" s="747"/>
      <c r="G11" s="144" t="s">
        <v>410</v>
      </c>
      <c r="H11" s="136"/>
      <c r="I11" s="136"/>
      <c r="J11" s="142">
        <v>54.5</v>
      </c>
      <c r="K11" s="155"/>
    </row>
    <row r="12" spans="1:14" ht="14.25" customHeight="1">
      <c r="B12" s="601" t="s">
        <v>411</v>
      </c>
      <c r="C12" s="601"/>
      <c r="D12" s="601"/>
      <c r="E12" s="744"/>
      <c r="F12" s="700" t="s">
        <v>412</v>
      </c>
      <c r="G12" s="144" t="s">
        <v>413</v>
      </c>
      <c r="H12" s="136"/>
      <c r="I12" s="136"/>
      <c r="J12" s="142"/>
      <c r="K12" s="155"/>
    </row>
    <row r="13" spans="1:14" ht="15" customHeight="1">
      <c r="B13" s="601" t="s">
        <v>414</v>
      </c>
      <c r="C13" s="601"/>
      <c r="D13" s="601"/>
      <c r="F13" s="736"/>
      <c r="G13" s="145" t="s">
        <v>415</v>
      </c>
      <c r="H13" s="136"/>
      <c r="I13" s="136">
        <v>260</v>
      </c>
      <c r="J13" s="142">
        <v>220</v>
      </c>
      <c r="K13" s="155"/>
    </row>
    <row r="14" spans="1:14" ht="15" customHeight="1">
      <c r="B14" s="601" t="s">
        <v>416</v>
      </c>
      <c r="C14" s="601"/>
      <c r="D14" s="601"/>
      <c r="F14" s="736" t="s">
        <v>417</v>
      </c>
      <c r="G14" s="144" t="s">
        <v>413</v>
      </c>
      <c r="H14" s="146"/>
      <c r="I14" s="146">
        <v>2</v>
      </c>
      <c r="J14" s="146">
        <v>2</v>
      </c>
      <c r="K14" s="160"/>
    </row>
    <row r="15" spans="1:14" ht="15" customHeight="1">
      <c r="B15" s="601" t="s">
        <v>418</v>
      </c>
      <c r="C15" s="601"/>
      <c r="D15" s="601"/>
      <c r="F15" s="748"/>
      <c r="G15" s="147" t="s">
        <v>415</v>
      </c>
      <c r="H15" s="137"/>
      <c r="I15" s="137">
        <v>200</v>
      </c>
      <c r="J15" s="137">
        <v>200</v>
      </c>
      <c r="K15" s="157"/>
    </row>
    <row r="16" spans="1:14" ht="15" customHeight="1">
      <c r="B16" s="600" t="s">
        <v>419</v>
      </c>
      <c r="C16" s="601"/>
      <c r="D16" s="601"/>
      <c r="F16" s="733" t="s">
        <v>420</v>
      </c>
      <c r="G16" s="734"/>
      <c r="H16" s="135"/>
      <c r="I16" s="135">
        <v>2358</v>
      </c>
      <c r="J16" s="152">
        <v>1457</v>
      </c>
      <c r="K16" s="153"/>
    </row>
    <row r="17" spans="1:11" ht="15" customHeight="1">
      <c r="B17" s="600" t="s">
        <v>421</v>
      </c>
      <c r="C17" s="601"/>
      <c r="D17" s="601"/>
      <c r="F17" s="700" t="s">
        <v>422</v>
      </c>
      <c r="G17" s="735"/>
      <c r="H17" s="136"/>
      <c r="I17" s="136">
        <v>3280</v>
      </c>
      <c r="J17" s="142">
        <v>4490</v>
      </c>
      <c r="K17" s="155"/>
    </row>
    <row r="18" spans="1:11" ht="15" customHeight="1">
      <c r="B18" s="600" t="s">
        <v>423</v>
      </c>
      <c r="C18" s="601"/>
      <c r="D18" s="601"/>
      <c r="F18" s="700" t="s">
        <v>424</v>
      </c>
      <c r="G18" s="735"/>
      <c r="H18" s="136"/>
      <c r="I18" s="136">
        <v>3975</v>
      </c>
      <c r="J18" s="142">
        <v>3262</v>
      </c>
      <c r="K18" s="155"/>
    </row>
    <row r="19" spans="1:11" ht="15" customHeight="1">
      <c r="B19" s="601" t="s">
        <v>425</v>
      </c>
      <c r="C19" s="601"/>
      <c r="D19" s="601"/>
      <c r="F19" s="736" t="s">
        <v>426</v>
      </c>
      <c r="G19" s="737"/>
      <c r="H19" s="136"/>
      <c r="I19" s="136">
        <v>3436</v>
      </c>
      <c r="J19" s="142">
        <v>1110</v>
      </c>
      <c r="K19" s="155"/>
    </row>
    <row r="20" spans="1:11" ht="15" customHeight="1">
      <c r="B20" s="601" t="s">
        <v>427</v>
      </c>
      <c r="C20" s="601"/>
      <c r="D20" s="601"/>
      <c r="F20" s="738" t="s">
        <v>428</v>
      </c>
      <c r="G20" s="739"/>
      <c r="H20" s="136"/>
      <c r="I20" s="136">
        <v>680</v>
      </c>
      <c r="J20" s="142">
        <v>345</v>
      </c>
      <c r="K20" s="155"/>
    </row>
    <row r="21" spans="1:11" ht="15" customHeight="1">
      <c r="B21" s="601" t="s">
        <v>429</v>
      </c>
      <c r="C21" s="601"/>
      <c r="D21" s="601"/>
      <c r="F21" s="738" t="s">
        <v>430</v>
      </c>
      <c r="G21" s="739"/>
      <c r="H21" s="136"/>
      <c r="I21" s="136">
        <v>280</v>
      </c>
      <c r="J21" s="142">
        <v>180</v>
      </c>
      <c r="K21" s="155"/>
    </row>
    <row r="22" spans="1:11" ht="15" customHeight="1">
      <c r="B22" s="601" t="s">
        <v>431</v>
      </c>
      <c r="C22" s="601"/>
      <c r="D22" s="601"/>
      <c r="F22" s="736" t="s">
        <v>432</v>
      </c>
      <c r="G22" s="737"/>
      <c r="H22" s="146"/>
      <c r="I22" s="146">
        <v>78</v>
      </c>
      <c r="J22" s="161">
        <v>52</v>
      </c>
      <c r="K22" s="162"/>
    </row>
    <row r="23" spans="1:11" ht="16.5" customHeight="1">
      <c r="B23" s="600" t="s">
        <v>433</v>
      </c>
      <c r="C23" s="601"/>
      <c r="D23" s="601"/>
      <c r="F23" s="738" t="s">
        <v>434</v>
      </c>
      <c r="G23" s="739"/>
      <c r="H23" s="146"/>
      <c r="I23" s="146">
        <v>2079</v>
      </c>
      <c r="J23" s="146">
        <v>236</v>
      </c>
      <c r="K23" s="160"/>
    </row>
    <row r="24" spans="1:11" ht="16.5" customHeight="1">
      <c r="B24" s="600" t="s">
        <v>435</v>
      </c>
      <c r="C24" s="601"/>
      <c r="D24" s="601"/>
      <c r="F24" s="736" t="s">
        <v>436</v>
      </c>
      <c r="G24" s="23" t="s">
        <v>437</v>
      </c>
      <c r="H24" s="146"/>
      <c r="I24" s="146"/>
      <c r="J24" s="146">
        <v>1613</v>
      </c>
      <c r="K24" s="160"/>
    </row>
    <row r="25" spans="1:11" ht="15" customHeight="1">
      <c r="B25" s="601" t="s">
        <v>438</v>
      </c>
      <c r="C25" s="601"/>
      <c r="D25" s="601"/>
      <c r="F25" s="749"/>
      <c r="G25" s="23" t="s">
        <v>439</v>
      </c>
      <c r="H25" s="136"/>
      <c r="I25" s="136">
        <v>2794</v>
      </c>
      <c r="J25" s="142"/>
      <c r="K25" s="160"/>
    </row>
    <row r="26" spans="1:11" ht="15" customHeight="1">
      <c r="B26" s="601" t="s">
        <v>440</v>
      </c>
      <c r="C26" s="601"/>
      <c r="D26" s="601"/>
      <c r="F26" s="736" t="s">
        <v>441</v>
      </c>
      <c r="G26" s="148" t="s">
        <v>413</v>
      </c>
      <c r="H26" s="136"/>
      <c r="I26" s="136">
        <v>2</v>
      </c>
      <c r="J26" s="142"/>
      <c r="K26" s="155"/>
    </row>
    <row r="27" spans="1:11" ht="15" customHeight="1">
      <c r="B27" s="601" t="s">
        <v>442</v>
      </c>
      <c r="C27" s="601"/>
      <c r="D27" s="601"/>
      <c r="F27" s="745"/>
      <c r="G27" s="145" t="s">
        <v>415</v>
      </c>
      <c r="H27" s="137"/>
      <c r="I27" s="137"/>
      <c r="J27" s="158"/>
      <c r="K27" s="159"/>
    </row>
    <row r="28" spans="1:11" ht="14.25" hidden="1" customHeight="1">
      <c r="F28" s="740"/>
      <c r="G28" s="741"/>
      <c r="H28" s="139">
        <f>H6*0.01*(H7+H8+H9+H10+H11*F6+H12+H14+H26)+H6+SUM(H16:H25)+H13+H15+H27+N4</f>
        <v>200</v>
      </c>
      <c r="I28" s="139">
        <f>I6*0.01*(I7+I8+I9+I10+I11*F6+I12+I14+I26)+I6+SUM(I16:I25)+I13+I15+I27</f>
        <v>45940.7356</v>
      </c>
      <c r="J28" s="139">
        <f>J6*0.01*(J7+J8+J9+J10+J11*F6+J12+J14+J26)+J6+SUM(J16:J25)+J13+J15+J27</f>
        <v>40150.800880000003</v>
      </c>
      <c r="K28" s="139">
        <f>K6*0.01*(K7+K8+K9+K10+K11*F6+K12+K14+K26)+K6+SUM(K16:K25)+K13+K15+K27</f>
        <v>0</v>
      </c>
    </row>
    <row r="29" spans="1:11" ht="15" customHeight="1">
      <c r="A29" s="149" t="s">
        <v>443</v>
      </c>
      <c r="B29" s="601" t="s">
        <v>444</v>
      </c>
      <c r="C29" s="601"/>
      <c r="D29" s="601"/>
      <c r="F29" s="750" t="s">
        <v>445</v>
      </c>
      <c r="G29" s="141" t="s">
        <v>446</v>
      </c>
      <c r="H29" s="142"/>
      <c r="I29" s="136">
        <v>1.65</v>
      </c>
      <c r="J29" s="142">
        <v>0.99</v>
      </c>
      <c r="K29" s="155"/>
    </row>
    <row r="30" spans="1:11" ht="15" customHeight="1">
      <c r="B30" s="601" t="s">
        <v>447</v>
      </c>
      <c r="C30" s="601"/>
      <c r="D30" s="601"/>
      <c r="F30" s="749"/>
      <c r="G30" s="145" t="s">
        <v>415</v>
      </c>
      <c r="H30" s="142"/>
      <c r="I30" s="136">
        <v>144</v>
      </c>
      <c r="J30" s="142">
        <v>86</v>
      </c>
      <c r="K30" s="155"/>
    </row>
    <row r="31" spans="1:11" ht="9.75" hidden="1" customHeight="1">
      <c r="B31" s="601" t="s">
        <v>448</v>
      </c>
      <c r="C31" s="601"/>
      <c r="D31" s="601"/>
      <c r="F31" s="738"/>
      <c r="G31" s="739"/>
      <c r="H31" s="142">
        <f t="shared" ref="H31:K31" si="1">(H28+H30)*(H29*0.01+1)</f>
        <v>200</v>
      </c>
      <c r="I31" s="142">
        <f t="shared" si="1"/>
        <v>46845.1337374</v>
      </c>
      <c r="J31" s="142">
        <f t="shared" si="1"/>
        <v>40635.145208711998</v>
      </c>
      <c r="K31" s="142">
        <f t="shared" si="1"/>
        <v>0</v>
      </c>
    </row>
    <row r="32" spans="1:11" ht="15" customHeight="1">
      <c r="B32" s="601" t="s">
        <v>449</v>
      </c>
      <c r="C32" s="601"/>
      <c r="D32" s="601"/>
      <c r="F32" s="736" t="s">
        <v>450</v>
      </c>
      <c r="G32" s="144" t="s">
        <v>446</v>
      </c>
      <c r="H32" s="142"/>
      <c r="I32" s="136">
        <v>3.85</v>
      </c>
      <c r="J32" s="142">
        <v>2.31</v>
      </c>
      <c r="K32" s="155"/>
    </row>
    <row r="33" spans="2:11" ht="15" customHeight="1">
      <c r="B33" s="601" t="s">
        <v>451</v>
      </c>
      <c r="C33" s="601"/>
      <c r="D33" s="601"/>
      <c r="F33" s="748"/>
      <c r="G33" s="147" t="s">
        <v>415</v>
      </c>
      <c r="H33" s="142"/>
      <c r="I33" s="137">
        <v>606</v>
      </c>
      <c r="J33" s="158">
        <v>363</v>
      </c>
      <c r="K33" s="159"/>
    </row>
    <row r="34" spans="2:11" ht="22.5" customHeight="1">
      <c r="F34" s="742" t="s">
        <v>452</v>
      </c>
      <c r="G34" s="743"/>
      <c r="H34" s="150">
        <f t="shared" ref="H34:K34" si="2">INT((H31+H33)*(H32*0.01+1))</f>
        <v>200</v>
      </c>
      <c r="I34" s="150">
        <f>INT((I31++I33)*(I32*0.01+1))</f>
        <v>49278</v>
      </c>
      <c r="J34" s="150">
        <f t="shared" si="2"/>
        <v>41945</v>
      </c>
      <c r="K34" s="163">
        <f t="shared" si="2"/>
        <v>0</v>
      </c>
    </row>
  </sheetData>
  <sheetProtection algorithmName="SHA-512" hashValue="NwE7buHGA3jIPVMJCFFj0BxapJpy99Qh/uxriFqnvn9RGqe4ZtQwkefTxHuileKajgjW6PpqnALC3zwoRGB9YA==" saltValue="i3boqHxWUmFNdYRFFkf/xw==" spinCount="100000" sheet="1" objects="1" scenarios="1" selectLockedCells="1"/>
  <mergeCells count="51">
    <mergeCell ref="A3:E4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B27:D27"/>
    <mergeCell ref="F28:G28"/>
    <mergeCell ref="B29:D29"/>
    <mergeCell ref="B30:D30"/>
    <mergeCell ref="B31:D31"/>
    <mergeCell ref="F31:G31"/>
    <mergeCell ref="B23:D23"/>
    <mergeCell ref="F23:G23"/>
    <mergeCell ref="B24:D24"/>
    <mergeCell ref="B25:D25"/>
    <mergeCell ref="B26:D26"/>
    <mergeCell ref="B20:D20"/>
    <mergeCell ref="F20:G20"/>
    <mergeCell ref="B21:D21"/>
    <mergeCell ref="F21:G21"/>
    <mergeCell ref="B22:D22"/>
    <mergeCell ref="F22:G22"/>
    <mergeCell ref="B17:D17"/>
    <mergeCell ref="F17:G17"/>
    <mergeCell ref="B18:D18"/>
    <mergeCell ref="F18:G18"/>
    <mergeCell ref="B19:D19"/>
    <mergeCell ref="F19:G19"/>
    <mergeCell ref="B13:D13"/>
    <mergeCell ref="B14:D14"/>
    <mergeCell ref="B15:D15"/>
    <mergeCell ref="B16:D16"/>
    <mergeCell ref="F16:G16"/>
    <mergeCell ref="F7:G7"/>
    <mergeCell ref="B9:D9"/>
    <mergeCell ref="B10:D10"/>
    <mergeCell ref="B11:D11"/>
    <mergeCell ref="B12:D12"/>
    <mergeCell ref="F2:G2"/>
    <mergeCell ref="F3:G3"/>
    <mergeCell ref="F4:G4"/>
    <mergeCell ref="F5:G5"/>
    <mergeCell ref="F6:G6"/>
  </mergeCells>
  <phoneticPr fontId="57" type="noConversion"/>
  <dataValidations count="1">
    <dataValidation type="list" allowBlank="1" showInputMessage="1" showErrorMessage="1" sqref="F10">
      <formula1>"1,2,3,4,5"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2:S128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3"/>
    <col min="16" max="16" width="9.75" style="3" customWidth="1"/>
    <col min="17" max="17" width="5.5" style="3" hidden="1" customWidth="1"/>
    <col min="18" max="18" width="12.5" style="3" customWidth="1"/>
    <col min="19" max="19" width="3.875" style="3" customWidth="1"/>
    <col min="20" max="16384" width="10.625" style="3"/>
  </cols>
  <sheetData>
    <row r="2" spans="1:16">
      <c r="A2" s="773" t="s">
        <v>453</v>
      </c>
      <c r="B2" s="752" t="s">
        <v>454</v>
      </c>
      <c r="C2" s="753"/>
      <c r="D2" s="753"/>
      <c r="E2" s="754"/>
      <c r="F2" s="755" t="s">
        <v>455</v>
      </c>
      <c r="G2" s="756"/>
      <c r="H2" s="756"/>
      <c r="I2" s="756"/>
      <c r="J2" s="756"/>
      <c r="K2" s="756"/>
      <c r="L2" s="756"/>
      <c r="M2" s="756"/>
      <c r="N2" s="757"/>
    </row>
    <row r="3" spans="1:16">
      <c r="A3" s="774"/>
      <c r="B3" s="34" t="s">
        <v>456</v>
      </c>
      <c r="C3" s="35" t="s">
        <v>23</v>
      </c>
      <c r="D3" s="35" t="s">
        <v>34</v>
      </c>
      <c r="E3" s="35" t="s">
        <v>28</v>
      </c>
      <c r="F3" s="36" t="s">
        <v>457</v>
      </c>
      <c r="G3" s="37"/>
      <c r="H3" s="37"/>
      <c r="I3" s="37"/>
      <c r="J3" s="37"/>
      <c r="K3" s="37"/>
      <c r="L3" s="37"/>
      <c r="M3" s="37"/>
      <c r="N3" s="97"/>
    </row>
    <row r="4" spans="1:16">
      <c r="A4" s="774"/>
      <c r="B4" s="38">
        <v>1</v>
      </c>
      <c r="C4" s="39">
        <v>1</v>
      </c>
      <c r="D4" s="40">
        <v>1</v>
      </c>
      <c r="E4" s="41">
        <v>1</v>
      </c>
      <c r="F4" s="42" t="s">
        <v>458</v>
      </c>
      <c r="G4" s="43"/>
      <c r="H4" s="43"/>
      <c r="I4" s="43"/>
      <c r="J4" s="43"/>
      <c r="K4" s="43"/>
      <c r="L4" s="43"/>
      <c r="M4" s="43"/>
      <c r="N4" s="98"/>
    </row>
    <row r="5" spans="1:16">
      <c r="A5" s="774"/>
      <c r="B5" s="44">
        <v>2</v>
      </c>
      <c r="C5" s="45">
        <v>0.64800000000000002</v>
      </c>
      <c r="D5" s="46">
        <v>0.64800000000000002</v>
      </c>
      <c r="E5" s="47">
        <v>0.9</v>
      </c>
      <c r="F5" s="42" t="s">
        <v>459</v>
      </c>
      <c r="G5" s="43"/>
      <c r="H5" s="43"/>
      <c r="I5" s="43"/>
      <c r="J5" s="43"/>
      <c r="K5" s="43"/>
      <c r="L5" s="43"/>
      <c r="M5" s="43"/>
      <c r="N5" s="98"/>
    </row>
    <row r="6" spans="1:16">
      <c r="A6" s="774"/>
      <c r="B6" s="44">
        <v>3</v>
      </c>
      <c r="C6" s="45">
        <v>0.51200000000000001</v>
      </c>
      <c r="D6" s="46">
        <v>0.51200000000000001</v>
      </c>
      <c r="E6" s="47">
        <v>0.8</v>
      </c>
      <c r="F6" s="36" t="s">
        <v>460</v>
      </c>
      <c r="G6" s="37"/>
      <c r="H6" s="37"/>
      <c r="I6" s="37"/>
      <c r="J6" s="37"/>
      <c r="K6" s="37"/>
      <c r="L6" s="37"/>
      <c r="M6" s="37"/>
      <c r="N6" s="97"/>
      <c r="P6" s="57"/>
    </row>
    <row r="7" spans="1:16">
      <c r="A7" s="774"/>
      <c r="B7" s="44">
        <v>4</v>
      </c>
      <c r="C7" s="45">
        <v>0.39200000000000002</v>
      </c>
      <c r="D7" s="46">
        <v>0.39200000000000002</v>
      </c>
      <c r="E7" s="47">
        <v>0.7</v>
      </c>
      <c r="F7" s="758" t="s">
        <v>461</v>
      </c>
      <c r="G7" s="759"/>
      <c r="H7" s="759"/>
      <c r="I7" s="759"/>
      <c r="J7" s="759"/>
      <c r="K7" s="759"/>
      <c r="L7" s="759"/>
      <c r="M7" s="759"/>
      <c r="N7" s="760"/>
      <c r="P7" s="57"/>
    </row>
    <row r="8" spans="1:16">
      <c r="A8" s="774"/>
      <c r="B8" s="44">
        <v>5</v>
      </c>
      <c r="C8" s="45">
        <v>0.28799999999999998</v>
      </c>
      <c r="D8" s="46">
        <v>0.36</v>
      </c>
      <c r="E8" s="47">
        <v>0.6</v>
      </c>
      <c r="F8" s="758" t="s">
        <v>462</v>
      </c>
      <c r="G8" s="759"/>
      <c r="H8" s="759"/>
      <c r="I8" s="759"/>
      <c r="J8" s="759"/>
      <c r="K8" s="759"/>
      <c r="L8" s="759"/>
      <c r="M8" s="759"/>
      <c r="N8" s="760"/>
      <c r="P8" s="57"/>
    </row>
    <row r="9" spans="1:16">
      <c r="A9" s="774"/>
      <c r="B9" s="44">
        <v>6</v>
      </c>
      <c r="C9" s="50">
        <v>0.2</v>
      </c>
      <c r="D9" s="46">
        <v>0.25</v>
      </c>
      <c r="E9" s="47">
        <v>0.5</v>
      </c>
      <c r="F9" s="758" t="s">
        <v>463</v>
      </c>
      <c r="G9" s="759"/>
      <c r="H9" s="759"/>
      <c r="I9" s="759"/>
      <c r="J9" s="759"/>
      <c r="K9" s="759"/>
      <c r="L9" s="759"/>
      <c r="M9" s="759"/>
      <c r="N9" s="760"/>
      <c r="P9" s="57"/>
    </row>
    <row r="10" spans="1:16">
      <c r="A10" s="774"/>
      <c r="B10" s="44">
        <v>7</v>
      </c>
      <c r="C10" s="45">
        <v>0.128</v>
      </c>
      <c r="D10" s="46">
        <v>0.16</v>
      </c>
      <c r="E10" s="47">
        <v>0.4</v>
      </c>
      <c r="F10" s="48" t="s">
        <v>464</v>
      </c>
      <c r="G10" s="49"/>
      <c r="H10" s="49"/>
      <c r="I10" s="49"/>
      <c r="J10" s="49"/>
      <c r="K10" s="49"/>
      <c r="L10" s="49"/>
      <c r="M10" s="49"/>
      <c r="N10" s="99"/>
      <c r="P10" s="57"/>
    </row>
    <row r="11" spans="1:16">
      <c r="A11" s="775"/>
      <c r="B11" s="51">
        <v>8</v>
      </c>
      <c r="C11" s="52">
        <v>7.1999999999999995E-2</v>
      </c>
      <c r="D11" s="53">
        <v>0.09</v>
      </c>
      <c r="E11" s="54">
        <v>0.3</v>
      </c>
      <c r="F11" s="55" t="s">
        <v>465</v>
      </c>
      <c r="G11" s="56"/>
      <c r="H11" s="56"/>
      <c r="I11" s="56"/>
      <c r="J11" s="56"/>
      <c r="K11" s="56"/>
      <c r="L11" s="56"/>
      <c r="M11" s="56"/>
      <c r="N11" s="100"/>
      <c r="P11" s="57"/>
    </row>
    <row r="12" spans="1:16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</row>
    <row r="13" spans="1:16" ht="14.25" customHeight="1">
      <c r="A13" s="773" t="s">
        <v>466</v>
      </c>
      <c r="B13" s="761" t="s">
        <v>467</v>
      </c>
      <c r="C13" s="756"/>
      <c r="D13" s="756"/>
      <c r="E13" s="756"/>
      <c r="F13" s="756"/>
      <c r="G13" s="756"/>
      <c r="H13" s="756"/>
      <c r="I13" s="756"/>
      <c r="J13" s="756"/>
      <c r="K13" s="756"/>
      <c r="L13" s="757"/>
      <c r="M13" s="57"/>
      <c r="N13" s="57"/>
      <c r="O13" s="57"/>
      <c r="P13" s="57"/>
    </row>
    <row r="14" spans="1:16" ht="13.5" customHeight="1">
      <c r="A14" s="776"/>
      <c r="B14" s="34"/>
      <c r="C14" s="58" t="s">
        <v>468</v>
      </c>
      <c r="D14" s="58" t="s">
        <v>469</v>
      </c>
      <c r="E14" s="58" t="s">
        <v>470</v>
      </c>
      <c r="F14" s="58" t="s">
        <v>471</v>
      </c>
      <c r="G14" s="58" t="s">
        <v>472</v>
      </c>
      <c r="H14" s="58" t="s">
        <v>473</v>
      </c>
      <c r="I14" s="58" t="s">
        <v>474</v>
      </c>
      <c r="J14" s="58" t="s">
        <v>475</v>
      </c>
      <c r="K14" s="101" t="s">
        <v>476</v>
      </c>
      <c r="L14" s="102"/>
      <c r="M14" s="57"/>
      <c r="N14" s="57"/>
      <c r="O14" s="57"/>
      <c r="P14" s="57"/>
    </row>
    <row r="15" spans="1:16" ht="13.5" customHeight="1">
      <c r="A15" s="776"/>
      <c r="B15" s="59" t="s">
        <v>477</v>
      </c>
      <c r="C15" s="7">
        <v>432</v>
      </c>
      <c r="D15" s="7">
        <v>486</v>
      </c>
      <c r="E15" s="7">
        <v>542</v>
      </c>
      <c r="F15" s="7">
        <v>600</v>
      </c>
      <c r="G15" s="7">
        <v>600</v>
      </c>
      <c r="H15" s="7">
        <v>660</v>
      </c>
      <c r="I15" s="7">
        <v>720</v>
      </c>
      <c r="J15" s="7">
        <v>780</v>
      </c>
      <c r="K15" s="10">
        <v>4820</v>
      </c>
      <c r="L15" s="802" t="s">
        <v>478</v>
      </c>
      <c r="M15" s="57"/>
      <c r="N15" s="57"/>
      <c r="O15" s="57"/>
      <c r="P15" s="57"/>
    </row>
    <row r="16" spans="1:16" ht="13.5" customHeight="1">
      <c r="A16" s="776"/>
      <c r="B16" s="59" t="s">
        <v>479</v>
      </c>
      <c r="C16" s="7">
        <v>522</v>
      </c>
      <c r="D16" s="7">
        <v>576</v>
      </c>
      <c r="E16" s="7">
        <v>632</v>
      </c>
      <c r="F16" s="7">
        <v>690</v>
      </c>
      <c r="G16" s="7">
        <v>690</v>
      </c>
      <c r="H16" s="7">
        <v>750</v>
      </c>
      <c r="I16" s="7">
        <v>810</v>
      </c>
      <c r="J16" s="7">
        <v>870</v>
      </c>
      <c r="K16" s="10">
        <v>5540</v>
      </c>
      <c r="L16" s="802"/>
    </row>
    <row r="17" spans="1:12" ht="13.5" customHeight="1">
      <c r="A17" s="776"/>
      <c r="B17" s="59" t="s">
        <v>480</v>
      </c>
      <c r="C17" s="7">
        <v>612</v>
      </c>
      <c r="D17" s="7">
        <v>666</v>
      </c>
      <c r="E17" s="7">
        <v>722</v>
      </c>
      <c r="F17" s="7">
        <v>780</v>
      </c>
      <c r="G17" s="7">
        <v>780</v>
      </c>
      <c r="H17" s="7">
        <v>840</v>
      </c>
      <c r="I17" s="7">
        <v>900</v>
      </c>
      <c r="J17" s="7">
        <v>960</v>
      </c>
      <c r="K17" s="10">
        <v>6260</v>
      </c>
      <c r="L17" s="802"/>
    </row>
    <row r="18" spans="1:12" ht="13.5" customHeight="1">
      <c r="A18" s="776"/>
      <c r="B18" s="59" t="s">
        <v>481</v>
      </c>
      <c r="C18" s="7">
        <v>702</v>
      </c>
      <c r="D18" s="7">
        <v>756</v>
      </c>
      <c r="E18" s="7">
        <v>812</v>
      </c>
      <c r="F18" s="7">
        <v>870</v>
      </c>
      <c r="G18" s="7">
        <v>870</v>
      </c>
      <c r="H18" s="7">
        <v>930</v>
      </c>
      <c r="I18" s="7">
        <v>990</v>
      </c>
      <c r="J18" s="7">
        <v>1050</v>
      </c>
      <c r="K18" s="10">
        <v>6980</v>
      </c>
      <c r="L18" s="103"/>
    </row>
    <row r="19" spans="1:12" ht="13.5" customHeight="1">
      <c r="A19" s="776"/>
      <c r="B19" s="59" t="s">
        <v>482</v>
      </c>
      <c r="C19" s="7">
        <v>792</v>
      </c>
      <c r="D19" s="7">
        <v>846</v>
      </c>
      <c r="E19" s="7">
        <v>902</v>
      </c>
      <c r="F19" s="7">
        <v>960</v>
      </c>
      <c r="G19" s="7">
        <v>960</v>
      </c>
      <c r="H19" s="7">
        <v>1020</v>
      </c>
      <c r="I19" s="7">
        <v>1080</v>
      </c>
      <c r="J19" s="7">
        <v>1140</v>
      </c>
      <c r="K19" s="10">
        <v>7700</v>
      </c>
      <c r="L19" s="803">
        <v>58720</v>
      </c>
    </row>
    <row r="20" spans="1:12" ht="13.5" customHeight="1">
      <c r="A20" s="776"/>
      <c r="B20" s="59" t="s">
        <v>483</v>
      </c>
      <c r="C20" s="7">
        <v>882</v>
      </c>
      <c r="D20" s="7">
        <v>936</v>
      </c>
      <c r="E20" s="7">
        <v>992</v>
      </c>
      <c r="F20" s="7">
        <v>1050</v>
      </c>
      <c r="G20" s="7">
        <v>1050</v>
      </c>
      <c r="H20" s="7">
        <v>1110</v>
      </c>
      <c r="I20" s="7">
        <v>1170</v>
      </c>
      <c r="J20" s="7">
        <v>1230</v>
      </c>
      <c r="K20" s="10">
        <v>8420</v>
      </c>
      <c r="L20" s="803"/>
    </row>
    <row r="21" spans="1:12" ht="14.25" customHeight="1">
      <c r="A21" s="776"/>
      <c r="B21" s="60" t="s">
        <v>484</v>
      </c>
      <c r="C21" s="61">
        <v>972</v>
      </c>
      <c r="D21" s="61">
        <v>1026</v>
      </c>
      <c r="E21" s="61">
        <v>1082</v>
      </c>
      <c r="F21" s="61">
        <v>1140</v>
      </c>
      <c r="G21" s="61">
        <v>1140</v>
      </c>
      <c r="H21" s="61">
        <v>1200</v>
      </c>
      <c r="I21" s="61">
        <v>1260</v>
      </c>
      <c r="J21" s="61">
        <v>1320</v>
      </c>
      <c r="K21" s="104">
        <v>9140</v>
      </c>
      <c r="L21" s="803"/>
    </row>
    <row r="22" spans="1:12">
      <c r="A22" s="777"/>
      <c r="B22" s="62" t="s">
        <v>485</v>
      </c>
      <c r="C22" s="63">
        <v>1062</v>
      </c>
      <c r="D22" s="63">
        <v>1116</v>
      </c>
      <c r="E22" s="63">
        <v>1172</v>
      </c>
      <c r="F22" s="63">
        <v>1230</v>
      </c>
      <c r="G22" s="63">
        <v>1230</v>
      </c>
      <c r="H22" s="63">
        <v>1290</v>
      </c>
      <c r="I22" s="63">
        <v>1350</v>
      </c>
      <c r="J22" s="63">
        <v>1410</v>
      </c>
      <c r="K22" s="105">
        <v>9860</v>
      </c>
      <c r="L22" s="106"/>
    </row>
    <row r="24" spans="1:12" ht="14.25" customHeight="1">
      <c r="A24" s="773" t="s">
        <v>486</v>
      </c>
      <c r="B24" s="761" t="s">
        <v>487</v>
      </c>
      <c r="C24" s="762"/>
      <c r="D24" s="762"/>
      <c r="E24" s="762"/>
      <c r="F24" s="762"/>
      <c r="G24" s="762"/>
      <c r="H24" s="762"/>
      <c r="I24" s="763"/>
      <c r="K24" s="761" t="s">
        <v>488</v>
      </c>
      <c r="L24" s="757"/>
    </row>
    <row r="25" spans="1:12" ht="13.5" customHeight="1">
      <c r="A25" s="776"/>
      <c r="B25" s="781" t="s">
        <v>489</v>
      </c>
      <c r="C25" s="783" t="s">
        <v>490</v>
      </c>
      <c r="D25" s="783" t="s">
        <v>491</v>
      </c>
      <c r="E25" s="783" t="s">
        <v>492</v>
      </c>
      <c r="F25" s="64" t="s">
        <v>493</v>
      </c>
      <c r="G25" s="64" t="s">
        <v>494</v>
      </c>
      <c r="H25" s="783" t="s">
        <v>495</v>
      </c>
      <c r="I25" s="798" t="s">
        <v>496</v>
      </c>
      <c r="K25" s="107" t="s">
        <v>497</v>
      </c>
      <c r="L25" s="108">
        <v>45</v>
      </c>
    </row>
    <row r="26" spans="1:12" ht="13.5" customHeight="1">
      <c r="A26" s="776"/>
      <c r="B26" s="782"/>
      <c r="C26" s="784"/>
      <c r="D26" s="784"/>
      <c r="E26" s="784"/>
      <c r="F26" s="65" t="s">
        <v>498</v>
      </c>
      <c r="G26" s="65" t="s">
        <v>499</v>
      </c>
      <c r="H26" s="784"/>
      <c r="I26" s="799"/>
      <c r="K26" s="109" t="s">
        <v>500</v>
      </c>
      <c r="L26" s="96">
        <v>60</v>
      </c>
    </row>
    <row r="27" spans="1:12" ht="13.5" customHeight="1">
      <c r="A27" s="776"/>
      <c r="B27" s="66" t="s">
        <v>501</v>
      </c>
      <c r="C27" s="67">
        <v>349</v>
      </c>
      <c r="D27" s="67">
        <v>698</v>
      </c>
      <c r="E27" s="67">
        <v>1047</v>
      </c>
      <c r="F27" s="35">
        <v>35</v>
      </c>
      <c r="G27" s="35">
        <v>800</v>
      </c>
      <c r="H27" s="35">
        <v>160</v>
      </c>
      <c r="I27" s="110">
        <v>400</v>
      </c>
      <c r="K27" s="109" t="s">
        <v>502</v>
      </c>
      <c r="L27" s="96">
        <v>70</v>
      </c>
    </row>
    <row r="28" spans="1:12" ht="13.5" customHeight="1">
      <c r="A28" s="776"/>
      <c r="B28" s="68" t="s">
        <v>503</v>
      </c>
      <c r="C28" s="7">
        <v>748</v>
      </c>
      <c r="D28" s="7">
        <v>1869</v>
      </c>
      <c r="E28" s="7">
        <v>2617</v>
      </c>
      <c r="F28" s="69">
        <v>94</v>
      </c>
      <c r="G28" s="69">
        <v>400</v>
      </c>
      <c r="H28" s="69">
        <v>800</v>
      </c>
      <c r="I28" s="111">
        <v>2000</v>
      </c>
      <c r="K28" s="109" t="s">
        <v>504</v>
      </c>
      <c r="L28" s="96">
        <v>80</v>
      </c>
    </row>
    <row r="29" spans="1:12" ht="13.5" customHeight="1">
      <c r="A29" s="776"/>
      <c r="B29" s="68" t="s">
        <v>505</v>
      </c>
      <c r="C29" s="7">
        <v>1193</v>
      </c>
      <c r="D29" s="7">
        <v>3515</v>
      </c>
      <c r="E29" s="7">
        <v>4708</v>
      </c>
      <c r="F29" s="69">
        <v>176</v>
      </c>
      <c r="G29" s="69">
        <v>16380</v>
      </c>
      <c r="H29" s="69">
        <v>3276</v>
      </c>
      <c r="I29" s="111">
        <v>8190</v>
      </c>
      <c r="K29" s="109" t="s">
        <v>506</v>
      </c>
      <c r="L29" s="96">
        <v>90</v>
      </c>
    </row>
    <row r="30" spans="1:12" ht="13.5" customHeight="1">
      <c r="A30" s="776"/>
      <c r="B30" s="68" t="s">
        <v>507</v>
      </c>
      <c r="C30" s="7">
        <v>1694</v>
      </c>
      <c r="D30" s="7">
        <v>5704</v>
      </c>
      <c r="E30" s="7">
        <v>7398</v>
      </c>
      <c r="F30" s="69">
        <v>285</v>
      </c>
      <c r="G30" s="69">
        <v>42050</v>
      </c>
      <c r="H30" s="69">
        <v>8410</v>
      </c>
      <c r="I30" s="111">
        <v>21025</v>
      </c>
      <c r="K30" s="109" t="s">
        <v>508</v>
      </c>
      <c r="L30" s="96">
        <v>100</v>
      </c>
    </row>
    <row r="31" spans="1:12" ht="13.5" customHeight="1">
      <c r="A31" s="776"/>
      <c r="B31" s="70" t="s">
        <v>509</v>
      </c>
      <c r="C31" s="71">
        <v>2242</v>
      </c>
      <c r="D31" s="71">
        <v>8302</v>
      </c>
      <c r="E31" s="71">
        <v>10544</v>
      </c>
      <c r="F31" s="72">
        <v>415</v>
      </c>
      <c r="G31" s="72">
        <v>88200</v>
      </c>
      <c r="H31" s="72">
        <v>17640</v>
      </c>
      <c r="I31" s="112">
        <v>44100</v>
      </c>
      <c r="K31" s="109" t="s">
        <v>510</v>
      </c>
      <c r="L31" s="96">
        <v>120</v>
      </c>
    </row>
    <row r="32" spans="1:12" ht="13.5" customHeight="1">
      <c r="A32" s="776"/>
      <c r="B32" s="781" t="s">
        <v>511</v>
      </c>
      <c r="C32" s="783" t="s">
        <v>490</v>
      </c>
      <c r="D32" s="783" t="s">
        <v>491</v>
      </c>
      <c r="E32" s="783" t="s">
        <v>492</v>
      </c>
      <c r="F32" s="64" t="s">
        <v>493</v>
      </c>
      <c r="G32" s="64" t="s">
        <v>494</v>
      </c>
      <c r="H32" s="783" t="s">
        <v>495</v>
      </c>
      <c r="I32" s="798" t="s">
        <v>496</v>
      </c>
      <c r="K32" s="109" t="s">
        <v>512</v>
      </c>
      <c r="L32" s="96">
        <v>140</v>
      </c>
    </row>
    <row r="33" spans="1:19" ht="13.5" customHeight="1">
      <c r="A33" s="776"/>
      <c r="B33" s="782"/>
      <c r="C33" s="784"/>
      <c r="D33" s="784"/>
      <c r="E33" s="784"/>
      <c r="F33" s="65" t="s">
        <v>498</v>
      </c>
      <c r="G33" s="65" t="s">
        <v>499</v>
      </c>
      <c r="H33" s="784"/>
      <c r="I33" s="799"/>
      <c r="K33" s="109" t="s">
        <v>513</v>
      </c>
      <c r="L33" s="96">
        <v>160</v>
      </c>
    </row>
    <row r="34" spans="1:19" ht="13.5" customHeight="1">
      <c r="A34" s="776"/>
      <c r="B34" s="66" t="s">
        <v>501</v>
      </c>
      <c r="C34" s="67">
        <v>278</v>
      </c>
      <c r="D34" s="67">
        <v>558</v>
      </c>
      <c r="E34" s="67">
        <v>836</v>
      </c>
      <c r="F34" s="35">
        <v>28</v>
      </c>
      <c r="G34" s="35">
        <v>540</v>
      </c>
      <c r="H34" s="35">
        <v>108</v>
      </c>
      <c r="I34" s="110">
        <v>270</v>
      </c>
      <c r="K34" s="109" t="s">
        <v>514</v>
      </c>
      <c r="L34" s="96">
        <v>180</v>
      </c>
    </row>
    <row r="35" spans="1:19" ht="14.25" customHeight="1">
      <c r="A35" s="776"/>
      <c r="B35" s="68" t="s">
        <v>503</v>
      </c>
      <c r="C35" s="7">
        <v>597</v>
      </c>
      <c r="D35" s="7">
        <v>1496</v>
      </c>
      <c r="E35" s="7">
        <v>2096</v>
      </c>
      <c r="F35" s="69">
        <v>75</v>
      </c>
      <c r="G35" s="69">
        <v>3200</v>
      </c>
      <c r="H35" s="69">
        <v>640</v>
      </c>
      <c r="I35" s="111">
        <v>1600</v>
      </c>
      <c r="K35" s="109" t="s">
        <v>515</v>
      </c>
      <c r="L35" s="96">
        <v>200</v>
      </c>
    </row>
    <row r="36" spans="1:19" ht="14.25" customHeight="1">
      <c r="A36" s="776"/>
      <c r="B36" s="68" t="s">
        <v>505</v>
      </c>
      <c r="C36" s="7">
        <v>955</v>
      </c>
      <c r="D36" s="7">
        <v>2813</v>
      </c>
      <c r="E36" s="7">
        <v>3768</v>
      </c>
      <c r="F36" s="69">
        <v>141</v>
      </c>
      <c r="G36" s="69">
        <v>10650</v>
      </c>
      <c r="H36" s="69">
        <v>2130</v>
      </c>
      <c r="I36" s="111">
        <v>5325</v>
      </c>
      <c r="K36" s="109" t="s">
        <v>516</v>
      </c>
      <c r="L36" s="96"/>
    </row>
    <row r="37" spans="1:19" ht="13.5" customHeight="1">
      <c r="A37" s="776"/>
      <c r="B37" s="68" t="s">
        <v>507</v>
      </c>
      <c r="C37" s="7">
        <v>1352</v>
      </c>
      <c r="D37" s="7">
        <v>4562</v>
      </c>
      <c r="E37" s="7">
        <v>5915</v>
      </c>
      <c r="F37" s="69">
        <v>228</v>
      </c>
      <c r="G37" s="69">
        <v>27140</v>
      </c>
      <c r="H37" s="69">
        <v>5428</v>
      </c>
      <c r="I37" s="111">
        <v>13570</v>
      </c>
      <c r="K37" s="109" t="s">
        <v>517</v>
      </c>
      <c r="L37" s="96"/>
    </row>
    <row r="38" spans="1:19">
      <c r="A38" s="777"/>
      <c r="B38" s="73" t="s">
        <v>509</v>
      </c>
      <c r="C38" s="63">
        <v>1790</v>
      </c>
      <c r="D38" s="63">
        <v>6642</v>
      </c>
      <c r="E38" s="63">
        <v>8432</v>
      </c>
      <c r="F38" s="74">
        <v>332</v>
      </c>
      <c r="G38" s="74">
        <v>56780</v>
      </c>
      <c r="H38" s="74">
        <v>11356</v>
      </c>
      <c r="I38" s="113">
        <v>28390</v>
      </c>
      <c r="K38" s="114" t="s">
        <v>518</v>
      </c>
      <c r="L38" s="115"/>
    </row>
    <row r="39" spans="1:19">
      <c r="Q39" s="3">
        <v>1</v>
      </c>
    </row>
    <row r="40" spans="1:19" ht="13.5" customHeight="1">
      <c r="A40" s="773" t="s">
        <v>519</v>
      </c>
      <c r="B40" s="761" t="s">
        <v>520</v>
      </c>
      <c r="C40" s="756"/>
      <c r="D40" s="756"/>
      <c r="E40" s="756"/>
      <c r="F40" s="756"/>
      <c r="G40" s="756"/>
      <c r="H40" s="756"/>
      <c r="I40" s="756"/>
      <c r="J40" s="757"/>
      <c r="Q40" s="3">
        <v>2</v>
      </c>
    </row>
    <row r="41" spans="1:19" ht="14.25" customHeight="1">
      <c r="A41" s="776"/>
      <c r="B41" s="75" t="s">
        <v>263</v>
      </c>
      <c r="C41" s="76" t="s">
        <v>521</v>
      </c>
      <c r="D41" s="76" t="s">
        <v>522</v>
      </c>
      <c r="E41" s="76" t="s">
        <v>523</v>
      </c>
      <c r="F41" s="77" t="s">
        <v>365</v>
      </c>
      <c r="G41" s="76" t="s">
        <v>524</v>
      </c>
      <c r="H41" s="76" t="s">
        <v>525</v>
      </c>
      <c r="I41" s="116" t="s">
        <v>526</v>
      </c>
      <c r="J41" s="117" t="s">
        <v>527</v>
      </c>
      <c r="Q41" s="3">
        <v>3</v>
      </c>
    </row>
    <row r="42" spans="1:19" ht="14.25" customHeight="1">
      <c r="A42" s="776"/>
      <c r="B42" s="78" t="s">
        <v>346</v>
      </c>
      <c r="C42" s="69" t="str">
        <f>VLOOKUP(B42,武功表!A62:C79,3,0)</f>
        <v>攻</v>
      </c>
      <c r="D42" s="69">
        <f>IF(C42="防",VLOOKUP(B42,武功表!A62:H103,7,0),IF(C42="攻",VLOOKUP(B42,武功表!A62:H103,6,0),IF(C42="内",VLOOKUP(B42,武功表!A62:H103,8,0))))</f>
        <v>8</v>
      </c>
      <c r="E42" s="69">
        <f>VLOOKUP(B42,武功表!A62:I103,9,0)</f>
        <v>3</v>
      </c>
      <c r="F42" s="79">
        <v>9</v>
      </c>
      <c r="G42" s="69">
        <f>D42+(F42-1)*E42</f>
        <v>32</v>
      </c>
      <c r="H42" s="69">
        <f>G42*1.1</f>
        <v>35.200000000000003</v>
      </c>
      <c r="I42" s="69">
        <f>G42*1.23</f>
        <v>39.36</v>
      </c>
      <c r="J42" s="118">
        <f>G42*1.35</f>
        <v>43.2</v>
      </c>
      <c r="K42" s="119" t="s">
        <v>528</v>
      </c>
      <c r="L42" s="764" t="s">
        <v>529</v>
      </c>
      <c r="M42" s="764"/>
      <c r="N42" s="764"/>
      <c r="O42" s="764"/>
      <c r="P42" s="764"/>
      <c r="Q42" s="764"/>
      <c r="R42" s="764"/>
      <c r="S42" s="764"/>
    </row>
    <row r="43" spans="1:19" ht="13.5" customHeight="1">
      <c r="A43" s="776"/>
      <c r="B43" s="80"/>
      <c r="C43" s="81"/>
      <c r="D43" s="82"/>
      <c r="E43" s="82"/>
      <c r="F43" s="82" t="s">
        <v>50</v>
      </c>
      <c r="G43" s="83" t="s">
        <v>530</v>
      </c>
      <c r="H43" s="83" t="s">
        <v>531</v>
      </c>
      <c r="I43" s="83" t="s">
        <v>532</v>
      </c>
      <c r="J43" s="120" t="s">
        <v>533</v>
      </c>
      <c r="K43" s="121"/>
      <c r="L43" s="764" t="s">
        <v>534</v>
      </c>
      <c r="M43" s="764"/>
      <c r="N43" s="764"/>
      <c r="O43" s="764"/>
      <c r="P43" s="764"/>
      <c r="Q43" s="764"/>
      <c r="R43" s="764"/>
      <c r="S43" s="764"/>
    </row>
    <row r="44" spans="1:19" ht="14.25" customHeight="1">
      <c r="A44" s="777"/>
      <c r="B44" s="78" t="s">
        <v>342</v>
      </c>
      <c r="C44" s="74" t="str">
        <f>VLOOKUP(B44,武功表!A62:C79,3,0)</f>
        <v>防</v>
      </c>
      <c r="D44" s="74">
        <f>IF(C44="防",VLOOKUP(B44,武功表!A62:H103,7,0),IF(C44="攻",VLOOKUP(B44,武功表!A62:H103,6,0),IF(C44="内",VLOOKUP(B44,武功表!A62:H103,8,0))))</f>
        <v>15</v>
      </c>
      <c r="E44" s="74">
        <f>VLOOKUP(B44,武功表!A62:I103,9,0)</f>
        <v>3</v>
      </c>
      <c r="F44" s="84">
        <v>10</v>
      </c>
      <c r="G44" s="74">
        <f>D44+(F44-1)*E44</f>
        <v>42</v>
      </c>
      <c r="H44" s="74">
        <f>G44*1.1</f>
        <v>46.2</v>
      </c>
      <c r="I44" s="74">
        <f>G44*1.23</f>
        <v>51.66</v>
      </c>
      <c r="J44" s="113">
        <f>G44*1.35</f>
        <v>56.7</v>
      </c>
      <c r="Q44" s="3">
        <v>6</v>
      </c>
    </row>
    <row r="45" spans="1:19" ht="14.25" customHeight="1">
      <c r="Q45" s="3">
        <v>7</v>
      </c>
    </row>
    <row r="46" spans="1:19" ht="13.5" customHeight="1">
      <c r="A46" s="773" t="s">
        <v>535</v>
      </c>
      <c r="B46" s="761" t="s">
        <v>536</v>
      </c>
      <c r="C46" s="756"/>
      <c r="D46" s="756"/>
      <c r="E46" s="756"/>
      <c r="F46" s="756"/>
      <c r="G46" s="756"/>
      <c r="H46" s="756"/>
      <c r="I46" s="756"/>
      <c r="J46" s="756"/>
      <c r="K46" s="757"/>
      <c r="Q46" s="3">
        <v>8</v>
      </c>
    </row>
    <row r="47" spans="1:19" ht="13.5" customHeight="1">
      <c r="A47" s="776"/>
      <c r="B47" s="85" t="s">
        <v>364</v>
      </c>
      <c r="C47" s="785" t="str">
        <f>$B$49</f>
        <v>小龙女</v>
      </c>
      <c r="D47" s="765" t="s">
        <v>537</v>
      </c>
      <c r="E47" s="765"/>
      <c r="F47" s="765"/>
      <c r="G47" s="765"/>
      <c r="H47" s="766" t="s">
        <v>398</v>
      </c>
      <c r="I47" s="767"/>
      <c r="J47" s="767"/>
      <c r="K47" s="768"/>
      <c r="Q47" s="3">
        <v>9</v>
      </c>
    </row>
    <row r="48" spans="1:19" ht="13.5" customHeight="1">
      <c r="A48" s="776"/>
      <c r="B48" s="86">
        <v>33</v>
      </c>
      <c r="C48" s="786"/>
      <c r="D48" s="87" t="s">
        <v>12</v>
      </c>
      <c r="E48" s="69" t="s">
        <v>20</v>
      </c>
      <c r="F48" s="69" t="s">
        <v>30</v>
      </c>
      <c r="G48" s="88" t="s">
        <v>340</v>
      </c>
      <c r="H48" s="89" t="s">
        <v>12</v>
      </c>
      <c r="I48" s="69" t="s">
        <v>20</v>
      </c>
      <c r="J48" s="69" t="s">
        <v>30</v>
      </c>
      <c r="K48" s="111" t="s">
        <v>340</v>
      </c>
      <c r="Q48" s="3">
        <v>10</v>
      </c>
    </row>
    <row r="49" spans="1:19" ht="13.5" customHeight="1">
      <c r="A49" s="776"/>
      <c r="B49" s="86" t="str">
        <f>INDEX(弟子基础属性!C3:C67,$B$48)</f>
        <v>小龙女</v>
      </c>
      <c r="C49" s="787" t="s">
        <v>538</v>
      </c>
      <c r="D49" s="790">
        <f>IF(B54&lt;32,C34*B55,C27*B55)</f>
        <v>105.43806646525699</v>
      </c>
      <c r="E49" s="792">
        <f>IF(B54&lt;32,C34*B56,C27*B56)</f>
        <v>48.501510574018099</v>
      </c>
      <c r="F49" s="792">
        <f>IF(B54&lt;32,C34*B57,C27*B57)</f>
        <v>68.534743202416905</v>
      </c>
      <c r="G49" s="794">
        <f>IF(B54&lt;32,C34*B58,C27*B58)</f>
        <v>126.525679758308</v>
      </c>
      <c r="H49" s="796">
        <f>IF(B54&lt;32,D34*B55,D27*B55)</f>
        <v>210.87613293051399</v>
      </c>
      <c r="I49" s="792">
        <f>IF(B54&lt;32,D34*B56,D27*B56)</f>
        <v>97.003021148036197</v>
      </c>
      <c r="J49" s="794">
        <f>IF(B54&lt;32,D34*B57,D27*B57)</f>
        <v>137.06948640483401</v>
      </c>
      <c r="K49" s="800">
        <f>IF(B54&lt;32,D34*B58,D27*B58)</f>
        <v>253.051359516616</v>
      </c>
    </row>
    <row r="50" spans="1:19" ht="13.5" customHeight="1">
      <c r="A50" s="776"/>
      <c r="B50" s="90">
        <f>VLOOKUP(C47,弟子基础属性!C:P,10,0)</f>
        <v>10</v>
      </c>
      <c r="C50" s="788"/>
      <c r="D50" s="790"/>
      <c r="E50" s="792" t="s">
        <v>30</v>
      </c>
      <c r="F50" s="792"/>
      <c r="G50" s="794"/>
      <c r="H50" s="796"/>
      <c r="I50" s="792"/>
      <c r="J50" s="794"/>
      <c r="K50" s="800"/>
    </row>
    <row r="51" spans="1:19" ht="13.5" customHeight="1">
      <c r="A51" s="776"/>
      <c r="B51" s="91">
        <f>VLOOKUP(C47,弟子基础属性!C:P,11,0)</f>
        <v>4.5999999999999996</v>
      </c>
      <c r="C51" s="787" t="s">
        <v>539</v>
      </c>
      <c r="D51" s="790">
        <f>IF(B54&lt;32,C35*B55,C28*B55)</f>
        <v>225.98187311178199</v>
      </c>
      <c r="E51" s="792">
        <f>IF(B54&lt;32,C35*B56,C28*B56)</f>
        <v>103.95166163142</v>
      </c>
      <c r="F51" s="792">
        <f>IF(B54&lt;32,C35*B57,C28*B57)</f>
        <v>146.888217522659</v>
      </c>
      <c r="G51" s="794">
        <f>IF(B54&lt;32,C35*B58,C28*B58)</f>
        <v>271.17824773413901</v>
      </c>
      <c r="H51" s="796">
        <f>IF(B54&lt;32,D35*B55,D28*B55)</f>
        <v>564.65256797583095</v>
      </c>
      <c r="I51" s="792">
        <f>IF(B54&lt;32,D35*B56,D28*B56)</f>
        <v>259.740181268882</v>
      </c>
      <c r="J51" s="794">
        <f>IF(B54&lt;32,D35*B57,D28*B57)</f>
        <v>367.02416918428997</v>
      </c>
      <c r="K51" s="800">
        <f>IF(B54&lt;32,D35*B58,D28*B58)</f>
        <v>677.58308157099702</v>
      </c>
    </row>
    <row r="52" spans="1:19" ht="13.5" customHeight="1">
      <c r="A52" s="776"/>
      <c r="B52" s="91">
        <f>VLOOKUP(C47,弟子基础属性!C:P,12,0)</f>
        <v>6.5</v>
      </c>
      <c r="C52" s="788"/>
      <c r="D52" s="790" t="s">
        <v>398</v>
      </c>
      <c r="E52" s="792" t="s">
        <v>12</v>
      </c>
      <c r="F52" s="792"/>
      <c r="G52" s="794"/>
      <c r="H52" s="796"/>
      <c r="I52" s="792"/>
      <c r="J52" s="794"/>
      <c r="K52" s="800"/>
    </row>
    <row r="53" spans="1:19" ht="13.5" customHeight="1">
      <c r="A53" s="776"/>
      <c r="B53" s="91">
        <f>VLOOKUP(C47,弟子基础属性!C:P,13,0)</f>
        <v>12</v>
      </c>
      <c r="C53" s="787" t="s">
        <v>540</v>
      </c>
      <c r="D53" s="790">
        <f>IF(B54&lt;32,C36*B55,C29*B55)</f>
        <v>360.42296072507497</v>
      </c>
      <c r="E53" s="792">
        <f>IF(B54&lt;32,C36*B56,C29*B56)</f>
        <v>165.79456193353499</v>
      </c>
      <c r="F53" s="792">
        <f>IF(B54&lt;32,C36*B57,C29*B57)</f>
        <v>234.27492447129899</v>
      </c>
      <c r="G53" s="794">
        <f>IF(B54&lt;32,C36*B58,C29*B58)</f>
        <v>432.50755287009099</v>
      </c>
      <c r="H53" s="796">
        <f>IF(B54&lt;32,D36*B55,D29*B55)</f>
        <v>1061.9335347432</v>
      </c>
      <c r="I53" s="792">
        <f>IF(B54&lt;32,D36*B56,D29*B56)</f>
        <v>488.48942598187301</v>
      </c>
      <c r="J53" s="794">
        <f>IF(B54&lt;32,D36*B57,D29*B57)</f>
        <v>690.25679758308195</v>
      </c>
      <c r="K53" s="800">
        <f>IF(B54&lt;32,D36*B58,D29*B58)</f>
        <v>1274.32024169184</v>
      </c>
    </row>
    <row r="54" spans="1:19" ht="13.5" customHeight="1">
      <c r="A54" s="776"/>
      <c r="B54" s="92">
        <f>VLOOKUP(C47,弟子基础属性!C:P,14,0)</f>
        <v>33.1</v>
      </c>
      <c r="C54" s="788"/>
      <c r="D54" s="790"/>
      <c r="E54" s="792" t="s">
        <v>30</v>
      </c>
      <c r="F54" s="792"/>
      <c r="G54" s="794"/>
      <c r="H54" s="796"/>
      <c r="I54" s="792"/>
      <c r="J54" s="794"/>
      <c r="K54" s="800"/>
      <c r="L54" s="119" t="s">
        <v>528</v>
      </c>
      <c r="M54" s="764" t="s">
        <v>541</v>
      </c>
      <c r="N54" s="764"/>
      <c r="O54" s="764"/>
      <c r="P54" s="764"/>
      <c r="Q54" s="764"/>
      <c r="R54" s="764"/>
      <c r="S54" s="764"/>
    </row>
    <row r="55" spans="1:19" ht="13.5" customHeight="1">
      <c r="A55" s="776"/>
      <c r="B55" s="93">
        <f>B50/B54</f>
        <v>0.30211480362537801</v>
      </c>
      <c r="C55" s="787" t="s">
        <v>542</v>
      </c>
      <c r="D55" s="790">
        <f>IF(B54&lt;32,C37*B55,C30*B55)</f>
        <v>511.78247734139001</v>
      </c>
      <c r="E55" s="792">
        <f>IF(B54&lt;32,C37*B56,C30*B56)</f>
        <v>235.419939577039</v>
      </c>
      <c r="F55" s="792">
        <f>IF(B54&lt;32,C37*B57,C30*B57)</f>
        <v>332.658610271903</v>
      </c>
      <c r="G55" s="794">
        <f>IF(B54&lt;32,C37*B58,C30*B58)</f>
        <v>614.13897280966796</v>
      </c>
      <c r="H55" s="796">
        <f>IF(B54&lt;32,D37*B55,D30*B55)</f>
        <v>1723.2628398791501</v>
      </c>
      <c r="I55" s="792">
        <f>IF(B54&lt;32,D37*B56,D30*B56)</f>
        <v>792.70090634441101</v>
      </c>
      <c r="J55" s="794">
        <f>IF(B54&lt;32,D37*B57,D30*B57)</f>
        <v>1120.1208459214499</v>
      </c>
      <c r="K55" s="800">
        <f>IF(B54&lt;32,D37*B58,D30*B58)</f>
        <v>2067.91540785498</v>
      </c>
      <c r="L55" s="121"/>
      <c r="M55" s="764" t="s">
        <v>543</v>
      </c>
      <c r="N55" s="764"/>
      <c r="O55" s="764"/>
      <c r="P55" s="764"/>
      <c r="Q55" s="764"/>
      <c r="R55" s="764"/>
      <c r="S55" s="764"/>
    </row>
    <row r="56" spans="1:19" ht="13.5" customHeight="1">
      <c r="A56" s="776"/>
      <c r="B56" s="93">
        <f>B51/B54</f>
        <v>0.138972809667674</v>
      </c>
      <c r="C56" s="788"/>
      <c r="D56" s="790"/>
      <c r="E56" s="792"/>
      <c r="F56" s="792"/>
      <c r="G56" s="794"/>
      <c r="H56" s="796"/>
      <c r="I56" s="792"/>
      <c r="J56" s="794"/>
      <c r="K56" s="800"/>
      <c r="M56" s="769" t="s">
        <v>544</v>
      </c>
      <c r="N56" s="769"/>
      <c r="O56" s="769"/>
      <c r="P56" s="769"/>
      <c r="Q56" s="769"/>
      <c r="R56" s="769"/>
      <c r="S56" s="769"/>
    </row>
    <row r="57" spans="1:19" ht="13.5" customHeight="1">
      <c r="A57" s="776"/>
      <c r="B57" s="93">
        <f>B52/B54</f>
        <v>0.196374622356495</v>
      </c>
      <c r="C57" s="787" t="s">
        <v>545</v>
      </c>
      <c r="D57" s="790">
        <f>IF(B54&lt;32,C38*B55,C31*B55)</f>
        <v>677.34138972809706</v>
      </c>
      <c r="E57" s="792">
        <f>IF(B54&lt;32,C38*B56,C31*B56)</f>
        <v>311.577039274924</v>
      </c>
      <c r="F57" s="792">
        <f>IF(B54&lt;32,C38*B57,C31*B57)</f>
        <v>440.27190332326302</v>
      </c>
      <c r="G57" s="794">
        <f>IF(B54&lt;32,C38*B58,C31*B58)</f>
        <v>812.80966767371604</v>
      </c>
      <c r="H57" s="796">
        <f>IF(B54&lt;32,D38*B55,D31*B55)</f>
        <v>2508.1570996978799</v>
      </c>
      <c r="I57" s="792">
        <f>IF(B54&lt;32,D38*B56,D31*B56)</f>
        <v>1153.7522658610301</v>
      </c>
      <c r="J57" s="794">
        <f>IF(B54&lt;32,D38*B57,D31*B57)</f>
        <v>1630.30211480363</v>
      </c>
      <c r="K57" s="800">
        <f>IF(B54&lt;32,D38*B58,D31*B58)</f>
        <v>3009.78851963746</v>
      </c>
      <c r="M57" s="764" t="s">
        <v>546</v>
      </c>
      <c r="N57" s="764"/>
      <c r="O57" s="764"/>
      <c r="P57" s="764"/>
      <c r="Q57" s="764"/>
      <c r="R57" s="764"/>
      <c r="S57" s="764"/>
    </row>
    <row r="58" spans="1:19" ht="13.5" customHeight="1">
      <c r="A58" s="777"/>
      <c r="B58" s="94">
        <f>B53/B54</f>
        <v>0.36253776435045298</v>
      </c>
      <c r="C58" s="789"/>
      <c r="D58" s="791"/>
      <c r="E58" s="793"/>
      <c r="F58" s="793"/>
      <c r="G58" s="795"/>
      <c r="H58" s="797"/>
      <c r="I58" s="793"/>
      <c r="J58" s="795"/>
      <c r="K58" s="801"/>
      <c r="M58" s="769"/>
      <c r="N58" s="769"/>
      <c r="O58" s="769"/>
      <c r="P58" s="769"/>
      <c r="Q58" s="769"/>
      <c r="R58" s="769"/>
      <c r="S58" s="769"/>
    </row>
    <row r="59" spans="1:19" ht="14.25" customHeight="1"/>
    <row r="60" spans="1:19" ht="14.25" customHeight="1">
      <c r="A60" s="773" t="s">
        <v>547</v>
      </c>
      <c r="B60" s="756" t="s">
        <v>548</v>
      </c>
      <c r="C60" s="756"/>
      <c r="D60" s="756"/>
      <c r="E60" s="756"/>
      <c r="F60" s="756"/>
      <c r="G60" s="756"/>
      <c r="H60" s="756"/>
      <c r="I60" s="756"/>
      <c r="J60" s="757"/>
    </row>
    <row r="61" spans="1:19" ht="13.5" customHeight="1">
      <c r="A61" s="776"/>
      <c r="B61" s="75" t="s">
        <v>365</v>
      </c>
      <c r="C61" s="76" t="s">
        <v>549</v>
      </c>
      <c r="D61" s="95" t="s">
        <v>550</v>
      </c>
      <c r="E61" s="75" t="s">
        <v>365</v>
      </c>
      <c r="F61" s="76" t="s">
        <v>549</v>
      </c>
      <c r="G61" s="95" t="s">
        <v>550</v>
      </c>
      <c r="H61" s="75" t="s">
        <v>365</v>
      </c>
      <c r="I61" s="76" t="s">
        <v>549</v>
      </c>
      <c r="J61" s="95" t="s">
        <v>550</v>
      </c>
    </row>
    <row r="62" spans="1:19" ht="13.5" customHeight="1">
      <c r="A62" s="776"/>
      <c r="B62" s="89">
        <v>1</v>
      </c>
      <c r="C62" s="7"/>
      <c r="D62" s="96"/>
      <c r="E62" s="89">
        <v>11</v>
      </c>
      <c r="F62" s="7">
        <v>1010</v>
      </c>
      <c r="G62" s="96">
        <v>18</v>
      </c>
      <c r="H62" s="89">
        <v>21</v>
      </c>
      <c r="I62" s="7">
        <v>2940</v>
      </c>
      <c r="J62" s="96">
        <v>23</v>
      </c>
    </row>
    <row r="63" spans="1:19" ht="13.5" customHeight="1">
      <c r="A63" s="776"/>
      <c r="B63" s="89">
        <v>2</v>
      </c>
      <c r="C63" s="7">
        <v>45</v>
      </c>
      <c r="D63" s="96">
        <v>11</v>
      </c>
      <c r="E63" s="89">
        <v>12</v>
      </c>
      <c r="F63" s="7">
        <v>1150</v>
      </c>
      <c r="G63" s="96">
        <v>19</v>
      </c>
      <c r="H63" s="89">
        <v>22</v>
      </c>
      <c r="I63" s="7">
        <v>3680</v>
      </c>
      <c r="J63" s="96">
        <v>24</v>
      </c>
    </row>
    <row r="64" spans="1:19" ht="13.5" customHeight="1">
      <c r="A64" s="776"/>
      <c r="B64" s="89">
        <v>3</v>
      </c>
      <c r="C64" s="7">
        <v>80</v>
      </c>
      <c r="D64" s="96">
        <v>12</v>
      </c>
      <c r="E64" s="89">
        <v>13</v>
      </c>
      <c r="F64" s="7">
        <v>1380</v>
      </c>
      <c r="G64" s="96">
        <v>19</v>
      </c>
      <c r="H64" s="89">
        <v>23</v>
      </c>
      <c r="I64" s="7">
        <v>4390</v>
      </c>
      <c r="J64" s="96">
        <v>24</v>
      </c>
    </row>
    <row r="65" spans="1:11" ht="13.5" customHeight="1">
      <c r="A65" s="776"/>
      <c r="B65" s="89">
        <v>4</v>
      </c>
      <c r="C65" s="7">
        <v>170</v>
      </c>
      <c r="D65" s="96">
        <v>13</v>
      </c>
      <c r="E65" s="89">
        <v>14</v>
      </c>
      <c r="F65" s="7">
        <v>1540</v>
      </c>
      <c r="G65" s="96">
        <v>20</v>
      </c>
      <c r="H65" s="89">
        <v>24</v>
      </c>
      <c r="I65" s="7">
        <v>5110</v>
      </c>
      <c r="J65" s="96">
        <v>25</v>
      </c>
    </row>
    <row r="66" spans="1:11" ht="13.5" customHeight="1">
      <c r="A66" s="776"/>
      <c r="B66" s="89">
        <v>5</v>
      </c>
      <c r="C66" s="7">
        <v>180</v>
      </c>
      <c r="D66" s="96">
        <v>14</v>
      </c>
      <c r="E66" s="89">
        <v>15</v>
      </c>
      <c r="F66" s="7">
        <v>1790</v>
      </c>
      <c r="G66" s="96">
        <v>20</v>
      </c>
      <c r="H66" s="89">
        <v>25</v>
      </c>
      <c r="I66" s="7">
        <v>5750</v>
      </c>
      <c r="J66" s="96">
        <v>25</v>
      </c>
    </row>
    <row r="67" spans="1:11" ht="13.5" customHeight="1">
      <c r="A67" s="776"/>
      <c r="B67" s="89">
        <v>6</v>
      </c>
      <c r="C67" s="7">
        <v>290</v>
      </c>
      <c r="D67" s="96">
        <v>15</v>
      </c>
      <c r="E67" s="89">
        <v>16</v>
      </c>
      <c r="F67" s="7">
        <v>1880</v>
      </c>
      <c r="G67" s="96">
        <v>21</v>
      </c>
      <c r="H67" s="89">
        <v>26</v>
      </c>
      <c r="I67" s="7"/>
      <c r="J67" s="96"/>
    </row>
    <row r="68" spans="1:11" ht="13.5" customHeight="1">
      <c r="A68" s="776"/>
      <c r="B68" s="89">
        <v>7</v>
      </c>
      <c r="C68" s="7">
        <v>330</v>
      </c>
      <c r="D68" s="96">
        <v>16</v>
      </c>
      <c r="E68" s="89">
        <v>17</v>
      </c>
      <c r="F68" s="7">
        <v>2150</v>
      </c>
      <c r="G68" s="96">
        <v>21</v>
      </c>
      <c r="H68" s="89">
        <v>27</v>
      </c>
      <c r="I68" s="7"/>
      <c r="J68" s="96"/>
    </row>
    <row r="69" spans="1:11" ht="13.5" customHeight="1">
      <c r="A69" s="776"/>
      <c r="B69" s="89">
        <v>8</v>
      </c>
      <c r="C69" s="7">
        <v>450</v>
      </c>
      <c r="D69" s="96">
        <v>17</v>
      </c>
      <c r="E69" s="89">
        <v>18</v>
      </c>
      <c r="F69" s="7">
        <v>2250</v>
      </c>
      <c r="G69" s="96">
        <v>22</v>
      </c>
      <c r="H69" s="89">
        <v>28</v>
      </c>
      <c r="I69" s="7"/>
      <c r="J69" s="96"/>
    </row>
    <row r="70" spans="1:11" ht="14.25" customHeight="1">
      <c r="A70" s="776"/>
      <c r="B70" s="89">
        <v>9</v>
      </c>
      <c r="C70" s="7">
        <v>610</v>
      </c>
      <c r="D70" s="96">
        <v>17</v>
      </c>
      <c r="E70" s="89">
        <v>19</v>
      </c>
      <c r="F70" s="7">
        <v>2530</v>
      </c>
      <c r="G70" s="96">
        <v>22</v>
      </c>
      <c r="H70" s="89">
        <v>29</v>
      </c>
      <c r="I70" s="7"/>
      <c r="J70" s="96"/>
    </row>
    <row r="71" spans="1:11">
      <c r="A71" s="777"/>
      <c r="B71" s="122">
        <v>10</v>
      </c>
      <c r="C71" s="63">
        <v>740</v>
      </c>
      <c r="D71" s="115">
        <v>18</v>
      </c>
      <c r="E71" s="122">
        <v>20</v>
      </c>
      <c r="F71" s="63">
        <v>2650</v>
      </c>
      <c r="G71" s="115">
        <v>23</v>
      </c>
      <c r="H71" s="122">
        <v>30</v>
      </c>
      <c r="I71" s="63"/>
      <c r="J71" s="115"/>
    </row>
    <row r="73" spans="1:11" ht="15" customHeight="1">
      <c r="A73" s="778" t="s">
        <v>551</v>
      </c>
      <c r="B73" s="770" t="s">
        <v>552</v>
      </c>
      <c r="C73" s="771"/>
      <c r="D73" s="771"/>
      <c r="E73" s="771"/>
      <c r="F73" s="771"/>
      <c r="G73" s="771"/>
      <c r="H73" s="771"/>
      <c r="I73" s="771"/>
      <c r="J73" s="771"/>
      <c r="K73" s="772"/>
    </row>
    <row r="74" spans="1:11" ht="14.25" customHeight="1">
      <c r="A74" s="779"/>
      <c r="B74" s="107" t="s">
        <v>553</v>
      </c>
      <c r="C74" s="123" t="s">
        <v>554</v>
      </c>
      <c r="D74" s="107" t="s">
        <v>555</v>
      </c>
      <c r="E74" s="124" t="s">
        <v>12</v>
      </c>
      <c r="F74" s="124" t="s">
        <v>20</v>
      </c>
      <c r="G74" s="108" t="s">
        <v>30</v>
      </c>
      <c r="H74" s="125" t="s">
        <v>555</v>
      </c>
      <c r="I74" s="124" t="s">
        <v>12</v>
      </c>
      <c r="J74" s="124" t="s">
        <v>20</v>
      </c>
      <c r="K74" s="108" t="s">
        <v>30</v>
      </c>
    </row>
    <row r="75" spans="1:11" ht="13.5" customHeight="1">
      <c r="A75" s="779"/>
      <c r="B75" s="109" t="s">
        <v>556</v>
      </c>
      <c r="C75" s="10">
        <v>349</v>
      </c>
      <c r="D75" s="126" t="s">
        <v>557</v>
      </c>
      <c r="E75" s="7">
        <v>1684</v>
      </c>
      <c r="F75" s="7">
        <v>1010</v>
      </c>
      <c r="G75" s="96">
        <v>539</v>
      </c>
      <c r="H75" s="127" t="s">
        <v>558</v>
      </c>
      <c r="I75" s="7">
        <v>1347</v>
      </c>
      <c r="J75" s="7">
        <v>842</v>
      </c>
      <c r="K75" s="96">
        <v>471</v>
      </c>
    </row>
    <row r="76" spans="1:11" ht="13.5" customHeight="1">
      <c r="A76" s="779"/>
      <c r="B76" s="109" t="s">
        <v>559</v>
      </c>
      <c r="C76" s="10">
        <v>478</v>
      </c>
      <c r="D76" s="109" t="s">
        <v>557</v>
      </c>
      <c r="E76" s="7">
        <v>2614</v>
      </c>
      <c r="F76" s="7">
        <v>1762</v>
      </c>
      <c r="G76" s="96">
        <v>836</v>
      </c>
      <c r="H76" s="127" t="s">
        <v>558</v>
      </c>
      <c r="I76" s="7">
        <v>2091</v>
      </c>
      <c r="J76" s="7">
        <v>1295</v>
      </c>
      <c r="K76" s="96">
        <v>732</v>
      </c>
    </row>
    <row r="77" spans="1:11" ht="13.5" customHeight="1">
      <c r="A77" s="779"/>
      <c r="B77" s="109" t="s">
        <v>560</v>
      </c>
      <c r="C77" s="10">
        <v>690</v>
      </c>
      <c r="D77" s="109" t="s">
        <v>557</v>
      </c>
      <c r="E77" s="7">
        <v>3545</v>
      </c>
      <c r="F77" s="7">
        <v>2127</v>
      </c>
      <c r="G77" s="96">
        <v>1134</v>
      </c>
      <c r="H77" s="127" t="s">
        <v>558</v>
      </c>
      <c r="I77" s="7">
        <v>2836</v>
      </c>
      <c r="J77" s="7">
        <v>1772</v>
      </c>
      <c r="K77" s="96">
        <v>992</v>
      </c>
    </row>
    <row r="78" spans="1:11" ht="13.5" customHeight="1">
      <c r="A78" s="779"/>
      <c r="B78" s="109" t="s">
        <v>561</v>
      </c>
      <c r="C78" s="10">
        <v>919</v>
      </c>
      <c r="D78" s="109" t="s">
        <v>557</v>
      </c>
      <c r="E78" s="7">
        <v>4415</v>
      </c>
      <c r="F78" s="7">
        <v>2670</v>
      </c>
      <c r="G78" s="96">
        <v>1412</v>
      </c>
      <c r="H78" s="127" t="s">
        <v>562</v>
      </c>
      <c r="I78" s="7">
        <v>3532</v>
      </c>
      <c r="J78" s="7">
        <v>2222</v>
      </c>
      <c r="K78" s="96">
        <v>1236</v>
      </c>
    </row>
    <row r="79" spans="1:11" ht="13.5" customHeight="1">
      <c r="A79" s="779"/>
      <c r="B79" s="109" t="s">
        <v>563</v>
      </c>
      <c r="C79" s="10">
        <v>1260</v>
      </c>
      <c r="D79" s="109" t="s">
        <v>557</v>
      </c>
      <c r="E79" s="7">
        <v>5678</v>
      </c>
      <c r="F79" s="7">
        <v>3390</v>
      </c>
      <c r="G79" s="96">
        <v>1817</v>
      </c>
      <c r="H79" s="127" t="s">
        <v>562</v>
      </c>
      <c r="I79" s="7">
        <v>4542</v>
      </c>
      <c r="J79" s="7">
        <v>2830</v>
      </c>
      <c r="K79" s="96">
        <v>1589</v>
      </c>
    </row>
    <row r="80" spans="1:11" ht="13.5" customHeight="1">
      <c r="A80" s="779"/>
      <c r="B80" s="109" t="s">
        <v>564</v>
      </c>
      <c r="C80" s="10">
        <v>1812</v>
      </c>
      <c r="D80" s="109" t="s">
        <v>565</v>
      </c>
      <c r="E80" s="7">
        <v>6149</v>
      </c>
      <c r="F80" s="7">
        <v>3650</v>
      </c>
      <c r="G80" s="96">
        <v>1967</v>
      </c>
      <c r="H80" s="127" t="s">
        <v>566</v>
      </c>
      <c r="I80" s="7">
        <v>4918</v>
      </c>
      <c r="J80" s="7">
        <v>3050</v>
      </c>
      <c r="K80" s="96">
        <v>1721</v>
      </c>
    </row>
    <row r="81" spans="1:11" ht="13.5" customHeight="1">
      <c r="A81" s="779"/>
      <c r="B81" s="109" t="s">
        <v>567</v>
      </c>
      <c r="C81" s="10">
        <v>2407</v>
      </c>
      <c r="D81" s="109" t="s">
        <v>565</v>
      </c>
      <c r="E81" s="7">
        <v>6965</v>
      </c>
      <c r="F81" s="7">
        <v>4100</v>
      </c>
      <c r="G81" s="96">
        <v>2226</v>
      </c>
      <c r="H81" s="127" t="s">
        <v>566</v>
      </c>
      <c r="I81" s="7">
        <v>5572</v>
      </c>
      <c r="J81" s="7">
        <v>3460</v>
      </c>
      <c r="K81" s="96">
        <v>1950</v>
      </c>
    </row>
    <row r="82" spans="1:11" ht="13.5" customHeight="1">
      <c r="A82" s="779"/>
      <c r="B82" s="109" t="s">
        <v>568</v>
      </c>
      <c r="C82" s="10">
        <v>3292</v>
      </c>
      <c r="D82" s="109" t="s">
        <v>565</v>
      </c>
      <c r="E82" s="7">
        <v>7459</v>
      </c>
      <c r="F82" s="7">
        <v>4474</v>
      </c>
      <c r="G82" s="96">
        <v>2387</v>
      </c>
      <c r="H82" s="127" t="s">
        <v>566</v>
      </c>
      <c r="I82" s="7">
        <v>5967</v>
      </c>
      <c r="J82" s="7">
        <v>3728</v>
      </c>
      <c r="K82" s="96">
        <v>2088</v>
      </c>
    </row>
    <row r="83" spans="1:11" ht="13.5" customHeight="1">
      <c r="A83" s="779"/>
      <c r="B83" s="109" t="s">
        <v>569</v>
      </c>
      <c r="C83" s="10">
        <v>4383</v>
      </c>
      <c r="D83" s="109" t="s">
        <v>565</v>
      </c>
      <c r="E83" s="7">
        <v>9230</v>
      </c>
      <c r="F83" s="7">
        <v>5537</v>
      </c>
      <c r="G83" s="96">
        <v>2954</v>
      </c>
      <c r="H83" s="127" t="s">
        <v>566</v>
      </c>
      <c r="I83" s="7">
        <v>7384</v>
      </c>
      <c r="J83" s="7">
        <v>4614</v>
      </c>
      <c r="K83" s="96">
        <v>2583</v>
      </c>
    </row>
    <row r="84" spans="1:11" ht="14.25" customHeight="1">
      <c r="A84" s="779"/>
      <c r="B84" s="109" t="s">
        <v>570</v>
      </c>
      <c r="C84" s="10">
        <v>4299</v>
      </c>
      <c r="D84" s="109" t="s">
        <v>571</v>
      </c>
      <c r="E84" s="7">
        <v>11670</v>
      </c>
      <c r="F84" s="7">
        <v>6235</v>
      </c>
      <c r="G84" s="96">
        <v>3734</v>
      </c>
      <c r="H84" s="127" t="s">
        <v>572</v>
      </c>
      <c r="I84" s="7">
        <v>9336</v>
      </c>
      <c r="J84" s="7">
        <v>5367</v>
      </c>
      <c r="K84" s="96">
        <v>3266</v>
      </c>
    </row>
    <row r="85" spans="1:11" ht="13.5" customHeight="1">
      <c r="A85" s="779"/>
      <c r="B85" s="109" t="s">
        <v>573</v>
      </c>
      <c r="C85" s="10">
        <v>4686</v>
      </c>
      <c r="D85" s="109" t="s">
        <v>571</v>
      </c>
      <c r="E85" s="7">
        <v>15529</v>
      </c>
      <c r="F85" s="7">
        <v>7599</v>
      </c>
      <c r="G85" s="96">
        <v>4969</v>
      </c>
      <c r="H85" s="127" t="s">
        <v>572</v>
      </c>
      <c r="I85" s="7">
        <v>12423</v>
      </c>
      <c r="J85" s="7">
        <v>6470</v>
      </c>
      <c r="K85" s="96">
        <v>4380</v>
      </c>
    </row>
    <row r="86" spans="1:11" ht="13.5" customHeight="1">
      <c r="A86" s="779"/>
      <c r="B86" s="109" t="s">
        <v>574</v>
      </c>
      <c r="C86" s="10">
        <v>5361</v>
      </c>
      <c r="D86" s="109" t="s">
        <v>571</v>
      </c>
      <c r="E86" s="7">
        <v>32775</v>
      </c>
      <c r="F86" s="7">
        <v>8214</v>
      </c>
      <c r="G86" s="96">
        <v>10488</v>
      </c>
      <c r="H86" s="127" t="s">
        <v>572</v>
      </c>
      <c r="I86" s="7">
        <v>26220</v>
      </c>
      <c r="J86" s="7">
        <v>7374</v>
      </c>
      <c r="K86" s="96">
        <v>9177</v>
      </c>
    </row>
    <row r="87" spans="1:11" ht="13.5" customHeight="1">
      <c r="A87" s="779"/>
      <c r="B87" s="109" t="s">
        <v>575</v>
      </c>
      <c r="C87" s="10">
        <v>5256</v>
      </c>
      <c r="D87" s="109" t="s">
        <v>576</v>
      </c>
      <c r="E87" s="7">
        <v>60099</v>
      </c>
      <c r="F87" s="7">
        <v>10457</v>
      </c>
      <c r="G87" s="96">
        <v>19231</v>
      </c>
      <c r="H87" s="127" t="s">
        <v>577</v>
      </c>
      <c r="I87" s="7">
        <v>48079</v>
      </c>
      <c r="J87" s="7">
        <v>8714</v>
      </c>
      <c r="K87" s="96">
        <v>12343</v>
      </c>
    </row>
    <row r="88" spans="1:11" ht="13.5" customHeight="1">
      <c r="A88" s="779"/>
      <c r="B88" s="109" t="s">
        <v>578</v>
      </c>
      <c r="C88" s="10">
        <v>5728</v>
      </c>
      <c r="D88" s="109" t="s">
        <v>576</v>
      </c>
      <c r="E88" s="7">
        <v>75706</v>
      </c>
      <c r="F88" s="7">
        <v>11743</v>
      </c>
      <c r="G88" s="96">
        <v>24225</v>
      </c>
      <c r="H88" s="127" t="s">
        <v>577</v>
      </c>
      <c r="I88" s="7">
        <v>60565</v>
      </c>
      <c r="J88" s="7">
        <v>9778</v>
      </c>
      <c r="K88" s="96">
        <v>21172</v>
      </c>
    </row>
    <row r="89" spans="1:11" ht="13.5" customHeight="1">
      <c r="A89" s="779"/>
      <c r="B89" s="109" t="s">
        <v>579</v>
      </c>
      <c r="C89" s="10">
        <v>6550</v>
      </c>
      <c r="D89" s="109" t="s">
        <v>576</v>
      </c>
      <c r="E89" s="7">
        <v>96532</v>
      </c>
      <c r="F89" s="7">
        <v>24822</v>
      </c>
      <c r="G89" s="96">
        <v>30891</v>
      </c>
      <c r="H89" s="127" t="s">
        <v>577</v>
      </c>
      <c r="I89" s="7">
        <v>77226</v>
      </c>
      <c r="J89" s="7">
        <v>20685</v>
      </c>
      <c r="K89" s="96">
        <v>27028</v>
      </c>
    </row>
    <row r="90" spans="1:11" ht="13.5" customHeight="1">
      <c r="A90" s="779"/>
      <c r="B90" s="109" t="s">
        <v>580</v>
      </c>
      <c r="C90" s="10">
        <v>6421</v>
      </c>
      <c r="D90" s="109" t="s">
        <v>576</v>
      </c>
      <c r="E90" s="7">
        <v>72072</v>
      </c>
      <c r="F90" s="7">
        <v>43243</v>
      </c>
      <c r="G90" s="96">
        <v>23063</v>
      </c>
      <c r="H90" s="127" t="s">
        <v>577</v>
      </c>
      <c r="I90" s="7">
        <v>57657</v>
      </c>
      <c r="J90" s="7">
        <v>36039</v>
      </c>
      <c r="K90" s="96">
        <v>20179</v>
      </c>
    </row>
    <row r="91" spans="1:11" ht="13.5" customHeight="1">
      <c r="A91" s="779"/>
      <c r="B91" s="109" t="s">
        <v>581</v>
      </c>
      <c r="C91" s="10">
        <v>6999</v>
      </c>
      <c r="D91" s="109" t="s">
        <v>582</v>
      </c>
      <c r="E91" s="7">
        <v>86157</v>
      </c>
      <c r="F91" s="7">
        <v>51694</v>
      </c>
      <c r="G91" s="96">
        <v>27572</v>
      </c>
      <c r="H91" s="127">
        <v>8</v>
      </c>
      <c r="I91" s="7">
        <v>68926</v>
      </c>
      <c r="J91" s="7">
        <v>43078</v>
      </c>
      <c r="K91" s="96">
        <v>24124</v>
      </c>
    </row>
    <row r="92" spans="1:11" ht="13.5" customHeight="1">
      <c r="A92" s="779"/>
      <c r="B92" s="109" t="s">
        <v>583</v>
      </c>
      <c r="C92" s="10">
        <v>8001</v>
      </c>
      <c r="D92" s="109" t="s">
        <v>582</v>
      </c>
      <c r="E92" s="7">
        <v>97890</v>
      </c>
      <c r="F92" s="7">
        <v>58734</v>
      </c>
      <c r="G92" s="96">
        <v>31324</v>
      </c>
      <c r="H92" s="127">
        <v>8</v>
      </c>
      <c r="I92" s="7">
        <v>78312</v>
      </c>
      <c r="J92" s="7">
        <v>48945</v>
      </c>
      <c r="K92" s="96">
        <v>27408</v>
      </c>
    </row>
    <row r="93" spans="1:11" ht="13.5" customHeight="1">
      <c r="A93" s="779"/>
      <c r="B93" s="109" t="s">
        <v>584</v>
      </c>
      <c r="C93" s="10">
        <v>7842</v>
      </c>
      <c r="D93" s="109" t="s">
        <v>582</v>
      </c>
      <c r="E93" s="7">
        <v>110272</v>
      </c>
      <c r="F93" s="7">
        <v>66163</v>
      </c>
      <c r="G93" s="96">
        <v>35288</v>
      </c>
      <c r="H93" s="127">
        <v>8</v>
      </c>
      <c r="I93" s="7">
        <v>88218</v>
      </c>
      <c r="J93" s="7">
        <v>55136</v>
      </c>
      <c r="K93" s="96">
        <v>30875</v>
      </c>
    </row>
    <row r="94" spans="1:11" ht="14.25" customHeight="1">
      <c r="A94" s="779"/>
      <c r="B94" s="128" t="s">
        <v>585</v>
      </c>
      <c r="C94" s="104">
        <v>8544</v>
      </c>
      <c r="D94" s="109" t="s">
        <v>582</v>
      </c>
      <c r="E94" s="61">
        <v>123305</v>
      </c>
      <c r="F94" s="61">
        <v>73983</v>
      </c>
      <c r="G94" s="129">
        <v>39456</v>
      </c>
      <c r="H94" s="130">
        <v>8</v>
      </c>
      <c r="I94" s="61">
        <v>98644</v>
      </c>
      <c r="J94" s="61">
        <v>61652</v>
      </c>
      <c r="K94" s="129">
        <v>34525</v>
      </c>
    </row>
    <row r="95" spans="1:11">
      <c r="A95" s="780"/>
      <c r="B95" s="114" t="s">
        <v>586</v>
      </c>
      <c r="C95" s="105">
        <v>9768</v>
      </c>
      <c r="D95" s="114" t="s">
        <v>582</v>
      </c>
      <c r="E95" s="63">
        <v>136987</v>
      </c>
      <c r="F95" s="63">
        <v>82192</v>
      </c>
      <c r="G95" s="115">
        <v>43835</v>
      </c>
      <c r="H95" s="131">
        <v>8</v>
      </c>
      <c r="I95" s="63">
        <v>109590</v>
      </c>
      <c r="J95" s="63">
        <v>68493</v>
      </c>
      <c r="K95" s="115">
        <v>38355</v>
      </c>
    </row>
    <row r="97" spans="1:11" ht="15" customHeight="1">
      <c r="A97" s="778" t="s">
        <v>587</v>
      </c>
      <c r="B97" s="771" t="s">
        <v>588</v>
      </c>
      <c r="C97" s="771"/>
      <c r="D97" s="771"/>
      <c r="E97" s="771"/>
      <c r="F97" s="771"/>
      <c r="G97" s="771"/>
      <c r="H97" s="771"/>
      <c r="I97" s="771"/>
      <c r="J97" s="771"/>
      <c r="K97" s="772"/>
    </row>
    <row r="98" spans="1:11" ht="14.25" customHeight="1">
      <c r="A98" s="779"/>
      <c r="B98" s="107" t="s">
        <v>589</v>
      </c>
      <c r="C98" s="123" t="s">
        <v>554</v>
      </c>
      <c r="D98" s="107" t="s">
        <v>555</v>
      </c>
      <c r="E98" s="124" t="s">
        <v>12</v>
      </c>
      <c r="F98" s="124" t="s">
        <v>20</v>
      </c>
      <c r="G98" s="108" t="s">
        <v>30</v>
      </c>
      <c r="H98" s="125" t="s">
        <v>555</v>
      </c>
      <c r="I98" s="124" t="s">
        <v>12</v>
      </c>
      <c r="J98" s="124" t="s">
        <v>20</v>
      </c>
      <c r="K98" s="108" t="s">
        <v>30</v>
      </c>
    </row>
    <row r="99" spans="1:11" ht="13.5" customHeight="1">
      <c r="A99" s="779"/>
      <c r="B99" s="109" t="s">
        <v>590</v>
      </c>
      <c r="C99" s="10">
        <v>288</v>
      </c>
      <c r="D99" s="109" t="s">
        <v>565</v>
      </c>
      <c r="E99" s="7">
        <v>1568</v>
      </c>
      <c r="F99" s="7">
        <v>940</v>
      </c>
      <c r="G99" s="96">
        <v>501</v>
      </c>
      <c r="H99" s="127" t="s">
        <v>591</v>
      </c>
      <c r="I99" s="7">
        <v>1254</v>
      </c>
      <c r="J99" s="7">
        <v>784</v>
      </c>
      <c r="K99" s="96">
        <v>439</v>
      </c>
    </row>
    <row r="100" spans="1:11" ht="13.5" customHeight="1">
      <c r="A100" s="779"/>
      <c r="B100" s="109" t="s">
        <v>592</v>
      </c>
      <c r="C100" s="10">
        <v>394</v>
      </c>
      <c r="D100" s="109" t="s">
        <v>565</v>
      </c>
      <c r="E100" s="7">
        <v>1853</v>
      </c>
      <c r="F100" s="7">
        <v>1222</v>
      </c>
      <c r="G100" s="96">
        <v>592</v>
      </c>
      <c r="H100" s="127" t="s">
        <v>566</v>
      </c>
      <c r="I100" s="7">
        <v>1482</v>
      </c>
      <c r="J100" s="7">
        <v>1019</v>
      </c>
      <c r="K100" s="96">
        <v>518</v>
      </c>
    </row>
    <row r="101" spans="1:11" ht="13.5" customHeight="1">
      <c r="A101" s="779"/>
      <c r="B101" s="109" t="s">
        <v>593</v>
      </c>
      <c r="C101" s="10">
        <v>623</v>
      </c>
      <c r="D101" s="109" t="s">
        <v>571</v>
      </c>
      <c r="E101" s="7">
        <v>2196</v>
      </c>
      <c r="F101" s="7">
        <v>1317</v>
      </c>
      <c r="G101" s="96">
        <v>843</v>
      </c>
      <c r="H101" s="127" t="s">
        <v>572</v>
      </c>
      <c r="I101" s="7">
        <v>1756</v>
      </c>
      <c r="J101" s="7">
        <v>1098</v>
      </c>
      <c r="K101" s="96">
        <v>737</v>
      </c>
    </row>
    <row r="102" spans="1:11" ht="13.5" customHeight="1">
      <c r="A102" s="779"/>
      <c r="B102" s="109" t="s">
        <v>594</v>
      </c>
      <c r="C102" s="10">
        <v>913</v>
      </c>
      <c r="D102" s="109" t="s">
        <v>571</v>
      </c>
      <c r="E102" s="7">
        <v>2673</v>
      </c>
      <c r="F102" s="7">
        <v>1606</v>
      </c>
      <c r="G102" s="96">
        <v>777</v>
      </c>
      <c r="H102" s="127" t="s">
        <v>572</v>
      </c>
      <c r="I102" s="7">
        <v>2138</v>
      </c>
      <c r="J102" s="7">
        <v>1336</v>
      </c>
      <c r="K102" s="96">
        <v>680</v>
      </c>
    </row>
    <row r="103" spans="1:11" ht="13.5" customHeight="1">
      <c r="A103" s="779"/>
      <c r="B103" s="109" t="s">
        <v>595</v>
      </c>
      <c r="C103" s="10">
        <v>1375</v>
      </c>
      <c r="D103" s="109" t="s">
        <v>576</v>
      </c>
      <c r="E103" s="7">
        <v>2664</v>
      </c>
      <c r="F103" s="7">
        <v>1758</v>
      </c>
      <c r="G103" s="96">
        <v>1022</v>
      </c>
      <c r="H103" s="127" t="s">
        <v>577</v>
      </c>
      <c r="I103" s="7">
        <v>2131</v>
      </c>
      <c r="J103" s="7">
        <v>1465</v>
      </c>
      <c r="K103" s="96">
        <v>894</v>
      </c>
    </row>
    <row r="104" spans="1:11" ht="13.5" customHeight="1">
      <c r="A104" s="779"/>
      <c r="B104" s="109" t="s">
        <v>596</v>
      </c>
      <c r="C104" s="10">
        <v>2015</v>
      </c>
      <c r="D104" s="109" t="s">
        <v>576</v>
      </c>
      <c r="E104" s="7">
        <v>2898</v>
      </c>
      <c r="F104" s="7">
        <v>2434</v>
      </c>
      <c r="G104" s="96">
        <v>1020</v>
      </c>
      <c r="H104" s="127" t="s">
        <v>577</v>
      </c>
      <c r="I104" s="7">
        <v>2318</v>
      </c>
      <c r="J104" s="7">
        <v>2028</v>
      </c>
      <c r="K104" s="96">
        <v>892</v>
      </c>
    </row>
    <row r="105" spans="1:11" ht="13.5" customHeight="1">
      <c r="A105" s="779"/>
      <c r="B105" s="109" t="s">
        <v>597</v>
      </c>
      <c r="C105" s="10">
        <v>2016</v>
      </c>
      <c r="D105" s="109" t="s">
        <v>582</v>
      </c>
      <c r="E105" s="7">
        <v>3132</v>
      </c>
      <c r="F105" s="7">
        <v>1503</v>
      </c>
      <c r="G105" s="96">
        <v>1804</v>
      </c>
      <c r="H105" s="127">
        <v>8</v>
      </c>
      <c r="I105" s="7">
        <v>2505</v>
      </c>
      <c r="J105" s="7">
        <v>1252</v>
      </c>
      <c r="K105" s="96">
        <v>1587</v>
      </c>
    </row>
    <row r="106" spans="1:11" ht="13.5" customHeight="1">
      <c r="A106" s="779"/>
      <c r="B106" s="109" t="s">
        <v>598</v>
      </c>
      <c r="C106" s="10">
        <v>2242</v>
      </c>
      <c r="D106" s="109" t="s">
        <v>582</v>
      </c>
      <c r="E106" s="7">
        <v>4039</v>
      </c>
      <c r="F106" s="7">
        <v>3231</v>
      </c>
      <c r="G106" s="96">
        <v>1077</v>
      </c>
      <c r="H106" s="127">
        <v>8</v>
      </c>
      <c r="I106" s="7">
        <v>3231</v>
      </c>
      <c r="J106" s="7">
        <v>2692</v>
      </c>
      <c r="K106" s="96">
        <v>942</v>
      </c>
    </row>
    <row r="107" spans="1:11" ht="13.5" customHeight="1">
      <c r="A107" s="779"/>
      <c r="B107" s="109" t="s">
        <v>599</v>
      </c>
      <c r="C107" s="10">
        <v>2670</v>
      </c>
      <c r="D107" s="109" t="s">
        <v>600</v>
      </c>
      <c r="E107" s="7">
        <v>4384</v>
      </c>
      <c r="F107" s="7">
        <v>3288</v>
      </c>
      <c r="G107" s="96">
        <v>1636</v>
      </c>
      <c r="H107" s="127"/>
      <c r="I107" s="7"/>
      <c r="J107" s="7"/>
      <c r="K107" s="96"/>
    </row>
    <row r="108" spans="1:11" ht="13.5" customHeight="1">
      <c r="A108" s="779"/>
      <c r="B108" s="109" t="s">
        <v>601</v>
      </c>
      <c r="C108" s="10">
        <v>2796</v>
      </c>
      <c r="D108" s="109" t="s">
        <v>600</v>
      </c>
      <c r="E108" s="7">
        <v>5544</v>
      </c>
      <c r="F108" s="7">
        <v>3801</v>
      </c>
      <c r="G108" s="96">
        <v>1900</v>
      </c>
      <c r="H108" s="127"/>
      <c r="I108" s="7"/>
      <c r="J108" s="7"/>
      <c r="K108" s="96"/>
    </row>
    <row r="109" spans="1:11" ht="13.5" customHeight="1">
      <c r="A109" s="779"/>
      <c r="B109" s="109" t="s">
        <v>602</v>
      </c>
      <c r="C109" s="10">
        <v>3072</v>
      </c>
      <c r="D109" s="109" t="s">
        <v>600</v>
      </c>
      <c r="E109" s="7">
        <v>8532</v>
      </c>
      <c r="F109" s="7">
        <v>5887</v>
      </c>
      <c r="G109" s="96">
        <v>3139</v>
      </c>
      <c r="H109" s="127"/>
      <c r="I109" s="7"/>
      <c r="J109" s="7"/>
      <c r="K109" s="96"/>
    </row>
    <row r="110" spans="1:11" ht="13.5" customHeight="1">
      <c r="A110" s="779"/>
      <c r="B110" s="109" t="s">
        <v>603</v>
      </c>
      <c r="C110" s="10">
        <v>3751</v>
      </c>
      <c r="D110" s="109" t="s">
        <v>600</v>
      </c>
      <c r="E110" s="7">
        <v>9144</v>
      </c>
      <c r="F110" s="7">
        <v>8229</v>
      </c>
      <c r="G110" s="96">
        <v>4390</v>
      </c>
      <c r="H110" s="127"/>
      <c r="I110" s="7"/>
      <c r="J110" s="7"/>
      <c r="K110" s="96"/>
    </row>
    <row r="111" spans="1:11" ht="13.5" customHeight="1">
      <c r="A111" s="779"/>
      <c r="B111" s="109" t="s">
        <v>604</v>
      </c>
      <c r="C111" s="10">
        <v>3788</v>
      </c>
      <c r="D111" s="109" t="s">
        <v>600</v>
      </c>
      <c r="E111" s="7">
        <v>14634</v>
      </c>
      <c r="F111" s="7">
        <v>9660</v>
      </c>
      <c r="G111" s="96">
        <v>5140</v>
      </c>
      <c r="H111" s="127"/>
      <c r="I111" s="7"/>
      <c r="J111" s="7"/>
      <c r="K111" s="96"/>
    </row>
    <row r="112" spans="1:11" ht="13.5" customHeight="1">
      <c r="A112" s="779"/>
      <c r="B112" s="109" t="s">
        <v>605</v>
      </c>
      <c r="C112" s="10">
        <v>3825</v>
      </c>
      <c r="D112" s="109" t="s">
        <v>600</v>
      </c>
      <c r="E112" s="7">
        <v>18144</v>
      </c>
      <c r="F112" s="7">
        <v>12441</v>
      </c>
      <c r="G112" s="96">
        <v>6637</v>
      </c>
      <c r="H112" s="127"/>
      <c r="I112" s="7"/>
      <c r="J112" s="7"/>
      <c r="K112" s="96"/>
    </row>
    <row r="113" spans="1:11" ht="13.5" customHeight="1">
      <c r="A113" s="779"/>
      <c r="B113" s="109" t="s">
        <v>606</v>
      </c>
      <c r="C113" s="10">
        <v>3845</v>
      </c>
      <c r="D113" s="109" t="s">
        <v>600</v>
      </c>
      <c r="E113" s="7">
        <v>21960</v>
      </c>
      <c r="F113" s="7">
        <v>16470</v>
      </c>
      <c r="G113" s="96">
        <v>8784</v>
      </c>
      <c r="H113" s="127"/>
      <c r="I113" s="7"/>
      <c r="J113" s="7"/>
      <c r="K113" s="96"/>
    </row>
    <row r="114" spans="1:11" ht="13.5" customHeight="1">
      <c r="A114" s="779"/>
      <c r="B114" s="109" t="s">
        <v>607</v>
      </c>
      <c r="C114" s="10">
        <v>3882</v>
      </c>
      <c r="D114" s="109" t="s">
        <v>600</v>
      </c>
      <c r="E114" s="7">
        <v>26082</v>
      </c>
      <c r="F114" s="7">
        <v>20865</v>
      </c>
      <c r="G114" s="96">
        <v>11128</v>
      </c>
      <c r="H114" s="127"/>
      <c r="I114" s="7"/>
      <c r="J114" s="7"/>
      <c r="K114" s="96"/>
    </row>
    <row r="115" spans="1:11" ht="13.5" customHeight="1">
      <c r="A115" s="779"/>
      <c r="B115" s="109" t="s">
        <v>608</v>
      </c>
      <c r="C115" s="10">
        <v>3919</v>
      </c>
      <c r="D115" s="109" t="s">
        <v>600</v>
      </c>
      <c r="E115" s="7">
        <v>30330</v>
      </c>
      <c r="F115" s="7">
        <v>25477</v>
      </c>
      <c r="G115" s="96">
        <v>13588</v>
      </c>
      <c r="H115" s="127"/>
      <c r="I115" s="7"/>
      <c r="J115" s="7"/>
      <c r="K115" s="96"/>
    </row>
    <row r="116" spans="1:11" ht="13.5" customHeight="1">
      <c r="A116" s="779"/>
      <c r="B116" s="109" t="s">
        <v>609</v>
      </c>
      <c r="C116" s="10">
        <v>3956</v>
      </c>
      <c r="D116" s="109" t="s">
        <v>600</v>
      </c>
      <c r="E116" s="7">
        <v>34848</v>
      </c>
      <c r="F116" s="7">
        <v>26611</v>
      </c>
      <c r="G116" s="96">
        <v>14191</v>
      </c>
      <c r="H116" s="127"/>
      <c r="I116" s="7"/>
      <c r="J116" s="7"/>
      <c r="K116" s="96"/>
    </row>
    <row r="117" spans="1:11" ht="13.5" customHeight="1">
      <c r="A117" s="779"/>
      <c r="B117" s="109" t="s">
        <v>610</v>
      </c>
      <c r="C117" s="10">
        <v>3960</v>
      </c>
      <c r="D117" s="109" t="s">
        <v>600</v>
      </c>
      <c r="E117" s="7">
        <v>39340</v>
      </c>
      <c r="F117" s="7">
        <v>31536</v>
      </c>
      <c r="G117" s="96">
        <v>16820</v>
      </c>
      <c r="H117" s="127"/>
      <c r="I117" s="7"/>
      <c r="J117" s="7"/>
      <c r="K117" s="96"/>
    </row>
    <row r="118" spans="1:11" ht="13.5" customHeight="1">
      <c r="A118" s="779"/>
      <c r="B118" s="109" t="s">
        <v>611</v>
      </c>
      <c r="C118" s="10">
        <v>3997</v>
      </c>
      <c r="D118" s="109" t="s">
        <v>600</v>
      </c>
      <c r="E118" s="7">
        <v>44226</v>
      </c>
      <c r="F118" s="7">
        <v>32659</v>
      </c>
      <c r="G118" s="96">
        <v>17418</v>
      </c>
      <c r="H118" s="127"/>
      <c r="I118" s="7"/>
      <c r="J118" s="7"/>
      <c r="K118" s="96"/>
    </row>
    <row r="119" spans="1:11" ht="14.25" customHeight="1">
      <c r="A119" s="779"/>
      <c r="B119" s="109" t="s">
        <v>612</v>
      </c>
      <c r="C119" s="10">
        <v>4005</v>
      </c>
      <c r="D119" s="109" t="s">
        <v>600</v>
      </c>
      <c r="E119" s="7">
        <v>49014</v>
      </c>
      <c r="F119" s="7">
        <v>37810</v>
      </c>
      <c r="G119" s="96">
        <v>20166</v>
      </c>
      <c r="H119" s="127"/>
      <c r="I119" s="7"/>
      <c r="J119" s="7"/>
      <c r="K119" s="96"/>
    </row>
    <row r="120" spans="1:11">
      <c r="A120" s="779"/>
      <c r="B120" s="109" t="s">
        <v>613</v>
      </c>
      <c r="C120" s="10">
        <v>4042</v>
      </c>
      <c r="D120" s="109" t="s">
        <v>600</v>
      </c>
      <c r="E120" s="7">
        <v>54000</v>
      </c>
      <c r="F120" s="7">
        <v>38880</v>
      </c>
      <c r="G120" s="96">
        <v>20736</v>
      </c>
      <c r="H120" s="127"/>
      <c r="I120" s="7"/>
      <c r="J120" s="7"/>
      <c r="K120" s="96"/>
    </row>
    <row r="121" spans="1:11">
      <c r="A121" s="779"/>
      <c r="B121" s="109" t="s">
        <v>614</v>
      </c>
      <c r="C121" s="10">
        <v>4079</v>
      </c>
      <c r="D121" s="109" t="s">
        <v>600</v>
      </c>
      <c r="E121" s="7">
        <v>58896</v>
      </c>
      <c r="F121" s="7">
        <v>44172</v>
      </c>
      <c r="G121" s="96">
        <v>23559</v>
      </c>
      <c r="H121" s="127"/>
      <c r="I121" s="7"/>
      <c r="J121" s="7"/>
      <c r="K121" s="96"/>
    </row>
    <row r="122" spans="1:11">
      <c r="A122" s="779"/>
      <c r="B122" s="109" t="s">
        <v>615</v>
      </c>
      <c r="C122" s="10">
        <v>4116</v>
      </c>
      <c r="D122" s="109" t="s">
        <v>600</v>
      </c>
      <c r="E122" s="7">
        <v>60192</v>
      </c>
      <c r="F122" s="7">
        <v>45144</v>
      </c>
      <c r="G122" s="96">
        <v>25075</v>
      </c>
      <c r="H122" s="127"/>
      <c r="I122" s="7"/>
      <c r="J122" s="7"/>
      <c r="K122" s="96"/>
    </row>
    <row r="123" spans="1:11">
      <c r="A123" s="779"/>
      <c r="B123" s="109" t="s">
        <v>616</v>
      </c>
      <c r="C123" s="10">
        <v>4153</v>
      </c>
      <c r="D123" s="109" t="s">
        <v>600</v>
      </c>
      <c r="E123" s="7">
        <v>68850</v>
      </c>
      <c r="F123" s="7">
        <v>55080</v>
      </c>
      <c r="G123" s="96">
        <v>29375</v>
      </c>
      <c r="H123" s="127"/>
      <c r="I123" s="7"/>
      <c r="J123" s="7"/>
      <c r="K123" s="96"/>
    </row>
    <row r="124" spans="1:11">
      <c r="A124" s="779"/>
      <c r="B124" s="109" t="s">
        <v>617</v>
      </c>
      <c r="C124" s="10">
        <v>4190</v>
      </c>
      <c r="D124" s="109" t="s">
        <v>600</v>
      </c>
      <c r="E124" s="7">
        <v>77760</v>
      </c>
      <c r="F124" s="7">
        <v>60652</v>
      </c>
      <c r="G124" s="96">
        <v>32349</v>
      </c>
      <c r="H124" s="127"/>
      <c r="I124" s="7"/>
      <c r="J124" s="7"/>
      <c r="K124" s="96"/>
    </row>
    <row r="125" spans="1:11">
      <c r="A125" s="779"/>
      <c r="B125" s="109" t="s">
        <v>618</v>
      </c>
      <c r="C125" s="10">
        <v>4227</v>
      </c>
      <c r="D125" s="109" t="s">
        <v>600</v>
      </c>
      <c r="E125" s="7">
        <v>86922</v>
      </c>
      <c r="F125" s="7">
        <v>66376</v>
      </c>
      <c r="G125" s="96">
        <v>35400</v>
      </c>
      <c r="H125" s="127"/>
      <c r="I125" s="7"/>
      <c r="J125" s="7"/>
      <c r="K125" s="96"/>
    </row>
    <row r="126" spans="1:11">
      <c r="A126" s="779"/>
      <c r="B126" s="109" t="s">
        <v>619</v>
      </c>
      <c r="C126" s="10">
        <v>4264</v>
      </c>
      <c r="D126" s="109" t="s">
        <v>600</v>
      </c>
      <c r="E126" s="7">
        <v>96336</v>
      </c>
      <c r="F126" s="7">
        <v>72252</v>
      </c>
      <c r="G126" s="96">
        <v>38533</v>
      </c>
      <c r="H126" s="127"/>
      <c r="I126" s="7"/>
      <c r="J126" s="7"/>
      <c r="K126" s="96"/>
    </row>
    <row r="127" spans="1:11">
      <c r="A127" s="779"/>
      <c r="B127" s="109" t="s">
        <v>620</v>
      </c>
      <c r="C127" s="10">
        <v>4301</v>
      </c>
      <c r="D127" s="109" t="s">
        <v>600</v>
      </c>
      <c r="E127" s="7">
        <v>114156</v>
      </c>
      <c r="F127" s="7">
        <v>88063</v>
      </c>
      <c r="G127" s="96">
        <v>46966</v>
      </c>
      <c r="H127" s="127"/>
      <c r="I127" s="7"/>
      <c r="J127" s="7"/>
      <c r="K127" s="96"/>
    </row>
    <row r="128" spans="1:11">
      <c r="A128" s="780"/>
      <c r="B128" s="114" t="s">
        <v>621</v>
      </c>
      <c r="C128" s="105">
        <v>4338</v>
      </c>
      <c r="D128" s="114" t="s">
        <v>600</v>
      </c>
      <c r="E128" s="63">
        <v>132480</v>
      </c>
      <c r="F128" s="63">
        <v>99360</v>
      </c>
      <c r="G128" s="115">
        <v>52991</v>
      </c>
      <c r="H128" s="131"/>
      <c r="I128" s="63"/>
      <c r="J128" s="63"/>
      <c r="K128" s="115"/>
    </row>
  </sheetData>
  <sheetProtection algorithmName="SHA-512" hashValue="vOs6JyfdV60qc8vgqi1CS/cLMod1+0JymFKXV/Z/lXfidHRKR/aBsdqIsLslqJb+wiE7DA4s9yqCClU9I8UtXQ==" saltValue="uvnGfHgU3N/f087pTJM0ZQ==" spinCount="100000" sheet="1" objects="1" scenarios="1" selectLockedCells="1"/>
  <mergeCells count="90">
    <mergeCell ref="K49:K50"/>
    <mergeCell ref="K51:K52"/>
    <mergeCell ref="K53:K54"/>
    <mergeCell ref="K55:K56"/>
    <mergeCell ref="K57:K58"/>
    <mergeCell ref="J49:J50"/>
    <mergeCell ref="J51:J52"/>
    <mergeCell ref="J53:J54"/>
    <mergeCell ref="J55:J56"/>
    <mergeCell ref="J57:J58"/>
    <mergeCell ref="I49:I50"/>
    <mergeCell ref="I51:I52"/>
    <mergeCell ref="I53:I54"/>
    <mergeCell ref="I55:I56"/>
    <mergeCell ref="I57:I58"/>
    <mergeCell ref="H49:H50"/>
    <mergeCell ref="H51:H52"/>
    <mergeCell ref="H53:H54"/>
    <mergeCell ref="H55:H56"/>
    <mergeCell ref="H57:H58"/>
    <mergeCell ref="G49:G50"/>
    <mergeCell ref="G51:G52"/>
    <mergeCell ref="G53:G54"/>
    <mergeCell ref="G55:G56"/>
    <mergeCell ref="G57:G58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M55:S55"/>
    <mergeCell ref="M56:S56"/>
    <mergeCell ref="M57:S57"/>
    <mergeCell ref="M58:S58"/>
    <mergeCell ref="B60:J60"/>
    <mergeCell ref="C55:C56"/>
    <mergeCell ref="C57:C58"/>
    <mergeCell ref="D55:D56"/>
    <mergeCell ref="D57:D58"/>
    <mergeCell ref="E55:E56"/>
    <mergeCell ref="E57:E58"/>
    <mergeCell ref="F55:F56"/>
    <mergeCell ref="F57:F58"/>
    <mergeCell ref="L43:S43"/>
    <mergeCell ref="B46:K46"/>
    <mergeCell ref="D47:G47"/>
    <mergeCell ref="H47:K47"/>
    <mergeCell ref="M54:S54"/>
    <mergeCell ref="C51:C52"/>
    <mergeCell ref="C53:C54"/>
    <mergeCell ref="D49:D50"/>
    <mergeCell ref="D51:D52"/>
    <mergeCell ref="D53:D54"/>
    <mergeCell ref="E49:E50"/>
    <mergeCell ref="E51:E52"/>
    <mergeCell ref="E53:E54"/>
    <mergeCell ref="F49:F50"/>
    <mergeCell ref="F51:F52"/>
    <mergeCell ref="F53:F54"/>
    <mergeCell ref="B13:L13"/>
    <mergeCell ref="B24:I24"/>
    <mergeCell ref="K24:L24"/>
    <mergeCell ref="B40:J40"/>
    <mergeCell ref="L42:S42"/>
    <mergeCell ref="D25:D26"/>
    <mergeCell ref="D32:D33"/>
    <mergeCell ref="E25:E26"/>
    <mergeCell ref="E32:E33"/>
    <mergeCell ref="H25:H26"/>
    <mergeCell ref="H32:H33"/>
    <mergeCell ref="I25:I26"/>
    <mergeCell ref="I32:I33"/>
    <mergeCell ref="L15:L17"/>
    <mergeCell ref="L19:L21"/>
    <mergeCell ref="B2:E2"/>
    <mergeCell ref="F2:N2"/>
    <mergeCell ref="F7:N7"/>
    <mergeCell ref="F8:N8"/>
    <mergeCell ref="F9:N9"/>
  </mergeCells>
  <phoneticPr fontId="57" type="noConversion"/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F42 F44">
      <formula1>"1,2,3,4,5,6,7,8,9,10"</formula1>
    </dataValidation>
    <dataValidation type="list" allowBlank="1" showInputMessage="1" showErrorMessage="1" sqref="B42">
      <formula1>武功表!$A$62:$A$86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56"/>
  <sheetViews>
    <sheetView topLeftCell="B1" workbookViewId="0">
      <pane xSplit="2" ySplit="2" topLeftCell="G7" activePane="bottomRight" state="frozenSplit"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0" hidden="1" customWidth="1"/>
    <col min="2" max="2" width="4.75" style="20" customWidth="1"/>
    <col min="3" max="3" width="8.75" style="20" customWidth="1"/>
    <col min="4" max="6" width="11.875" style="20" customWidth="1"/>
    <col min="7" max="10" width="9.125" style="20" customWidth="1"/>
    <col min="11" max="11" width="8" style="20" customWidth="1"/>
    <col min="12" max="15" width="10.125" style="21" customWidth="1"/>
    <col min="16" max="16" width="10" style="21" customWidth="1"/>
    <col min="17" max="17" width="8.625" style="22" customWidth="1"/>
    <col min="18" max="18" width="8.25" style="22" customWidth="1"/>
    <col min="19" max="19" width="7.25" style="22" customWidth="1"/>
    <col min="20" max="21" width="9" style="22" customWidth="1"/>
    <col min="22" max="22" width="5.875" style="20" customWidth="1"/>
    <col min="23" max="23" width="12.75" style="21" customWidth="1"/>
    <col min="24" max="24" width="9.5" style="21" customWidth="1"/>
    <col min="25" max="16384" width="9" style="20"/>
  </cols>
  <sheetData>
    <row r="1" spans="1:22" ht="15" customHeight="1">
      <c r="A1" s="23"/>
      <c r="B1" s="804"/>
      <c r="C1" s="739"/>
      <c r="D1" s="805" t="s">
        <v>622</v>
      </c>
      <c r="E1" s="806"/>
      <c r="F1" s="807" t="s">
        <v>623</v>
      </c>
      <c r="G1" s="808"/>
      <c r="H1" s="808"/>
      <c r="I1" s="808"/>
      <c r="J1" s="808"/>
      <c r="K1" s="806"/>
      <c r="L1" s="809" t="s">
        <v>624</v>
      </c>
      <c r="M1" s="809"/>
      <c r="N1" s="809"/>
      <c r="O1" s="809"/>
      <c r="P1" s="809"/>
      <c r="Q1" s="810" t="s">
        <v>625</v>
      </c>
      <c r="R1" s="811"/>
      <c r="S1" s="811"/>
      <c r="T1" s="811"/>
      <c r="U1" s="812"/>
      <c r="V1" s="29" t="s">
        <v>365</v>
      </c>
    </row>
    <row r="2" spans="1:22" ht="15" customHeight="1">
      <c r="A2" s="24" t="s">
        <v>626</v>
      </c>
      <c r="B2" s="23" t="s">
        <v>264</v>
      </c>
      <c r="C2" s="23" t="s">
        <v>110</v>
      </c>
      <c r="D2" s="23" t="s">
        <v>627</v>
      </c>
      <c r="E2" s="23" t="s">
        <v>628</v>
      </c>
      <c r="F2" s="25" t="s">
        <v>629</v>
      </c>
      <c r="G2" s="23" t="s">
        <v>630</v>
      </c>
      <c r="H2" s="23" t="s">
        <v>631</v>
      </c>
      <c r="I2" s="23" t="s">
        <v>632</v>
      </c>
      <c r="J2" s="23" t="s">
        <v>633</v>
      </c>
      <c r="K2" s="25" t="s">
        <v>634</v>
      </c>
      <c r="L2" s="26" t="s">
        <v>635</v>
      </c>
      <c r="M2" s="26" t="s">
        <v>636</v>
      </c>
      <c r="N2" s="26" t="s">
        <v>637</v>
      </c>
      <c r="O2" s="26" t="s">
        <v>638</v>
      </c>
      <c r="P2" s="26" t="s">
        <v>639</v>
      </c>
      <c r="Q2" s="27" t="s">
        <v>46</v>
      </c>
      <c r="R2" s="27" t="s">
        <v>47</v>
      </c>
      <c r="S2" s="27" t="s">
        <v>48</v>
      </c>
      <c r="T2" s="28" t="s">
        <v>53</v>
      </c>
      <c r="U2" s="28" t="s">
        <v>476</v>
      </c>
      <c r="V2" s="33">
        <v>100</v>
      </c>
    </row>
    <row r="3" spans="1:22" ht="16.5" customHeight="1">
      <c r="A3" s="23">
        <v>1</v>
      </c>
      <c r="B3" s="23" t="s">
        <v>292</v>
      </c>
      <c r="C3" s="23" t="s">
        <v>182</v>
      </c>
      <c r="D3" s="23" t="s">
        <v>329</v>
      </c>
      <c r="E3" s="23"/>
      <c r="F3" s="23">
        <v>176</v>
      </c>
      <c r="G3" s="23">
        <v>279</v>
      </c>
      <c r="H3" s="23">
        <v>215</v>
      </c>
      <c r="I3" s="23">
        <v>199</v>
      </c>
      <c r="J3" s="23">
        <v>30</v>
      </c>
      <c r="K3" s="23">
        <f t="shared" ref="K3" si="0">J3+I3+H3+G3</f>
        <v>723</v>
      </c>
      <c r="L3" s="26">
        <v>17</v>
      </c>
      <c r="M3" s="26">
        <v>9.9</v>
      </c>
      <c r="N3" s="26">
        <v>5.7</v>
      </c>
      <c r="O3" s="26">
        <v>2.9</v>
      </c>
      <c r="P3" s="26">
        <f>SUM(L3:O3)</f>
        <v>35.5</v>
      </c>
      <c r="Q3" s="28">
        <f t="shared" ref="Q3:T3" si="1">ROUND(G3+L3*($V$2-1),0)</f>
        <v>1962</v>
      </c>
      <c r="R3" s="28">
        <f t="shared" si="1"/>
        <v>1195</v>
      </c>
      <c r="S3" s="28">
        <f t="shared" si="1"/>
        <v>763</v>
      </c>
      <c r="T3" s="28">
        <f t="shared" si="1"/>
        <v>317</v>
      </c>
      <c r="U3" s="28">
        <f>SUM(Q3:T3)</f>
        <v>4237</v>
      </c>
    </row>
    <row r="4" spans="1:22" ht="15" customHeight="1">
      <c r="A4" s="23">
        <v>2</v>
      </c>
      <c r="B4" s="23" t="s">
        <v>292</v>
      </c>
      <c r="C4" s="23" t="s">
        <v>200</v>
      </c>
      <c r="D4" s="23" t="s">
        <v>325</v>
      </c>
      <c r="E4" s="23">
        <v>45</v>
      </c>
      <c r="F4" s="23">
        <v>208</v>
      </c>
      <c r="G4" s="23">
        <v>240</v>
      </c>
      <c r="H4" s="23">
        <v>240</v>
      </c>
      <c r="I4" s="23">
        <v>155</v>
      </c>
      <c r="J4" s="23">
        <v>180</v>
      </c>
      <c r="K4" s="23">
        <f t="shared" ref="K4:K24" si="2">J4+I4+H4+G4</f>
        <v>815</v>
      </c>
      <c r="L4" s="26">
        <v>11</v>
      </c>
      <c r="M4" s="26">
        <v>8.3000000000000007</v>
      </c>
      <c r="N4" s="26">
        <v>5.7</v>
      </c>
      <c r="O4" s="26">
        <v>7</v>
      </c>
      <c r="P4" s="26">
        <f t="shared" ref="P4" si="3">O4+N4+M4+L4</f>
        <v>32</v>
      </c>
      <c r="Q4" s="28">
        <f t="shared" ref="Q4" si="4">G4+L4*($V$2-1)</f>
        <v>1329</v>
      </c>
      <c r="R4" s="28">
        <f t="shared" ref="R4" si="5">H4+M4*($V$2-1)</f>
        <v>1061.7</v>
      </c>
      <c r="S4" s="28">
        <f t="shared" ref="S4" si="6">I4+N4*($V$2-1)</f>
        <v>719.3</v>
      </c>
      <c r="T4" s="28">
        <f t="shared" ref="T4" si="7">J4+O4*($V$2-1)</f>
        <v>873</v>
      </c>
      <c r="U4" s="28">
        <f t="shared" ref="U4" si="8">SUM(Q4:T4)</f>
        <v>3983</v>
      </c>
    </row>
    <row r="5" spans="1:22" ht="15" customHeight="1">
      <c r="A5" s="23">
        <v>3</v>
      </c>
      <c r="B5" s="23" t="s">
        <v>292</v>
      </c>
      <c r="C5" s="23" t="s">
        <v>5</v>
      </c>
      <c r="D5" s="23" t="s">
        <v>640</v>
      </c>
      <c r="E5" s="23"/>
      <c r="F5" s="23">
        <v>168</v>
      </c>
      <c r="G5" s="23">
        <v>280</v>
      </c>
      <c r="H5" s="23">
        <v>150</v>
      </c>
      <c r="I5" s="23">
        <v>160</v>
      </c>
      <c r="J5" s="23">
        <v>305</v>
      </c>
      <c r="K5" s="23">
        <f t="shared" si="2"/>
        <v>895</v>
      </c>
      <c r="L5" s="26">
        <v>10.8</v>
      </c>
      <c r="M5" s="26">
        <v>7.2</v>
      </c>
      <c r="N5" s="26">
        <v>6.9</v>
      </c>
      <c r="O5" s="26">
        <v>9</v>
      </c>
      <c r="P5" s="26">
        <f t="shared" ref="P5:P24" si="9">O5+N5+M5+L5</f>
        <v>33.9</v>
      </c>
      <c r="Q5" s="28">
        <f t="shared" ref="Q5:Q47" si="10">G5+L5*($V$2-1)</f>
        <v>1349.2</v>
      </c>
      <c r="R5" s="28">
        <f t="shared" ref="R5:R47" si="11">H5+M5*($V$2-1)</f>
        <v>862.8</v>
      </c>
      <c r="S5" s="28">
        <f t="shared" ref="S5:S47" si="12">I5+N5*($V$2-1)</f>
        <v>843.1</v>
      </c>
      <c r="T5" s="28">
        <f t="shared" ref="T5:T47" si="13">J5+O5*($V$2-1)</f>
        <v>1196</v>
      </c>
      <c r="U5" s="28">
        <f t="shared" ref="U5:U36" si="14">SUM(Q5:T5)</f>
        <v>4251.1000000000004</v>
      </c>
    </row>
    <row r="6" spans="1:22" ht="15" customHeight="1">
      <c r="A6" s="23">
        <v>4</v>
      </c>
      <c r="B6" s="23" t="s">
        <v>292</v>
      </c>
      <c r="C6" s="23" t="s">
        <v>188</v>
      </c>
      <c r="D6" s="23" t="s">
        <v>306</v>
      </c>
      <c r="E6" s="23">
        <v>13</v>
      </c>
      <c r="F6" s="23">
        <v>156</v>
      </c>
      <c r="G6" s="23">
        <v>160</v>
      </c>
      <c r="H6" s="23">
        <v>190</v>
      </c>
      <c r="I6" s="23">
        <v>52</v>
      </c>
      <c r="J6" s="23">
        <v>300</v>
      </c>
      <c r="K6" s="23">
        <f t="shared" si="2"/>
        <v>702</v>
      </c>
      <c r="L6" s="26">
        <v>8</v>
      </c>
      <c r="M6" s="26">
        <v>9.5</v>
      </c>
      <c r="N6" s="26">
        <v>2.6</v>
      </c>
      <c r="O6" s="26">
        <v>8</v>
      </c>
      <c r="P6" s="26">
        <f t="shared" si="9"/>
        <v>28.1</v>
      </c>
      <c r="Q6" s="28">
        <f t="shared" si="10"/>
        <v>952</v>
      </c>
      <c r="R6" s="28">
        <f t="shared" si="11"/>
        <v>1130.5</v>
      </c>
      <c r="S6" s="28">
        <f t="shared" si="12"/>
        <v>309.39999999999998</v>
      </c>
      <c r="T6" s="28">
        <f t="shared" si="13"/>
        <v>1092</v>
      </c>
      <c r="U6" s="28">
        <f t="shared" si="14"/>
        <v>3483.9</v>
      </c>
    </row>
    <row r="7" spans="1:22" ht="15" customHeight="1">
      <c r="A7" s="23">
        <v>5</v>
      </c>
      <c r="B7" s="23" t="s">
        <v>292</v>
      </c>
      <c r="C7" s="23" t="s">
        <v>2</v>
      </c>
      <c r="D7" s="23" t="s">
        <v>291</v>
      </c>
      <c r="E7" s="23">
        <v>18</v>
      </c>
      <c r="F7" s="23">
        <v>208</v>
      </c>
      <c r="G7" s="23">
        <v>285</v>
      </c>
      <c r="H7" s="23">
        <v>300</v>
      </c>
      <c r="I7" s="23">
        <v>105</v>
      </c>
      <c r="J7" s="23">
        <v>310</v>
      </c>
      <c r="K7" s="23">
        <f t="shared" si="2"/>
        <v>1000</v>
      </c>
      <c r="L7" s="26">
        <v>10</v>
      </c>
      <c r="M7" s="26">
        <v>9.6999999999999993</v>
      </c>
      <c r="N7" s="26">
        <v>4.3</v>
      </c>
      <c r="O7" s="26">
        <v>11</v>
      </c>
      <c r="P7" s="26">
        <f t="shared" si="9"/>
        <v>35</v>
      </c>
      <c r="Q7" s="28">
        <f t="shared" si="10"/>
        <v>1275</v>
      </c>
      <c r="R7" s="28">
        <f t="shared" si="11"/>
        <v>1260.3</v>
      </c>
      <c r="S7" s="28">
        <f t="shared" si="12"/>
        <v>530.70000000000005</v>
      </c>
      <c r="T7" s="28">
        <f t="shared" si="13"/>
        <v>1399</v>
      </c>
      <c r="U7" s="28">
        <f t="shared" si="14"/>
        <v>4465</v>
      </c>
    </row>
    <row r="8" spans="1:22" ht="15" customHeight="1">
      <c r="A8" s="23">
        <v>6</v>
      </c>
      <c r="B8" s="23" t="s">
        <v>292</v>
      </c>
      <c r="C8" s="23" t="s">
        <v>172</v>
      </c>
      <c r="D8" s="23" t="s">
        <v>295</v>
      </c>
      <c r="E8" s="23">
        <v>71</v>
      </c>
      <c r="F8" s="23">
        <v>156</v>
      </c>
      <c r="G8" s="23">
        <v>140</v>
      </c>
      <c r="H8" s="23">
        <v>80</v>
      </c>
      <c r="I8" s="23">
        <v>120</v>
      </c>
      <c r="J8" s="23">
        <v>450</v>
      </c>
      <c r="K8" s="23">
        <f t="shared" si="2"/>
        <v>790</v>
      </c>
      <c r="L8" s="26">
        <v>7</v>
      </c>
      <c r="M8" s="26">
        <v>3.1</v>
      </c>
      <c r="N8" s="26">
        <v>5.8</v>
      </c>
      <c r="O8" s="26">
        <v>11</v>
      </c>
      <c r="P8" s="26">
        <f t="shared" si="9"/>
        <v>26.9</v>
      </c>
      <c r="Q8" s="28">
        <f t="shared" si="10"/>
        <v>833</v>
      </c>
      <c r="R8" s="28">
        <f t="shared" si="11"/>
        <v>386.9</v>
      </c>
      <c r="S8" s="28">
        <f t="shared" si="12"/>
        <v>694.2</v>
      </c>
      <c r="T8" s="28">
        <f t="shared" si="13"/>
        <v>1539</v>
      </c>
      <c r="U8" s="28">
        <f t="shared" si="14"/>
        <v>3453.1</v>
      </c>
    </row>
    <row r="9" spans="1:22" ht="15" customHeight="1">
      <c r="A9" s="23">
        <v>7</v>
      </c>
      <c r="B9" s="23" t="s">
        <v>292</v>
      </c>
      <c r="C9" s="23" t="s">
        <v>257</v>
      </c>
      <c r="D9" s="23" t="s">
        <v>291</v>
      </c>
      <c r="E9" s="23">
        <v>18</v>
      </c>
      <c r="F9" s="23">
        <v>168</v>
      </c>
      <c r="G9" s="23">
        <v>260</v>
      </c>
      <c r="H9" s="23">
        <v>284</v>
      </c>
      <c r="I9" s="23">
        <v>155</v>
      </c>
      <c r="J9" s="23">
        <v>234</v>
      </c>
      <c r="K9" s="23">
        <f t="shared" si="2"/>
        <v>933</v>
      </c>
      <c r="L9" s="26">
        <v>12</v>
      </c>
      <c r="M9" s="26">
        <v>9.3000000000000007</v>
      </c>
      <c r="N9" s="26">
        <v>4.4000000000000004</v>
      </c>
      <c r="O9" s="26">
        <v>9</v>
      </c>
      <c r="P9" s="26">
        <f t="shared" si="9"/>
        <v>34.700000000000003</v>
      </c>
      <c r="Q9" s="28">
        <f t="shared" si="10"/>
        <v>1448</v>
      </c>
      <c r="R9" s="28">
        <f t="shared" si="11"/>
        <v>1204.7</v>
      </c>
      <c r="S9" s="28">
        <f t="shared" si="12"/>
        <v>590.6</v>
      </c>
      <c r="T9" s="28">
        <f t="shared" si="13"/>
        <v>1125</v>
      </c>
      <c r="U9" s="28">
        <f t="shared" si="14"/>
        <v>4368.3</v>
      </c>
    </row>
    <row r="10" spans="1:22" ht="15" customHeight="1">
      <c r="A10" s="23">
        <v>8</v>
      </c>
      <c r="B10" s="23" t="s">
        <v>292</v>
      </c>
      <c r="C10" s="23" t="s">
        <v>165</v>
      </c>
      <c r="D10" s="23" t="s">
        <v>294</v>
      </c>
      <c r="E10" s="23">
        <v>25</v>
      </c>
      <c r="F10" s="23">
        <v>176</v>
      </c>
      <c r="G10" s="23">
        <v>240</v>
      </c>
      <c r="H10" s="23">
        <v>118</v>
      </c>
      <c r="I10" s="23">
        <v>76</v>
      </c>
      <c r="J10" s="23">
        <v>300</v>
      </c>
      <c r="K10" s="23">
        <f t="shared" si="2"/>
        <v>734</v>
      </c>
      <c r="L10" s="26">
        <v>12</v>
      </c>
      <c r="M10" s="26">
        <v>5.9</v>
      </c>
      <c r="N10" s="26">
        <v>3.8</v>
      </c>
      <c r="O10" s="26">
        <v>10</v>
      </c>
      <c r="P10" s="26">
        <f t="shared" si="9"/>
        <v>31.7</v>
      </c>
      <c r="Q10" s="28">
        <f t="shared" si="10"/>
        <v>1428</v>
      </c>
      <c r="R10" s="28">
        <f t="shared" si="11"/>
        <v>702.1</v>
      </c>
      <c r="S10" s="28">
        <f t="shared" si="12"/>
        <v>452.2</v>
      </c>
      <c r="T10" s="28">
        <f t="shared" si="13"/>
        <v>1290</v>
      </c>
      <c r="U10" s="28">
        <f t="shared" si="14"/>
        <v>3872.3</v>
      </c>
    </row>
    <row r="11" spans="1:22" ht="15" customHeight="1">
      <c r="A11" s="23">
        <v>9</v>
      </c>
      <c r="B11" s="23" t="s">
        <v>292</v>
      </c>
      <c r="C11" s="23" t="s">
        <v>170</v>
      </c>
      <c r="D11" s="23" t="s">
        <v>298</v>
      </c>
      <c r="E11" s="23">
        <v>20</v>
      </c>
      <c r="F11" s="23">
        <v>168</v>
      </c>
      <c r="G11" s="23">
        <v>280</v>
      </c>
      <c r="H11" s="23">
        <v>100</v>
      </c>
      <c r="I11" s="23">
        <v>95</v>
      </c>
      <c r="J11" s="23">
        <v>390</v>
      </c>
      <c r="K11" s="23">
        <f t="shared" si="2"/>
        <v>865</v>
      </c>
      <c r="L11" s="26">
        <v>12</v>
      </c>
      <c r="M11" s="26">
        <v>4.0999999999999996</v>
      </c>
      <c r="N11" s="26">
        <v>6.4</v>
      </c>
      <c r="O11" s="26">
        <v>12</v>
      </c>
      <c r="P11" s="26">
        <f t="shared" si="9"/>
        <v>34.5</v>
      </c>
      <c r="Q11" s="28">
        <f t="shared" si="10"/>
        <v>1468</v>
      </c>
      <c r="R11" s="28">
        <f t="shared" si="11"/>
        <v>505.9</v>
      </c>
      <c r="S11" s="28">
        <f t="shared" si="12"/>
        <v>728.6</v>
      </c>
      <c r="T11" s="28">
        <f t="shared" si="13"/>
        <v>1578</v>
      </c>
      <c r="U11" s="28">
        <f t="shared" si="14"/>
        <v>4280.5</v>
      </c>
    </row>
    <row r="12" spans="1:22" ht="15" customHeight="1">
      <c r="A12" s="23">
        <v>10</v>
      </c>
      <c r="B12" s="23" t="s">
        <v>292</v>
      </c>
      <c r="C12" s="23" t="s">
        <v>177</v>
      </c>
      <c r="D12" s="23" t="s">
        <v>298</v>
      </c>
      <c r="E12" s="23">
        <v>20</v>
      </c>
      <c r="F12" s="23">
        <v>164</v>
      </c>
      <c r="G12" s="23">
        <v>200</v>
      </c>
      <c r="H12" s="23">
        <v>116</v>
      </c>
      <c r="I12" s="23">
        <v>76</v>
      </c>
      <c r="J12" s="23">
        <v>300</v>
      </c>
      <c r="K12" s="23">
        <f t="shared" si="2"/>
        <v>692</v>
      </c>
      <c r="L12" s="26">
        <v>10</v>
      </c>
      <c r="M12" s="26">
        <v>5.8</v>
      </c>
      <c r="N12" s="26">
        <v>3.8</v>
      </c>
      <c r="O12" s="26">
        <v>10</v>
      </c>
      <c r="P12" s="26">
        <f t="shared" si="9"/>
        <v>29.6</v>
      </c>
      <c r="Q12" s="28">
        <f t="shared" si="10"/>
        <v>1190</v>
      </c>
      <c r="R12" s="28">
        <f t="shared" si="11"/>
        <v>690.2</v>
      </c>
      <c r="S12" s="28">
        <f t="shared" si="12"/>
        <v>452.2</v>
      </c>
      <c r="T12" s="28">
        <f t="shared" si="13"/>
        <v>1290</v>
      </c>
      <c r="U12" s="28">
        <f t="shared" si="14"/>
        <v>3622.4</v>
      </c>
    </row>
    <row r="13" spans="1:22" ht="15" customHeight="1">
      <c r="A13" s="23">
        <v>11</v>
      </c>
      <c r="B13" s="23" t="s">
        <v>292</v>
      </c>
      <c r="C13" s="23" t="s">
        <v>174</v>
      </c>
      <c r="D13" s="23" t="s">
        <v>298</v>
      </c>
      <c r="E13" s="23">
        <v>20</v>
      </c>
      <c r="F13" s="23">
        <v>184</v>
      </c>
      <c r="G13" s="23">
        <v>80</v>
      </c>
      <c r="H13" s="23">
        <v>30</v>
      </c>
      <c r="I13" s="23">
        <v>10</v>
      </c>
      <c r="J13" s="23">
        <v>50</v>
      </c>
      <c r="K13" s="23">
        <f t="shared" si="2"/>
        <v>170</v>
      </c>
      <c r="L13" s="26">
        <v>22</v>
      </c>
      <c r="M13" s="26">
        <v>5.0999999999999996</v>
      </c>
      <c r="N13" s="26">
        <v>5.3</v>
      </c>
      <c r="O13" s="26">
        <v>8</v>
      </c>
      <c r="P13" s="26">
        <f t="shared" si="9"/>
        <v>40.4</v>
      </c>
      <c r="Q13" s="28">
        <f t="shared" si="10"/>
        <v>2258</v>
      </c>
      <c r="R13" s="28">
        <f t="shared" si="11"/>
        <v>534.9</v>
      </c>
      <c r="S13" s="28">
        <f t="shared" si="12"/>
        <v>534.70000000000005</v>
      </c>
      <c r="T13" s="28">
        <f t="shared" si="13"/>
        <v>842</v>
      </c>
      <c r="U13" s="28">
        <f t="shared" si="14"/>
        <v>4169.6000000000004</v>
      </c>
    </row>
    <row r="14" spans="1:22" ht="15" customHeight="1">
      <c r="A14" s="23">
        <v>12</v>
      </c>
      <c r="B14" s="23" t="s">
        <v>292</v>
      </c>
      <c r="C14" s="23" t="s">
        <v>244</v>
      </c>
      <c r="D14" s="23" t="s">
        <v>308</v>
      </c>
      <c r="E14" s="23">
        <v>30</v>
      </c>
      <c r="F14" s="23">
        <v>168</v>
      </c>
      <c r="G14" s="23">
        <v>258</v>
      </c>
      <c r="H14" s="23">
        <v>165</v>
      </c>
      <c r="I14" s="23">
        <v>108</v>
      </c>
      <c r="J14" s="23">
        <v>198</v>
      </c>
      <c r="K14" s="23">
        <f t="shared" si="2"/>
        <v>729</v>
      </c>
      <c r="L14" s="26">
        <v>9.6</v>
      </c>
      <c r="M14" s="26">
        <v>6</v>
      </c>
      <c r="N14" s="26">
        <v>6.6</v>
      </c>
      <c r="O14" s="26">
        <v>9.5</v>
      </c>
      <c r="P14" s="26">
        <f t="shared" si="9"/>
        <v>31.7</v>
      </c>
      <c r="Q14" s="28">
        <f t="shared" si="10"/>
        <v>1208.4000000000001</v>
      </c>
      <c r="R14" s="28">
        <f t="shared" si="11"/>
        <v>759</v>
      </c>
      <c r="S14" s="28">
        <f t="shared" si="12"/>
        <v>761.4</v>
      </c>
      <c r="T14" s="28">
        <f t="shared" si="13"/>
        <v>1138.5</v>
      </c>
      <c r="U14" s="28">
        <f t="shared" si="14"/>
        <v>3867.3</v>
      </c>
    </row>
    <row r="15" spans="1:22" ht="15" customHeight="1">
      <c r="A15" s="23">
        <v>13</v>
      </c>
      <c r="B15" s="23" t="s">
        <v>292</v>
      </c>
      <c r="C15" s="23" t="s">
        <v>185</v>
      </c>
      <c r="D15" s="23" t="s">
        <v>319</v>
      </c>
      <c r="E15" s="23">
        <v>30</v>
      </c>
      <c r="F15" s="23">
        <v>164</v>
      </c>
      <c r="G15" s="23">
        <v>200</v>
      </c>
      <c r="H15" s="23">
        <v>120</v>
      </c>
      <c r="I15" s="23">
        <v>72</v>
      </c>
      <c r="J15" s="23">
        <v>300</v>
      </c>
      <c r="K15" s="23">
        <f t="shared" si="2"/>
        <v>692</v>
      </c>
      <c r="L15" s="26">
        <v>10</v>
      </c>
      <c r="M15" s="26">
        <v>6</v>
      </c>
      <c r="N15" s="26">
        <v>3.6</v>
      </c>
      <c r="O15" s="26">
        <v>10</v>
      </c>
      <c r="P15" s="26">
        <f t="shared" si="9"/>
        <v>29.6</v>
      </c>
      <c r="Q15" s="28">
        <f t="shared" si="10"/>
        <v>1190</v>
      </c>
      <c r="R15" s="28">
        <f t="shared" si="11"/>
        <v>714</v>
      </c>
      <c r="S15" s="28">
        <f t="shared" si="12"/>
        <v>428.4</v>
      </c>
      <c r="T15" s="28">
        <f t="shared" si="13"/>
        <v>1290</v>
      </c>
      <c r="U15" s="28">
        <f t="shared" si="14"/>
        <v>3622.4</v>
      </c>
    </row>
    <row r="16" spans="1:22" ht="15" customHeight="1">
      <c r="A16" s="23">
        <v>14</v>
      </c>
      <c r="B16" s="23" t="s">
        <v>292</v>
      </c>
      <c r="C16" s="23" t="s">
        <v>641</v>
      </c>
      <c r="D16" s="23" t="s">
        <v>642</v>
      </c>
      <c r="E16" s="23"/>
      <c r="F16" s="23">
        <v>168</v>
      </c>
      <c r="G16" s="23">
        <v>260</v>
      </c>
      <c r="H16" s="23">
        <v>240</v>
      </c>
      <c r="I16" s="23">
        <v>150</v>
      </c>
      <c r="J16" s="23">
        <v>265</v>
      </c>
      <c r="K16" s="23">
        <f t="shared" si="2"/>
        <v>915</v>
      </c>
      <c r="L16" s="26">
        <v>10.8</v>
      </c>
      <c r="M16" s="26">
        <v>7.6</v>
      </c>
      <c r="N16" s="26">
        <v>4.3</v>
      </c>
      <c r="O16" s="26">
        <v>12</v>
      </c>
      <c r="P16" s="26">
        <f t="shared" si="9"/>
        <v>34.700000000000003</v>
      </c>
      <c r="Q16" s="28">
        <f t="shared" si="10"/>
        <v>1329.2</v>
      </c>
      <c r="R16" s="28">
        <f t="shared" si="11"/>
        <v>992.4</v>
      </c>
      <c r="S16" s="28">
        <f t="shared" si="12"/>
        <v>575.70000000000005</v>
      </c>
      <c r="T16" s="28">
        <f t="shared" si="13"/>
        <v>1453</v>
      </c>
      <c r="U16" s="28">
        <f t="shared" si="14"/>
        <v>4350.3</v>
      </c>
    </row>
    <row r="17" spans="1:21" ht="15" customHeight="1">
      <c r="A17" s="23">
        <v>15</v>
      </c>
      <c r="B17" s="23" t="s">
        <v>292</v>
      </c>
      <c r="C17" s="23" t="s">
        <v>190</v>
      </c>
      <c r="D17" s="23" t="s">
        <v>315</v>
      </c>
      <c r="E17" s="23">
        <v>10</v>
      </c>
      <c r="F17" s="23">
        <v>164</v>
      </c>
      <c r="G17" s="23">
        <v>200</v>
      </c>
      <c r="H17" s="23">
        <v>136</v>
      </c>
      <c r="I17" s="23">
        <v>50</v>
      </c>
      <c r="J17" s="23">
        <v>360</v>
      </c>
      <c r="K17" s="23">
        <f t="shared" si="2"/>
        <v>746</v>
      </c>
      <c r="L17" s="26">
        <v>10</v>
      </c>
      <c r="M17" s="26">
        <v>6.8</v>
      </c>
      <c r="N17" s="26">
        <v>2.5</v>
      </c>
      <c r="O17" s="26">
        <v>10</v>
      </c>
      <c r="P17" s="26">
        <f t="shared" si="9"/>
        <v>29.3</v>
      </c>
      <c r="Q17" s="28">
        <f t="shared" si="10"/>
        <v>1190</v>
      </c>
      <c r="R17" s="28">
        <f t="shared" si="11"/>
        <v>809.2</v>
      </c>
      <c r="S17" s="28">
        <f t="shared" si="12"/>
        <v>297.5</v>
      </c>
      <c r="T17" s="28">
        <f t="shared" si="13"/>
        <v>1350</v>
      </c>
      <c r="U17" s="28">
        <f t="shared" si="14"/>
        <v>3646.7</v>
      </c>
    </row>
    <row r="18" spans="1:21" ht="15" customHeight="1">
      <c r="A18" s="23">
        <v>16</v>
      </c>
      <c r="B18" s="23" t="s">
        <v>292</v>
      </c>
      <c r="C18" s="23" t="s">
        <v>198</v>
      </c>
      <c r="D18" s="23" t="s">
        <v>300</v>
      </c>
      <c r="E18" s="23">
        <v>59</v>
      </c>
      <c r="F18" s="23">
        <v>144</v>
      </c>
      <c r="G18" s="23">
        <v>160</v>
      </c>
      <c r="H18" s="23">
        <v>280</v>
      </c>
      <c r="I18" s="23">
        <v>100</v>
      </c>
      <c r="J18" s="23">
        <v>100</v>
      </c>
      <c r="K18" s="23">
        <f t="shared" si="2"/>
        <v>640</v>
      </c>
      <c r="L18" s="26">
        <v>15</v>
      </c>
      <c r="M18" s="26">
        <v>11</v>
      </c>
      <c r="N18" s="26">
        <v>3.6</v>
      </c>
      <c r="O18" s="26">
        <v>5</v>
      </c>
      <c r="P18" s="26">
        <f t="shared" si="9"/>
        <v>34.6</v>
      </c>
      <c r="Q18" s="28">
        <f t="shared" si="10"/>
        <v>1645</v>
      </c>
      <c r="R18" s="28">
        <f t="shared" si="11"/>
        <v>1369</v>
      </c>
      <c r="S18" s="28">
        <f t="shared" si="12"/>
        <v>456.4</v>
      </c>
      <c r="T18" s="28">
        <f t="shared" si="13"/>
        <v>595</v>
      </c>
      <c r="U18" s="28">
        <f t="shared" si="14"/>
        <v>4065.4</v>
      </c>
    </row>
    <row r="19" spans="1:21" ht="15" customHeight="1">
      <c r="A19" s="23">
        <v>17</v>
      </c>
      <c r="B19" s="23" t="s">
        <v>292</v>
      </c>
      <c r="C19" s="23" t="s">
        <v>173</v>
      </c>
      <c r="D19" s="23" t="s">
        <v>301</v>
      </c>
      <c r="E19" s="23">
        <v>30</v>
      </c>
      <c r="F19" s="23">
        <v>208</v>
      </c>
      <c r="G19" s="23">
        <v>195</v>
      </c>
      <c r="H19" s="23">
        <v>59</v>
      </c>
      <c r="I19" s="23">
        <v>128</v>
      </c>
      <c r="J19" s="23">
        <v>466</v>
      </c>
      <c r="K19" s="23">
        <f t="shared" si="2"/>
        <v>848</v>
      </c>
      <c r="L19" s="26">
        <v>6.2</v>
      </c>
      <c r="M19" s="26">
        <v>2.9</v>
      </c>
      <c r="N19" s="26">
        <v>7</v>
      </c>
      <c r="O19" s="26">
        <v>16.5</v>
      </c>
      <c r="P19" s="26">
        <f t="shared" si="9"/>
        <v>32.6</v>
      </c>
      <c r="Q19" s="28">
        <f t="shared" si="10"/>
        <v>808.8</v>
      </c>
      <c r="R19" s="28">
        <f t="shared" si="11"/>
        <v>346.1</v>
      </c>
      <c r="S19" s="28">
        <f t="shared" si="12"/>
        <v>821</v>
      </c>
      <c r="T19" s="28">
        <f t="shared" si="13"/>
        <v>2099.5</v>
      </c>
      <c r="U19" s="28">
        <f t="shared" si="14"/>
        <v>4075.4</v>
      </c>
    </row>
    <row r="20" spans="1:21" ht="15" customHeight="1">
      <c r="A20" s="23">
        <v>18</v>
      </c>
      <c r="B20" s="23" t="s">
        <v>292</v>
      </c>
      <c r="C20" s="23" t="s">
        <v>9</v>
      </c>
      <c r="D20" s="23" t="s">
        <v>291</v>
      </c>
      <c r="E20" s="23">
        <v>18</v>
      </c>
      <c r="F20" s="23">
        <v>172</v>
      </c>
      <c r="G20" s="23">
        <v>180</v>
      </c>
      <c r="H20" s="23">
        <v>180</v>
      </c>
      <c r="I20" s="23">
        <v>60</v>
      </c>
      <c r="J20" s="23">
        <v>300</v>
      </c>
      <c r="K20" s="23">
        <f t="shared" si="2"/>
        <v>720</v>
      </c>
      <c r="L20" s="26">
        <v>8</v>
      </c>
      <c r="M20" s="26">
        <v>7.9</v>
      </c>
      <c r="N20" s="26">
        <v>3.1</v>
      </c>
      <c r="O20" s="26">
        <v>12</v>
      </c>
      <c r="P20" s="26">
        <f t="shared" si="9"/>
        <v>31</v>
      </c>
      <c r="Q20" s="28">
        <f t="shared" si="10"/>
        <v>972</v>
      </c>
      <c r="R20" s="28">
        <f t="shared" si="11"/>
        <v>962.1</v>
      </c>
      <c r="S20" s="28">
        <f t="shared" si="12"/>
        <v>366.9</v>
      </c>
      <c r="T20" s="28">
        <f t="shared" si="13"/>
        <v>1488</v>
      </c>
      <c r="U20" s="28">
        <f t="shared" si="14"/>
        <v>3789</v>
      </c>
    </row>
    <row r="21" spans="1:21" ht="15" customHeight="1">
      <c r="A21" s="23">
        <v>19</v>
      </c>
      <c r="B21" s="23" t="s">
        <v>292</v>
      </c>
      <c r="C21" s="23" t="s">
        <v>3</v>
      </c>
      <c r="D21" s="23" t="s">
        <v>317</v>
      </c>
      <c r="E21" s="23">
        <v>40</v>
      </c>
      <c r="F21" s="23">
        <v>160</v>
      </c>
      <c r="G21" s="23">
        <v>305</v>
      </c>
      <c r="H21" s="23">
        <v>265</v>
      </c>
      <c r="I21" s="23">
        <v>195</v>
      </c>
      <c r="J21" s="23">
        <v>225</v>
      </c>
      <c r="K21" s="23">
        <f t="shared" si="2"/>
        <v>990</v>
      </c>
      <c r="L21" s="26">
        <v>11.3</v>
      </c>
      <c r="M21" s="26">
        <v>7.7</v>
      </c>
      <c r="N21" s="26">
        <v>7.5</v>
      </c>
      <c r="O21" s="26">
        <v>7</v>
      </c>
      <c r="P21" s="26">
        <f t="shared" si="9"/>
        <v>33.5</v>
      </c>
      <c r="Q21" s="28">
        <f t="shared" si="10"/>
        <v>1423.7</v>
      </c>
      <c r="R21" s="28">
        <f t="shared" si="11"/>
        <v>1027.3</v>
      </c>
      <c r="S21" s="28">
        <f t="shared" si="12"/>
        <v>937.5</v>
      </c>
      <c r="T21" s="28">
        <f t="shared" si="13"/>
        <v>918</v>
      </c>
      <c r="U21" s="28">
        <f t="shared" si="14"/>
        <v>4306.5</v>
      </c>
    </row>
    <row r="22" spans="1:21" ht="15" customHeight="1">
      <c r="A22" s="23">
        <v>20</v>
      </c>
      <c r="B22" s="23" t="s">
        <v>292</v>
      </c>
      <c r="C22" s="23" t="s">
        <v>186</v>
      </c>
      <c r="D22" s="23" t="s">
        <v>310</v>
      </c>
      <c r="E22" s="23">
        <v>40</v>
      </c>
      <c r="F22" s="23">
        <v>164</v>
      </c>
      <c r="G22" s="23">
        <v>200</v>
      </c>
      <c r="H22" s="23">
        <v>128</v>
      </c>
      <c r="I22" s="23">
        <v>64</v>
      </c>
      <c r="J22" s="23">
        <v>300</v>
      </c>
      <c r="K22" s="23">
        <f t="shared" si="2"/>
        <v>692</v>
      </c>
      <c r="L22" s="26">
        <v>10</v>
      </c>
      <c r="M22" s="26">
        <v>6.4</v>
      </c>
      <c r="N22" s="26">
        <v>3.2</v>
      </c>
      <c r="O22" s="26">
        <v>10</v>
      </c>
      <c r="P22" s="26">
        <f t="shared" si="9"/>
        <v>29.6</v>
      </c>
      <c r="Q22" s="28">
        <f t="shared" si="10"/>
        <v>1190</v>
      </c>
      <c r="R22" s="28">
        <f t="shared" si="11"/>
        <v>761.6</v>
      </c>
      <c r="S22" s="28">
        <f t="shared" si="12"/>
        <v>380.8</v>
      </c>
      <c r="T22" s="28">
        <f t="shared" si="13"/>
        <v>1290</v>
      </c>
      <c r="U22" s="28">
        <f t="shared" si="14"/>
        <v>3622.4</v>
      </c>
    </row>
    <row r="23" spans="1:21" ht="15" customHeight="1">
      <c r="A23" s="23">
        <v>21</v>
      </c>
      <c r="B23" s="23" t="s">
        <v>292</v>
      </c>
      <c r="C23" s="23" t="s">
        <v>202</v>
      </c>
      <c r="D23" s="23" t="s">
        <v>320</v>
      </c>
      <c r="E23" s="23">
        <v>52</v>
      </c>
      <c r="F23" s="23">
        <v>208</v>
      </c>
      <c r="G23" s="23">
        <v>260</v>
      </c>
      <c r="H23" s="23">
        <v>200</v>
      </c>
      <c r="I23" s="23">
        <v>140</v>
      </c>
      <c r="J23" s="23">
        <v>400</v>
      </c>
      <c r="K23" s="23">
        <f t="shared" si="2"/>
        <v>1000</v>
      </c>
      <c r="L23" s="26">
        <v>8</v>
      </c>
      <c r="M23" s="26">
        <v>6.6</v>
      </c>
      <c r="N23" s="26">
        <v>5.4</v>
      </c>
      <c r="O23" s="26">
        <v>15</v>
      </c>
      <c r="P23" s="26">
        <f t="shared" si="9"/>
        <v>35</v>
      </c>
      <c r="Q23" s="28">
        <f t="shared" si="10"/>
        <v>1052</v>
      </c>
      <c r="R23" s="28">
        <f t="shared" si="11"/>
        <v>853.4</v>
      </c>
      <c r="S23" s="28">
        <f t="shared" si="12"/>
        <v>674.6</v>
      </c>
      <c r="T23" s="28">
        <f t="shared" si="13"/>
        <v>1885</v>
      </c>
      <c r="U23" s="28">
        <f t="shared" si="14"/>
        <v>4465</v>
      </c>
    </row>
    <row r="24" spans="1:21" ht="15" customHeight="1">
      <c r="A24" s="23">
        <v>22</v>
      </c>
      <c r="B24" s="23" t="s">
        <v>292</v>
      </c>
      <c r="C24" s="23" t="s">
        <v>189</v>
      </c>
      <c r="D24" s="23" t="s">
        <v>353</v>
      </c>
      <c r="E24" s="23"/>
      <c r="F24" s="23">
        <v>152</v>
      </c>
      <c r="G24" s="23">
        <v>160</v>
      </c>
      <c r="H24" s="23">
        <v>180</v>
      </c>
      <c r="I24" s="23">
        <v>70</v>
      </c>
      <c r="J24" s="23">
        <v>300</v>
      </c>
      <c r="K24" s="23">
        <f t="shared" si="2"/>
        <v>710</v>
      </c>
      <c r="L24" s="26">
        <v>10</v>
      </c>
      <c r="M24" s="26">
        <v>8.6</v>
      </c>
      <c r="N24" s="26">
        <v>3.1</v>
      </c>
      <c r="O24" s="26">
        <v>8</v>
      </c>
      <c r="P24" s="26">
        <f t="shared" si="9"/>
        <v>29.7</v>
      </c>
      <c r="Q24" s="28">
        <f t="shared" si="10"/>
        <v>1150</v>
      </c>
      <c r="R24" s="28">
        <f t="shared" si="11"/>
        <v>1031.4000000000001</v>
      </c>
      <c r="S24" s="28">
        <f t="shared" si="12"/>
        <v>376.9</v>
      </c>
      <c r="T24" s="28">
        <f t="shared" si="13"/>
        <v>1092</v>
      </c>
      <c r="U24" s="28">
        <f t="shared" si="14"/>
        <v>3650.3</v>
      </c>
    </row>
    <row r="25" spans="1:21" ht="15" customHeight="1">
      <c r="A25" s="23">
        <v>24</v>
      </c>
      <c r="B25" s="23" t="s">
        <v>292</v>
      </c>
      <c r="C25" s="23" t="s">
        <v>169</v>
      </c>
      <c r="D25" s="23" t="s">
        <v>282</v>
      </c>
      <c r="E25" s="23">
        <v>23</v>
      </c>
      <c r="F25" s="23">
        <v>168</v>
      </c>
      <c r="G25" s="23">
        <v>380</v>
      </c>
      <c r="H25" s="23">
        <v>120</v>
      </c>
      <c r="I25" s="23">
        <v>100</v>
      </c>
      <c r="J25" s="23">
        <v>300</v>
      </c>
      <c r="K25" s="23">
        <f t="shared" ref="K25" si="15">J25+I25+H25+G25</f>
        <v>900</v>
      </c>
      <c r="L25" s="26">
        <v>14</v>
      </c>
      <c r="M25" s="26">
        <v>6.5</v>
      </c>
      <c r="N25" s="26">
        <v>4.2</v>
      </c>
      <c r="O25" s="26">
        <v>7</v>
      </c>
      <c r="P25" s="26">
        <f t="shared" ref="P25" si="16">O25+N25+M25+L25</f>
        <v>31.7</v>
      </c>
      <c r="Q25" s="28">
        <f t="shared" si="10"/>
        <v>1766</v>
      </c>
      <c r="R25" s="28">
        <f t="shared" si="11"/>
        <v>763.5</v>
      </c>
      <c r="S25" s="28">
        <f t="shared" si="12"/>
        <v>515.79999999999995</v>
      </c>
      <c r="T25" s="28">
        <f t="shared" si="13"/>
        <v>993</v>
      </c>
      <c r="U25" s="28">
        <f t="shared" si="14"/>
        <v>4038.3</v>
      </c>
    </row>
    <row r="26" spans="1:21" ht="15" customHeight="1">
      <c r="A26" s="23">
        <v>25</v>
      </c>
      <c r="B26" s="23" t="s">
        <v>292</v>
      </c>
      <c r="C26" s="23" t="s">
        <v>7</v>
      </c>
      <c r="D26" s="23" t="s">
        <v>334</v>
      </c>
      <c r="E26" s="23"/>
      <c r="F26" s="23">
        <v>204</v>
      </c>
      <c r="G26" s="23">
        <v>188</v>
      </c>
      <c r="H26" s="23">
        <v>240</v>
      </c>
      <c r="I26" s="23">
        <v>80</v>
      </c>
      <c r="J26" s="23">
        <v>80</v>
      </c>
      <c r="K26" s="23">
        <f t="shared" ref="K26:K49" si="17">J26+I26+H26+G26</f>
        <v>588</v>
      </c>
      <c r="L26" s="26">
        <v>10.9</v>
      </c>
      <c r="M26" s="26">
        <v>9.4</v>
      </c>
      <c r="N26" s="26">
        <v>5.2</v>
      </c>
      <c r="O26" s="26">
        <v>9</v>
      </c>
      <c r="P26" s="26">
        <f t="shared" ref="P26:P49" si="18">O26+N26+M26+L26</f>
        <v>34.5</v>
      </c>
      <c r="Q26" s="28">
        <f t="shared" si="10"/>
        <v>1267.0999999999999</v>
      </c>
      <c r="R26" s="28">
        <f t="shared" si="11"/>
        <v>1170.5999999999999</v>
      </c>
      <c r="S26" s="28">
        <f t="shared" si="12"/>
        <v>594.79999999999995</v>
      </c>
      <c r="T26" s="28">
        <f t="shared" si="13"/>
        <v>971</v>
      </c>
      <c r="U26" s="28">
        <f t="shared" si="14"/>
        <v>4003.5</v>
      </c>
    </row>
    <row r="27" spans="1:21" ht="15" customHeight="1">
      <c r="A27" s="23">
        <v>26</v>
      </c>
      <c r="B27" s="23" t="s">
        <v>292</v>
      </c>
      <c r="C27" s="23" t="s">
        <v>247</v>
      </c>
      <c r="D27" s="23" t="s">
        <v>351</v>
      </c>
      <c r="E27" s="23"/>
      <c r="F27" s="23">
        <v>168</v>
      </c>
      <c r="G27" s="23">
        <v>280</v>
      </c>
      <c r="H27" s="23">
        <v>100</v>
      </c>
      <c r="I27" s="23">
        <v>100</v>
      </c>
      <c r="J27" s="23">
        <v>380</v>
      </c>
      <c r="K27" s="23">
        <f t="shared" si="17"/>
        <v>860</v>
      </c>
      <c r="L27" s="26">
        <v>11</v>
      </c>
      <c r="M27" s="26">
        <v>2.1</v>
      </c>
      <c r="N27" s="26">
        <v>2.2000000000000002</v>
      </c>
      <c r="O27" s="26">
        <v>17</v>
      </c>
      <c r="P27" s="26">
        <f t="shared" si="18"/>
        <v>32.299999999999997</v>
      </c>
      <c r="Q27" s="28">
        <f t="shared" si="10"/>
        <v>1369</v>
      </c>
      <c r="R27" s="28">
        <f t="shared" si="11"/>
        <v>307.89999999999998</v>
      </c>
      <c r="S27" s="28">
        <f t="shared" si="12"/>
        <v>317.8</v>
      </c>
      <c r="T27" s="28">
        <f t="shared" si="13"/>
        <v>2063</v>
      </c>
      <c r="U27" s="28">
        <f t="shared" si="14"/>
        <v>4057.7</v>
      </c>
    </row>
    <row r="28" spans="1:21" ht="15" customHeight="1">
      <c r="A28" s="23">
        <v>27</v>
      </c>
      <c r="B28" s="23" t="s">
        <v>292</v>
      </c>
      <c r="C28" s="23" t="s">
        <v>191</v>
      </c>
      <c r="D28" s="23" t="s">
        <v>296</v>
      </c>
      <c r="E28" s="23">
        <v>52</v>
      </c>
      <c r="F28" s="23">
        <v>176</v>
      </c>
      <c r="G28" s="23">
        <v>10</v>
      </c>
      <c r="H28" s="23">
        <v>10</v>
      </c>
      <c r="I28" s="23">
        <v>10</v>
      </c>
      <c r="J28" s="23">
        <v>0</v>
      </c>
      <c r="K28" s="23">
        <f t="shared" si="17"/>
        <v>30</v>
      </c>
      <c r="L28" s="26">
        <v>10</v>
      </c>
      <c r="M28" s="26">
        <v>7.1</v>
      </c>
      <c r="N28" s="26">
        <v>2.2999999999999998</v>
      </c>
      <c r="O28" s="26">
        <v>21</v>
      </c>
      <c r="P28" s="26">
        <f t="shared" si="18"/>
        <v>40.4</v>
      </c>
      <c r="Q28" s="28">
        <f t="shared" si="10"/>
        <v>1000</v>
      </c>
      <c r="R28" s="28">
        <f t="shared" si="11"/>
        <v>712.9</v>
      </c>
      <c r="S28" s="28">
        <f t="shared" si="12"/>
        <v>237.7</v>
      </c>
      <c r="T28" s="28">
        <f t="shared" si="13"/>
        <v>2079</v>
      </c>
      <c r="U28" s="28">
        <f t="shared" si="14"/>
        <v>4029.6</v>
      </c>
    </row>
    <row r="29" spans="1:21" ht="15" customHeight="1">
      <c r="A29" s="23">
        <v>28</v>
      </c>
      <c r="B29" s="23" t="s">
        <v>292</v>
      </c>
      <c r="C29" s="23" t="s">
        <v>183</v>
      </c>
      <c r="D29" s="23" t="s">
        <v>332</v>
      </c>
      <c r="E29" s="23"/>
      <c r="F29" s="23">
        <v>176</v>
      </c>
      <c r="G29" s="23">
        <v>499</v>
      </c>
      <c r="H29" s="23">
        <v>15</v>
      </c>
      <c r="I29" s="23">
        <v>199</v>
      </c>
      <c r="J29" s="23">
        <v>10</v>
      </c>
      <c r="K29" s="23">
        <f t="shared" si="17"/>
        <v>723</v>
      </c>
      <c r="L29" s="26">
        <v>23</v>
      </c>
      <c r="M29" s="26">
        <v>3.9</v>
      </c>
      <c r="N29" s="26">
        <v>5.7</v>
      </c>
      <c r="O29" s="26">
        <v>2.9</v>
      </c>
      <c r="P29" s="26">
        <f t="shared" si="18"/>
        <v>35.5</v>
      </c>
      <c r="Q29" s="28">
        <f t="shared" si="10"/>
        <v>2776</v>
      </c>
      <c r="R29" s="28">
        <f t="shared" si="11"/>
        <v>401.1</v>
      </c>
      <c r="S29" s="28">
        <f t="shared" si="12"/>
        <v>763.3</v>
      </c>
      <c r="T29" s="28">
        <f t="shared" si="13"/>
        <v>297.10000000000002</v>
      </c>
      <c r="U29" s="28">
        <f t="shared" si="14"/>
        <v>4237.5</v>
      </c>
    </row>
    <row r="30" spans="1:21" ht="15" customHeight="1">
      <c r="A30" s="23">
        <v>29</v>
      </c>
      <c r="B30" s="23" t="s">
        <v>292</v>
      </c>
      <c r="C30" s="23" t="s">
        <v>175</v>
      </c>
      <c r="D30" s="23" t="s">
        <v>277</v>
      </c>
      <c r="E30" s="23">
        <v>12</v>
      </c>
      <c r="F30" s="23">
        <v>156</v>
      </c>
      <c r="G30" s="23">
        <v>300</v>
      </c>
      <c r="H30" s="23">
        <v>118</v>
      </c>
      <c r="I30" s="23">
        <v>70</v>
      </c>
      <c r="J30" s="23">
        <v>380</v>
      </c>
      <c r="K30" s="23">
        <f t="shared" si="17"/>
        <v>868</v>
      </c>
      <c r="L30" s="26">
        <v>7</v>
      </c>
      <c r="M30" s="26">
        <v>6.3</v>
      </c>
      <c r="N30" s="26">
        <v>3.8</v>
      </c>
      <c r="O30" s="26">
        <v>12</v>
      </c>
      <c r="P30" s="26">
        <f t="shared" si="18"/>
        <v>29.1</v>
      </c>
      <c r="Q30" s="28">
        <f t="shared" si="10"/>
        <v>993</v>
      </c>
      <c r="R30" s="28">
        <f t="shared" si="11"/>
        <v>741.7</v>
      </c>
      <c r="S30" s="28">
        <f t="shared" si="12"/>
        <v>446.2</v>
      </c>
      <c r="T30" s="28">
        <f t="shared" si="13"/>
        <v>1568</v>
      </c>
      <c r="U30" s="28">
        <f t="shared" si="14"/>
        <v>3748.9</v>
      </c>
    </row>
    <row r="31" spans="1:21" ht="15" customHeight="1">
      <c r="A31" s="23">
        <v>30</v>
      </c>
      <c r="B31" s="23" t="s">
        <v>292</v>
      </c>
      <c r="C31" s="23" t="s">
        <v>181</v>
      </c>
      <c r="D31" s="23" t="s">
        <v>307</v>
      </c>
      <c r="E31" s="23">
        <v>16</v>
      </c>
      <c r="F31" s="23">
        <v>176</v>
      </c>
      <c r="G31" s="23">
        <v>500</v>
      </c>
      <c r="H31" s="23">
        <v>200</v>
      </c>
      <c r="I31" s="23">
        <v>180</v>
      </c>
      <c r="J31" s="23">
        <v>680</v>
      </c>
      <c r="K31" s="23">
        <f t="shared" si="17"/>
        <v>1560</v>
      </c>
      <c r="L31" s="26">
        <v>8</v>
      </c>
      <c r="M31" s="26">
        <v>4.0999999999999996</v>
      </c>
      <c r="N31" s="26">
        <v>2.5</v>
      </c>
      <c r="O31" s="26">
        <v>8</v>
      </c>
      <c r="P31" s="26">
        <f t="shared" si="18"/>
        <v>22.6</v>
      </c>
      <c r="Q31" s="28">
        <f t="shared" si="10"/>
        <v>1292</v>
      </c>
      <c r="R31" s="28">
        <f t="shared" si="11"/>
        <v>605.9</v>
      </c>
      <c r="S31" s="28">
        <f t="shared" si="12"/>
        <v>427.5</v>
      </c>
      <c r="T31" s="28">
        <f t="shared" si="13"/>
        <v>1472</v>
      </c>
      <c r="U31" s="28">
        <f t="shared" si="14"/>
        <v>3797.4</v>
      </c>
    </row>
    <row r="32" spans="1:21" ht="15" customHeight="1">
      <c r="A32" s="23">
        <v>31</v>
      </c>
      <c r="B32" s="23" t="s">
        <v>292</v>
      </c>
      <c r="C32" s="23" t="s">
        <v>10</v>
      </c>
      <c r="D32" s="23" t="s">
        <v>291</v>
      </c>
      <c r="E32" s="23">
        <v>18</v>
      </c>
      <c r="F32" s="23">
        <v>164</v>
      </c>
      <c r="G32" s="23">
        <v>199</v>
      </c>
      <c r="H32" s="23">
        <v>299</v>
      </c>
      <c r="I32" s="23">
        <v>99</v>
      </c>
      <c r="J32" s="23">
        <v>199</v>
      </c>
      <c r="K32" s="23">
        <f t="shared" si="17"/>
        <v>796</v>
      </c>
      <c r="L32" s="26">
        <v>9</v>
      </c>
      <c r="M32" s="26">
        <v>11.5</v>
      </c>
      <c r="N32" s="26">
        <v>3.6</v>
      </c>
      <c r="O32" s="26">
        <v>6</v>
      </c>
      <c r="P32" s="26">
        <f t="shared" si="18"/>
        <v>30.1</v>
      </c>
      <c r="Q32" s="28">
        <f t="shared" si="10"/>
        <v>1090</v>
      </c>
      <c r="R32" s="28">
        <f t="shared" si="11"/>
        <v>1437.5</v>
      </c>
      <c r="S32" s="28">
        <f t="shared" si="12"/>
        <v>455.4</v>
      </c>
      <c r="T32" s="28">
        <f t="shared" si="13"/>
        <v>793</v>
      </c>
      <c r="U32" s="28">
        <f t="shared" si="14"/>
        <v>3775.9</v>
      </c>
    </row>
    <row r="33" spans="1:21" ht="15" customHeight="1">
      <c r="A33" s="23">
        <v>32</v>
      </c>
      <c r="B33" s="23" t="s">
        <v>292</v>
      </c>
      <c r="C33" s="23" t="s">
        <v>164</v>
      </c>
      <c r="D33" s="23" t="s">
        <v>294</v>
      </c>
      <c r="E33" s="23">
        <v>25</v>
      </c>
      <c r="F33" s="23">
        <v>196</v>
      </c>
      <c r="G33" s="23">
        <v>240</v>
      </c>
      <c r="H33" s="23">
        <v>102</v>
      </c>
      <c r="I33" s="23">
        <v>92</v>
      </c>
      <c r="J33" s="23">
        <v>420</v>
      </c>
      <c r="K33" s="23">
        <f t="shared" si="17"/>
        <v>854</v>
      </c>
      <c r="L33" s="26">
        <v>11</v>
      </c>
      <c r="M33" s="26">
        <v>5.0999999999999996</v>
      </c>
      <c r="N33" s="26">
        <v>4.0999999999999996</v>
      </c>
      <c r="O33" s="26">
        <v>15</v>
      </c>
      <c r="P33" s="26">
        <f t="shared" si="18"/>
        <v>35.200000000000003</v>
      </c>
      <c r="Q33" s="28">
        <f t="shared" si="10"/>
        <v>1329</v>
      </c>
      <c r="R33" s="28">
        <f t="shared" si="11"/>
        <v>606.9</v>
      </c>
      <c r="S33" s="28">
        <f t="shared" si="12"/>
        <v>497.9</v>
      </c>
      <c r="T33" s="28">
        <f t="shared" si="13"/>
        <v>1905</v>
      </c>
      <c r="U33" s="28">
        <f t="shared" si="14"/>
        <v>4338.8</v>
      </c>
    </row>
    <row r="34" spans="1:21" ht="15" customHeight="1">
      <c r="A34" s="23">
        <v>33</v>
      </c>
      <c r="B34" s="23" t="s">
        <v>292</v>
      </c>
      <c r="C34" s="23" t="s">
        <v>31</v>
      </c>
      <c r="D34" s="23" t="s">
        <v>643</v>
      </c>
      <c r="E34" s="23"/>
      <c r="F34" s="23">
        <v>168</v>
      </c>
      <c r="G34" s="23">
        <v>245</v>
      </c>
      <c r="H34" s="23">
        <v>325</v>
      </c>
      <c r="I34" s="23">
        <v>105</v>
      </c>
      <c r="J34" s="23">
        <v>180</v>
      </c>
      <c r="K34" s="23">
        <f t="shared" si="17"/>
        <v>855</v>
      </c>
      <c r="L34" s="26">
        <v>12.7</v>
      </c>
      <c r="M34" s="26">
        <v>7.5</v>
      </c>
      <c r="N34" s="26">
        <v>6.9</v>
      </c>
      <c r="O34" s="26">
        <v>7.2</v>
      </c>
      <c r="P34" s="26">
        <f t="shared" si="18"/>
        <v>34.299999999999997</v>
      </c>
      <c r="Q34" s="28">
        <f t="shared" si="10"/>
        <v>1502.3</v>
      </c>
      <c r="R34" s="28">
        <f t="shared" si="11"/>
        <v>1067.5</v>
      </c>
      <c r="S34" s="28">
        <f t="shared" si="12"/>
        <v>788.1</v>
      </c>
      <c r="T34" s="28">
        <f t="shared" si="13"/>
        <v>892.8</v>
      </c>
      <c r="U34" s="28">
        <f t="shared" si="14"/>
        <v>4250.7</v>
      </c>
    </row>
    <row r="35" spans="1:21" ht="15" customHeight="1">
      <c r="A35" s="23">
        <v>34</v>
      </c>
      <c r="B35" s="23" t="s">
        <v>292</v>
      </c>
      <c r="C35" s="23" t="s">
        <v>178</v>
      </c>
      <c r="D35" s="23" t="s">
        <v>338</v>
      </c>
      <c r="E35" s="23"/>
      <c r="F35" s="23">
        <v>180</v>
      </c>
      <c r="G35" s="23">
        <v>180</v>
      </c>
      <c r="H35" s="23">
        <v>100</v>
      </c>
      <c r="I35" s="23">
        <v>120</v>
      </c>
      <c r="J35" s="23">
        <v>360</v>
      </c>
      <c r="K35" s="23">
        <f t="shared" si="17"/>
        <v>760</v>
      </c>
      <c r="L35" s="26">
        <v>10</v>
      </c>
      <c r="M35" s="26">
        <v>4.5999999999999996</v>
      </c>
      <c r="N35" s="26">
        <v>6.5</v>
      </c>
      <c r="O35" s="26">
        <v>12</v>
      </c>
      <c r="P35" s="26">
        <f t="shared" si="18"/>
        <v>33.1</v>
      </c>
      <c r="Q35" s="28">
        <f t="shared" si="10"/>
        <v>1170</v>
      </c>
      <c r="R35" s="28">
        <f t="shared" si="11"/>
        <v>555.4</v>
      </c>
      <c r="S35" s="28">
        <f t="shared" si="12"/>
        <v>763.5</v>
      </c>
      <c r="T35" s="28">
        <f t="shared" si="13"/>
        <v>1548</v>
      </c>
      <c r="U35" s="28">
        <f t="shared" si="14"/>
        <v>4036.9</v>
      </c>
    </row>
    <row r="36" spans="1:21" ht="15" customHeight="1">
      <c r="A36" s="23">
        <v>35</v>
      </c>
      <c r="B36" s="23" t="s">
        <v>292</v>
      </c>
      <c r="C36" s="23" t="s">
        <v>644</v>
      </c>
      <c r="D36" s="23" t="s">
        <v>297</v>
      </c>
      <c r="E36" s="23">
        <v>68</v>
      </c>
      <c r="F36" s="23">
        <v>172</v>
      </c>
      <c r="G36" s="23">
        <v>410</v>
      </c>
      <c r="H36" s="23">
        <v>64</v>
      </c>
      <c r="I36" s="23">
        <v>165</v>
      </c>
      <c r="J36" s="23">
        <v>100</v>
      </c>
      <c r="K36" s="23">
        <f t="shared" si="17"/>
        <v>739</v>
      </c>
      <c r="L36" s="26">
        <v>13</v>
      </c>
      <c r="M36" s="26">
        <v>3.9</v>
      </c>
      <c r="N36" s="26">
        <v>6.1</v>
      </c>
      <c r="O36" s="26">
        <v>7</v>
      </c>
      <c r="P36" s="26">
        <f t="shared" si="18"/>
        <v>30</v>
      </c>
      <c r="Q36" s="28">
        <f t="shared" si="10"/>
        <v>1697</v>
      </c>
      <c r="R36" s="28">
        <f t="shared" si="11"/>
        <v>450.1</v>
      </c>
      <c r="S36" s="28">
        <f t="shared" si="12"/>
        <v>768.9</v>
      </c>
      <c r="T36" s="28">
        <f t="shared" si="13"/>
        <v>793</v>
      </c>
      <c r="U36" s="28">
        <f t="shared" si="14"/>
        <v>3709</v>
      </c>
    </row>
    <row r="37" spans="1:21" ht="15" customHeight="1">
      <c r="A37" s="23">
        <v>36</v>
      </c>
      <c r="B37" s="23" t="s">
        <v>292</v>
      </c>
      <c r="C37" s="23" t="s">
        <v>4</v>
      </c>
      <c r="D37" s="23" t="s">
        <v>645</v>
      </c>
      <c r="E37" s="23"/>
      <c r="F37" s="23">
        <v>208</v>
      </c>
      <c r="G37" s="23">
        <v>300</v>
      </c>
      <c r="H37" s="23">
        <v>180</v>
      </c>
      <c r="I37" s="23">
        <v>150</v>
      </c>
      <c r="J37" s="23">
        <v>350</v>
      </c>
      <c r="K37" s="23">
        <f t="shared" si="17"/>
        <v>980</v>
      </c>
      <c r="L37" s="26">
        <v>10</v>
      </c>
      <c r="M37" s="26">
        <v>9.1999999999999993</v>
      </c>
      <c r="N37" s="26">
        <v>3.2</v>
      </c>
      <c r="O37" s="26">
        <v>12</v>
      </c>
      <c r="P37" s="26">
        <f t="shared" si="18"/>
        <v>34.4</v>
      </c>
      <c r="Q37" s="28">
        <f t="shared" si="10"/>
        <v>1290</v>
      </c>
      <c r="R37" s="28">
        <f t="shared" si="11"/>
        <v>1090.8</v>
      </c>
      <c r="S37" s="28">
        <f t="shared" si="12"/>
        <v>466.8</v>
      </c>
      <c r="T37" s="28">
        <f t="shared" si="13"/>
        <v>1538</v>
      </c>
      <c r="U37" s="28">
        <f t="shared" ref="U37:U65" si="19">SUM(Q37:T37)</f>
        <v>4385.6000000000004</v>
      </c>
    </row>
    <row r="38" spans="1:21" ht="15" customHeight="1">
      <c r="A38" s="23">
        <v>37</v>
      </c>
      <c r="B38" s="23" t="s">
        <v>292</v>
      </c>
      <c r="C38" s="23" t="s">
        <v>184</v>
      </c>
      <c r="D38" s="23" t="s">
        <v>296</v>
      </c>
      <c r="E38" s="23">
        <v>52</v>
      </c>
      <c r="F38" s="32">
        <v>156</v>
      </c>
      <c r="G38" s="23">
        <v>160</v>
      </c>
      <c r="H38" s="23">
        <v>96</v>
      </c>
      <c r="I38" s="23">
        <v>82</v>
      </c>
      <c r="J38" s="23">
        <v>480</v>
      </c>
      <c r="K38" s="23">
        <f t="shared" si="17"/>
        <v>818</v>
      </c>
      <c r="L38" s="26">
        <v>8</v>
      </c>
      <c r="M38" s="26">
        <v>4.5</v>
      </c>
      <c r="N38" s="26">
        <v>4.0999999999999996</v>
      </c>
      <c r="O38" s="26">
        <v>12</v>
      </c>
      <c r="P38" s="26">
        <f t="shared" si="18"/>
        <v>28.6</v>
      </c>
      <c r="Q38" s="28">
        <f t="shared" si="10"/>
        <v>952</v>
      </c>
      <c r="R38" s="28">
        <f t="shared" si="11"/>
        <v>541.5</v>
      </c>
      <c r="S38" s="28">
        <f t="shared" si="12"/>
        <v>487.9</v>
      </c>
      <c r="T38" s="28">
        <f t="shared" si="13"/>
        <v>1668</v>
      </c>
      <c r="U38" s="28">
        <f t="shared" si="19"/>
        <v>3649.4</v>
      </c>
    </row>
    <row r="39" spans="1:21" ht="15" customHeight="1">
      <c r="A39" s="23">
        <v>38</v>
      </c>
      <c r="B39" s="23" t="s">
        <v>292</v>
      </c>
      <c r="C39" s="23" t="s">
        <v>166</v>
      </c>
      <c r="D39" s="23" t="s">
        <v>299</v>
      </c>
      <c r="E39" s="23">
        <v>50</v>
      </c>
      <c r="F39" s="23">
        <v>180</v>
      </c>
      <c r="G39" s="23">
        <v>180</v>
      </c>
      <c r="H39" s="23">
        <v>150</v>
      </c>
      <c r="I39" s="23">
        <v>80</v>
      </c>
      <c r="J39" s="23">
        <v>360</v>
      </c>
      <c r="K39" s="23">
        <f t="shared" si="17"/>
        <v>770</v>
      </c>
      <c r="L39" s="26">
        <v>10</v>
      </c>
      <c r="M39" s="26">
        <v>7.1</v>
      </c>
      <c r="N39" s="26">
        <v>4</v>
      </c>
      <c r="O39" s="26">
        <v>12</v>
      </c>
      <c r="P39" s="26">
        <f t="shared" si="18"/>
        <v>33.1</v>
      </c>
      <c r="Q39" s="28">
        <f t="shared" si="10"/>
        <v>1170</v>
      </c>
      <c r="R39" s="28">
        <f t="shared" si="11"/>
        <v>852.9</v>
      </c>
      <c r="S39" s="28">
        <f t="shared" si="12"/>
        <v>476</v>
      </c>
      <c r="T39" s="28">
        <f t="shared" si="13"/>
        <v>1548</v>
      </c>
      <c r="U39" s="28">
        <f t="shared" si="19"/>
        <v>4046.9</v>
      </c>
    </row>
    <row r="40" spans="1:21" ht="15" customHeight="1">
      <c r="A40" s="23">
        <v>39</v>
      </c>
      <c r="B40" s="23" t="s">
        <v>292</v>
      </c>
      <c r="C40" s="23" t="s">
        <v>179</v>
      </c>
      <c r="D40" s="23" t="s">
        <v>315</v>
      </c>
      <c r="E40" s="23">
        <v>10</v>
      </c>
      <c r="F40" s="23">
        <v>180</v>
      </c>
      <c r="G40" s="23">
        <v>300</v>
      </c>
      <c r="H40" s="23">
        <v>200</v>
      </c>
      <c r="I40" s="23">
        <v>1</v>
      </c>
      <c r="J40" s="23">
        <v>360</v>
      </c>
      <c r="K40" s="23">
        <f t="shared" si="17"/>
        <v>861</v>
      </c>
      <c r="L40" s="26">
        <v>8</v>
      </c>
      <c r="M40" s="26">
        <v>9.1</v>
      </c>
      <c r="N40" s="26">
        <v>0</v>
      </c>
      <c r="O40" s="26">
        <v>15</v>
      </c>
      <c r="P40" s="26">
        <f t="shared" si="18"/>
        <v>32.1</v>
      </c>
      <c r="Q40" s="28">
        <f t="shared" si="10"/>
        <v>1092</v>
      </c>
      <c r="R40" s="28">
        <f t="shared" si="11"/>
        <v>1100.9000000000001</v>
      </c>
      <c r="S40" s="28">
        <f t="shared" si="12"/>
        <v>1</v>
      </c>
      <c r="T40" s="28">
        <f t="shared" si="13"/>
        <v>1845</v>
      </c>
      <c r="U40" s="28">
        <f t="shared" si="19"/>
        <v>4038.9</v>
      </c>
    </row>
    <row r="41" spans="1:21" ht="15" customHeight="1">
      <c r="A41" s="23">
        <v>40</v>
      </c>
      <c r="B41" s="23" t="s">
        <v>292</v>
      </c>
      <c r="C41" s="23" t="s">
        <v>168</v>
      </c>
      <c r="D41" s="23" t="s">
        <v>303</v>
      </c>
      <c r="E41" s="23">
        <v>56</v>
      </c>
      <c r="F41" s="23">
        <v>164</v>
      </c>
      <c r="G41" s="23">
        <v>300</v>
      </c>
      <c r="H41" s="23">
        <v>200</v>
      </c>
      <c r="I41" s="23">
        <v>125</v>
      </c>
      <c r="J41" s="23">
        <v>213</v>
      </c>
      <c r="K41" s="23">
        <f t="shared" si="17"/>
        <v>838</v>
      </c>
      <c r="L41" s="26">
        <v>11</v>
      </c>
      <c r="M41" s="26">
        <v>8.8000000000000007</v>
      </c>
      <c r="N41" s="26">
        <v>5.2</v>
      </c>
      <c r="O41" s="26">
        <v>9</v>
      </c>
      <c r="P41" s="26">
        <f t="shared" si="18"/>
        <v>34</v>
      </c>
      <c r="Q41" s="28">
        <f t="shared" si="10"/>
        <v>1389</v>
      </c>
      <c r="R41" s="28">
        <f t="shared" si="11"/>
        <v>1071.2</v>
      </c>
      <c r="S41" s="28">
        <f t="shared" si="12"/>
        <v>639.79999999999995</v>
      </c>
      <c r="T41" s="28">
        <f t="shared" si="13"/>
        <v>1104</v>
      </c>
      <c r="U41" s="28">
        <f t="shared" si="19"/>
        <v>4204</v>
      </c>
    </row>
    <row r="42" spans="1:21" ht="15" customHeight="1">
      <c r="A42" s="23">
        <v>41</v>
      </c>
      <c r="B42" s="23" t="s">
        <v>292</v>
      </c>
      <c r="C42" s="23" t="s">
        <v>199</v>
      </c>
      <c r="D42" s="23" t="s">
        <v>300</v>
      </c>
      <c r="E42" s="23">
        <v>59</v>
      </c>
      <c r="F42" s="23">
        <v>168</v>
      </c>
      <c r="G42" s="23">
        <v>188</v>
      </c>
      <c r="H42" s="23">
        <v>220</v>
      </c>
      <c r="I42" s="23">
        <v>100</v>
      </c>
      <c r="J42" s="23">
        <v>100</v>
      </c>
      <c r="K42" s="23">
        <f t="shared" si="17"/>
        <v>608</v>
      </c>
      <c r="L42" s="26">
        <v>14.9</v>
      </c>
      <c r="M42" s="26">
        <v>10</v>
      </c>
      <c r="N42" s="26">
        <v>4.5999999999999996</v>
      </c>
      <c r="O42" s="26">
        <v>5</v>
      </c>
      <c r="P42" s="26">
        <f t="shared" si="18"/>
        <v>34.5</v>
      </c>
      <c r="Q42" s="28">
        <f t="shared" si="10"/>
        <v>1663.1</v>
      </c>
      <c r="R42" s="28">
        <f t="shared" si="11"/>
        <v>1210</v>
      </c>
      <c r="S42" s="28">
        <f t="shared" si="12"/>
        <v>555.4</v>
      </c>
      <c r="T42" s="28">
        <f t="shared" si="13"/>
        <v>595</v>
      </c>
      <c r="U42" s="28">
        <f t="shared" si="19"/>
        <v>4023.5</v>
      </c>
    </row>
    <row r="43" spans="1:21" ht="15" customHeight="1">
      <c r="A43" s="23">
        <v>42</v>
      </c>
      <c r="B43" s="23" t="s">
        <v>292</v>
      </c>
      <c r="C43" s="23" t="s">
        <v>176</v>
      </c>
      <c r="D43" s="23" t="s">
        <v>309</v>
      </c>
      <c r="E43" s="23">
        <v>33</v>
      </c>
      <c r="F43" s="23">
        <v>164</v>
      </c>
      <c r="G43" s="23">
        <v>300</v>
      </c>
      <c r="H43" s="23">
        <v>120</v>
      </c>
      <c r="I43" s="23">
        <v>70</v>
      </c>
      <c r="J43" s="23">
        <v>200</v>
      </c>
      <c r="K43" s="23">
        <f t="shared" si="17"/>
        <v>690</v>
      </c>
      <c r="L43" s="26">
        <v>12</v>
      </c>
      <c r="M43" s="26">
        <v>6.1</v>
      </c>
      <c r="N43" s="26">
        <v>3.5</v>
      </c>
      <c r="O43" s="26">
        <v>8</v>
      </c>
      <c r="P43" s="26">
        <f t="shared" si="18"/>
        <v>29.6</v>
      </c>
      <c r="Q43" s="28">
        <f t="shared" si="10"/>
        <v>1488</v>
      </c>
      <c r="R43" s="28">
        <f t="shared" si="11"/>
        <v>723.9</v>
      </c>
      <c r="S43" s="28">
        <f t="shared" si="12"/>
        <v>416.5</v>
      </c>
      <c r="T43" s="28">
        <f t="shared" si="13"/>
        <v>992</v>
      </c>
      <c r="U43" s="28">
        <f t="shared" si="19"/>
        <v>3620.4</v>
      </c>
    </row>
    <row r="44" spans="1:21" ht="15" customHeight="1">
      <c r="A44" s="23">
        <v>43</v>
      </c>
      <c r="B44" s="23" t="s">
        <v>292</v>
      </c>
      <c r="C44" s="23" t="s">
        <v>646</v>
      </c>
      <c r="D44" s="23" t="s">
        <v>647</v>
      </c>
      <c r="E44" s="23"/>
      <c r="F44" s="23">
        <v>156</v>
      </c>
      <c r="G44" s="23">
        <v>203</v>
      </c>
      <c r="H44" s="23">
        <v>130</v>
      </c>
      <c r="I44" s="23">
        <v>67</v>
      </c>
      <c r="J44" s="23">
        <v>290</v>
      </c>
      <c r="K44" s="23">
        <f t="shared" si="17"/>
        <v>690</v>
      </c>
      <c r="L44" s="26">
        <v>8</v>
      </c>
      <c r="M44" s="26">
        <v>7.9</v>
      </c>
      <c r="N44" s="26">
        <v>2.2999999999999998</v>
      </c>
      <c r="O44" s="26">
        <v>8.6999999999999993</v>
      </c>
      <c r="P44" s="26">
        <f t="shared" si="18"/>
        <v>26.9</v>
      </c>
      <c r="Q44" s="28">
        <f t="shared" si="10"/>
        <v>995</v>
      </c>
      <c r="R44" s="28">
        <f t="shared" si="11"/>
        <v>912.1</v>
      </c>
      <c r="S44" s="28">
        <f t="shared" si="12"/>
        <v>294.7</v>
      </c>
      <c r="T44" s="28">
        <f t="shared" si="13"/>
        <v>1151.3</v>
      </c>
      <c r="U44" s="28">
        <f t="shared" si="19"/>
        <v>3353.1</v>
      </c>
    </row>
    <row r="45" spans="1:21" ht="15" customHeight="1">
      <c r="A45" s="23">
        <v>44</v>
      </c>
      <c r="B45" s="23" t="s">
        <v>292</v>
      </c>
      <c r="C45" s="23" t="s">
        <v>180</v>
      </c>
      <c r="D45" s="23" t="s">
        <v>648</v>
      </c>
      <c r="E45" s="23">
        <v>54</v>
      </c>
      <c r="F45" s="23">
        <v>204</v>
      </c>
      <c r="G45" s="23">
        <v>280</v>
      </c>
      <c r="H45" s="23">
        <v>150</v>
      </c>
      <c r="I45" s="23">
        <v>160</v>
      </c>
      <c r="J45" s="23">
        <v>500</v>
      </c>
      <c r="K45" s="23">
        <f t="shared" si="17"/>
        <v>1090</v>
      </c>
      <c r="L45" s="26">
        <v>10</v>
      </c>
      <c r="M45" s="26">
        <v>4.0999999999999996</v>
      </c>
      <c r="N45" s="26">
        <v>4.0999999999999996</v>
      </c>
      <c r="O45" s="26">
        <v>16</v>
      </c>
      <c r="P45" s="26">
        <f t="shared" si="18"/>
        <v>34.200000000000003</v>
      </c>
      <c r="Q45" s="28">
        <f t="shared" si="10"/>
        <v>1270</v>
      </c>
      <c r="R45" s="28">
        <f t="shared" si="11"/>
        <v>555.9</v>
      </c>
      <c r="S45" s="28">
        <f t="shared" si="12"/>
        <v>565.9</v>
      </c>
      <c r="T45" s="28">
        <f t="shared" si="13"/>
        <v>2084</v>
      </c>
      <c r="U45" s="28">
        <f t="shared" si="19"/>
        <v>4475.8</v>
      </c>
    </row>
    <row r="46" spans="1:21" ht="15" customHeight="1">
      <c r="A46" s="23">
        <v>45</v>
      </c>
      <c r="B46" s="23" t="s">
        <v>292</v>
      </c>
      <c r="C46" s="23" t="s">
        <v>167</v>
      </c>
      <c r="D46" s="23" t="s">
        <v>297</v>
      </c>
      <c r="E46" s="23">
        <v>68</v>
      </c>
      <c r="F46" s="23">
        <v>160</v>
      </c>
      <c r="G46" s="23">
        <v>200</v>
      </c>
      <c r="H46" s="23">
        <v>88</v>
      </c>
      <c r="I46" s="23">
        <v>104</v>
      </c>
      <c r="J46" s="23">
        <v>270</v>
      </c>
      <c r="K46" s="23">
        <f t="shared" si="17"/>
        <v>662</v>
      </c>
      <c r="L46" s="26">
        <v>10</v>
      </c>
      <c r="M46" s="26">
        <v>4.4000000000000004</v>
      </c>
      <c r="N46" s="26">
        <v>5.2</v>
      </c>
      <c r="O46" s="26">
        <v>10</v>
      </c>
      <c r="P46" s="26">
        <f t="shared" si="18"/>
        <v>29.6</v>
      </c>
      <c r="Q46" s="28">
        <f t="shared" si="10"/>
        <v>1190</v>
      </c>
      <c r="R46" s="28">
        <f t="shared" si="11"/>
        <v>523.6</v>
      </c>
      <c r="S46" s="28">
        <f t="shared" si="12"/>
        <v>618.79999999999995</v>
      </c>
      <c r="T46" s="28">
        <f t="shared" si="13"/>
        <v>1260</v>
      </c>
      <c r="U46" s="28">
        <f t="shared" si="19"/>
        <v>3592.4</v>
      </c>
    </row>
    <row r="47" spans="1:21" ht="15" customHeight="1">
      <c r="A47" s="23">
        <v>46</v>
      </c>
      <c r="B47" s="23" t="s">
        <v>292</v>
      </c>
      <c r="C47" s="23" t="s">
        <v>187</v>
      </c>
      <c r="D47" s="23" t="s">
        <v>311</v>
      </c>
      <c r="E47" s="23">
        <v>32</v>
      </c>
      <c r="F47" s="23">
        <v>164</v>
      </c>
      <c r="G47" s="23">
        <v>180</v>
      </c>
      <c r="H47" s="23">
        <v>118</v>
      </c>
      <c r="I47" s="23">
        <v>70</v>
      </c>
      <c r="J47" s="23">
        <v>330</v>
      </c>
      <c r="K47" s="23">
        <f t="shared" si="17"/>
        <v>698</v>
      </c>
      <c r="L47" s="26">
        <v>9</v>
      </c>
      <c r="M47" s="26">
        <v>5.9</v>
      </c>
      <c r="N47" s="26">
        <v>3.5</v>
      </c>
      <c r="O47" s="26">
        <v>11</v>
      </c>
      <c r="P47" s="26">
        <f t="shared" si="18"/>
        <v>29.4</v>
      </c>
      <c r="Q47" s="28">
        <f t="shared" si="10"/>
        <v>1071</v>
      </c>
      <c r="R47" s="28">
        <f t="shared" si="11"/>
        <v>702.1</v>
      </c>
      <c r="S47" s="28">
        <f t="shared" si="12"/>
        <v>416.5</v>
      </c>
      <c r="T47" s="28">
        <f t="shared" si="13"/>
        <v>1419</v>
      </c>
      <c r="U47" s="28">
        <f t="shared" si="19"/>
        <v>3608.6</v>
      </c>
    </row>
    <row r="48" spans="1:21" ht="15" customHeight="1">
      <c r="A48" s="23">
        <v>47</v>
      </c>
      <c r="B48" s="23" t="s">
        <v>292</v>
      </c>
      <c r="C48" s="23" t="s">
        <v>261</v>
      </c>
      <c r="D48" s="23" t="s">
        <v>291</v>
      </c>
      <c r="E48" s="23">
        <v>18</v>
      </c>
      <c r="F48" s="23">
        <v>168</v>
      </c>
      <c r="G48" s="23">
        <v>300</v>
      </c>
      <c r="H48" s="23">
        <v>240</v>
      </c>
      <c r="I48" s="23">
        <v>120</v>
      </c>
      <c r="J48" s="23">
        <v>180</v>
      </c>
      <c r="K48" s="23">
        <f t="shared" si="17"/>
        <v>840</v>
      </c>
      <c r="L48" s="26">
        <v>10.9</v>
      </c>
      <c r="M48" s="26">
        <v>9.1</v>
      </c>
      <c r="N48" s="26">
        <v>3</v>
      </c>
      <c r="O48" s="26">
        <v>7</v>
      </c>
      <c r="P48" s="26">
        <f t="shared" si="18"/>
        <v>30</v>
      </c>
      <c r="Q48" s="28">
        <f>ROUND(G48+L48*($V$2-1),0)</f>
        <v>1379</v>
      </c>
      <c r="R48" s="28">
        <f>ROUND(H48+M48*($V$2-1),0)</f>
        <v>1141</v>
      </c>
      <c r="S48" s="28">
        <f t="shared" ref="S48:S49" si="20">I48+N48*($V$2-1)</f>
        <v>417</v>
      </c>
      <c r="T48" s="28">
        <f t="shared" ref="T48:T49" si="21">J48+O48*($V$2-1)</f>
        <v>873</v>
      </c>
      <c r="U48" s="28">
        <f t="shared" si="19"/>
        <v>3810</v>
      </c>
    </row>
    <row r="49" spans="1:21" ht="15" customHeight="1">
      <c r="A49" s="23">
        <v>48</v>
      </c>
      <c r="B49" s="25" t="s">
        <v>292</v>
      </c>
      <c r="C49" s="25" t="s">
        <v>240</v>
      </c>
      <c r="D49" s="25" t="s">
        <v>336</v>
      </c>
      <c r="E49" s="23">
        <v>52</v>
      </c>
      <c r="F49" s="23">
        <v>168</v>
      </c>
      <c r="G49" s="23">
        <v>345</v>
      </c>
      <c r="H49" s="23">
        <v>150</v>
      </c>
      <c r="I49" s="23">
        <v>105</v>
      </c>
      <c r="J49" s="23">
        <v>255</v>
      </c>
      <c r="K49" s="23">
        <f t="shared" si="17"/>
        <v>855</v>
      </c>
      <c r="L49" s="26">
        <v>12</v>
      </c>
      <c r="M49" s="26">
        <v>6.9</v>
      </c>
      <c r="N49" s="26">
        <v>6.5</v>
      </c>
      <c r="O49" s="26">
        <v>8.9</v>
      </c>
      <c r="P49" s="26">
        <f t="shared" si="18"/>
        <v>34.299999999999997</v>
      </c>
      <c r="Q49" s="28">
        <f t="shared" ref="Q49:Q51" si="22">ROUND(G49+L49*($V$2-1),0)</f>
        <v>1533</v>
      </c>
      <c r="R49" s="28">
        <f t="shared" ref="R49:R51" si="23">ROUND(H49+M49*($V$2-1),0)</f>
        <v>833</v>
      </c>
      <c r="S49" s="28">
        <f t="shared" si="20"/>
        <v>748.5</v>
      </c>
      <c r="T49" s="28">
        <f t="shared" si="21"/>
        <v>1136.0999999999999</v>
      </c>
      <c r="U49" s="28">
        <f t="shared" si="19"/>
        <v>4250.6000000000004</v>
      </c>
    </row>
    <row r="50" spans="1:21" ht="15" customHeight="1">
      <c r="A50" s="23">
        <v>49</v>
      </c>
      <c r="B50" s="25" t="s">
        <v>292</v>
      </c>
      <c r="C50" s="25" t="s">
        <v>201</v>
      </c>
      <c r="D50" s="25" t="s">
        <v>321</v>
      </c>
      <c r="E50" s="23">
        <v>40</v>
      </c>
      <c r="F50" s="23">
        <v>192</v>
      </c>
      <c r="G50" s="23">
        <v>200</v>
      </c>
      <c r="H50" s="23">
        <v>220</v>
      </c>
      <c r="I50" s="23">
        <v>240</v>
      </c>
      <c r="J50" s="23">
        <v>160</v>
      </c>
      <c r="K50" s="23">
        <f t="shared" ref="K50:K55" si="24">J50+I50+H50+G50</f>
        <v>820</v>
      </c>
      <c r="L50" s="26">
        <v>14</v>
      </c>
      <c r="M50" s="26">
        <v>6.1</v>
      </c>
      <c r="N50" s="26">
        <v>6.7</v>
      </c>
      <c r="O50" s="26">
        <v>7</v>
      </c>
      <c r="P50" s="26">
        <f t="shared" ref="P50" si="25">O50+N50+M50+L50</f>
        <v>33.799999999999997</v>
      </c>
      <c r="Q50" s="28">
        <f t="shared" si="22"/>
        <v>1586</v>
      </c>
      <c r="R50" s="28">
        <f t="shared" si="23"/>
        <v>824</v>
      </c>
      <c r="S50" s="28">
        <f t="shared" ref="S50" si="26">I50+N50*($V$2-1)</f>
        <v>903.3</v>
      </c>
      <c r="T50" s="28">
        <f t="shared" ref="T50:T55" si="27">J50+O50*($V$2-1)</f>
        <v>853</v>
      </c>
      <c r="U50" s="28">
        <f t="shared" si="19"/>
        <v>4166.3</v>
      </c>
    </row>
    <row r="51" spans="1:21" ht="15" customHeight="1">
      <c r="A51" s="23">
        <v>48</v>
      </c>
      <c r="B51" s="25" t="s">
        <v>292</v>
      </c>
      <c r="C51" s="25" t="s">
        <v>252</v>
      </c>
      <c r="D51" s="25" t="s">
        <v>336</v>
      </c>
      <c r="E51" s="23">
        <v>52</v>
      </c>
      <c r="F51" s="23">
        <v>208</v>
      </c>
      <c r="G51" s="23">
        <v>260</v>
      </c>
      <c r="H51" s="23">
        <v>120</v>
      </c>
      <c r="I51" s="23">
        <v>265</v>
      </c>
      <c r="J51" s="23">
        <v>320</v>
      </c>
      <c r="K51" s="23">
        <f t="shared" si="24"/>
        <v>965</v>
      </c>
      <c r="L51" s="26">
        <v>10</v>
      </c>
      <c r="M51" s="26">
        <v>5.4</v>
      </c>
      <c r="N51" s="26">
        <v>8.3000000000000007</v>
      </c>
      <c r="O51" s="26">
        <v>11</v>
      </c>
      <c r="P51" s="26">
        <f t="shared" ref="P51:P71" si="28">O51+N51+M51+L51</f>
        <v>34.700000000000003</v>
      </c>
      <c r="Q51" s="28">
        <f t="shared" si="22"/>
        <v>1250</v>
      </c>
      <c r="R51" s="28">
        <f t="shared" si="23"/>
        <v>655</v>
      </c>
      <c r="S51" s="28">
        <f t="shared" ref="S51:S66" si="29">I51+N51*($V$2-1)</f>
        <v>1086.7</v>
      </c>
      <c r="T51" s="28">
        <f t="shared" si="27"/>
        <v>1409</v>
      </c>
      <c r="U51" s="28">
        <f t="shared" si="19"/>
        <v>4400.7</v>
      </c>
    </row>
    <row r="52" spans="1:21" ht="15.75" customHeight="1">
      <c r="A52" s="23">
        <v>23</v>
      </c>
      <c r="B52" s="23" t="s">
        <v>292</v>
      </c>
      <c r="C52" s="23" t="s">
        <v>220</v>
      </c>
      <c r="D52" s="23" t="s">
        <v>318</v>
      </c>
      <c r="E52" s="23">
        <v>30</v>
      </c>
      <c r="F52" s="23">
        <v>176</v>
      </c>
      <c r="G52" s="23">
        <v>279</v>
      </c>
      <c r="H52" s="23">
        <v>225</v>
      </c>
      <c r="I52" s="23">
        <v>203</v>
      </c>
      <c r="J52" s="23">
        <v>20</v>
      </c>
      <c r="K52" s="23">
        <f t="shared" si="24"/>
        <v>727</v>
      </c>
      <c r="L52" s="26">
        <v>18</v>
      </c>
      <c r="M52" s="26">
        <v>7.6</v>
      </c>
      <c r="N52" s="26">
        <v>6.2</v>
      </c>
      <c r="O52" s="26">
        <v>1.9</v>
      </c>
      <c r="P52" s="26">
        <f t="shared" si="28"/>
        <v>33.700000000000003</v>
      </c>
      <c r="Q52" s="28">
        <f t="shared" ref="Q52:R52" si="30">G52+L52*($V$2-1)</f>
        <v>2061</v>
      </c>
      <c r="R52" s="28">
        <f t="shared" si="30"/>
        <v>977.4</v>
      </c>
      <c r="S52" s="28">
        <f t="shared" si="29"/>
        <v>816.8</v>
      </c>
      <c r="T52" s="28">
        <f t="shared" si="27"/>
        <v>208.1</v>
      </c>
      <c r="U52" s="28">
        <f t="shared" si="19"/>
        <v>4063.3</v>
      </c>
    </row>
    <row r="53" spans="1:21" ht="15.75" customHeight="1">
      <c r="A53" s="23">
        <v>23</v>
      </c>
      <c r="B53" s="23" t="s">
        <v>292</v>
      </c>
      <c r="C53" s="25" t="s">
        <v>233</v>
      </c>
      <c r="D53" s="25" t="s">
        <v>323</v>
      </c>
      <c r="E53" s="23">
        <v>80</v>
      </c>
      <c r="F53" s="23">
        <v>176</v>
      </c>
      <c r="G53" s="23">
        <v>300</v>
      </c>
      <c r="H53" s="23">
        <v>200</v>
      </c>
      <c r="I53" s="23">
        <v>160</v>
      </c>
      <c r="J53" s="23">
        <v>70</v>
      </c>
      <c r="K53" s="23">
        <f t="shared" si="24"/>
        <v>730</v>
      </c>
      <c r="L53" s="26">
        <v>12</v>
      </c>
      <c r="M53" s="26">
        <v>6.1</v>
      </c>
      <c r="N53" s="26">
        <v>7.9</v>
      </c>
      <c r="O53" s="26">
        <v>7.7</v>
      </c>
      <c r="P53" s="26">
        <f t="shared" si="28"/>
        <v>33.700000000000003</v>
      </c>
      <c r="Q53" s="28">
        <f t="shared" ref="Q53:R55" si="31">G53+L53*($V$2-1)</f>
        <v>1488</v>
      </c>
      <c r="R53" s="28">
        <f t="shared" si="31"/>
        <v>803.9</v>
      </c>
      <c r="S53" s="28">
        <f t="shared" si="29"/>
        <v>942.1</v>
      </c>
      <c r="T53" s="28">
        <f t="shared" si="27"/>
        <v>832.3</v>
      </c>
      <c r="U53" s="28">
        <f t="shared" si="19"/>
        <v>4066.3</v>
      </c>
    </row>
    <row r="54" spans="1:21" ht="15.75" customHeight="1">
      <c r="A54" s="23">
        <v>23</v>
      </c>
      <c r="B54" s="23" t="s">
        <v>292</v>
      </c>
      <c r="C54" s="25" t="s">
        <v>239</v>
      </c>
      <c r="D54" s="25" t="s">
        <v>322</v>
      </c>
      <c r="E54" s="23">
        <v>36</v>
      </c>
      <c r="F54" s="23">
        <v>176</v>
      </c>
      <c r="G54" s="23">
        <v>301</v>
      </c>
      <c r="H54" s="23">
        <v>196</v>
      </c>
      <c r="I54" s="23">
        <v>163</v>
      </c>
      <c r="J54" s="23">
        <v>70</v>
      </c>
      <c r="K54" s="23">
        <f t="shared" si="24"/>
        <v>730</v>
      </c>
      <c r="L54" s="26">
        <v>15</v>
      </c>
      <c r="M54" s="26">
        <v>8</v>
      </c>
      <c r="N54" s="26">
        <v>6</v>
      </c>
      <c r="O54" s="26">
        <v>4.7</v>
      </c>
      <c r="P54" s="26">
        <f t="shared" si="28"/>
        <v>33.700000000000003</v>
      </c>
      <c r="Q54" s="28">
        <f t="shared" si="31"/>
        <v>1786</v>
      </c>
      <c r="R54" s="28">
        <f t="shared" si="31"/>
        <v>988</v>
      </c>
      <c r="S54" s="28">
        <f t="shared" si="29"/>
        <v>757</v>
      </c>
      <c r="T54" s="28">
        <f t="shared" si="27"/>
        <v>535.29999999999995</v>
      </c>
      <c r="U54" s="28">
        <f t="shared" si="19"/>
        <v>4066.3</v>
      </c>
    </row>
    <row r="55" spans="1:21" ht="15.75" customHeight="1">
      <c r="A55" s="23">
        <v>23</v>
      </c>
      <c r="B55" s="23" t="s">
        <v>292</v>
      </c>
      <c r="C55" s="25" t="s">
        <v>243</v>
      </c>
      <c r="D55" s="25" t="s">
        <v>324</v>
      </c>
      <c r="E55" s="23">
        <v>18</v>
      </c>
      <c r="F55" s="23">
        <v>176</v>
      </c>
      <c r="G55" s="23">
        <v>229</v>
      </c>
      <c r="H55" s="23">
        <v>175</v>
      </c>
      <c r="I55" s="23">
        <v>153</v>
      </c>
      <c r="J55" s="23">
        <v>170</v>
      </c>
      <c r="K55" s="23">
        <f t="shared" si="24"/>
        <v>727</v>
      </c>
      <c r="L55" s="26">
        <v>18</v>
      </c>
      <c r="M55" s="26">
        <v>8.6</v>
      </c>
      <c r="N55" s="26">
        <v>3.2</v>
      </c>
      <c r="O55" s="26">
        <v>3.9</v>
      </c>
      <c r="P55" s="26">
        <f t="shared" si="28"/>
        <v>33.700000000000003</v>
      </c>
      <c r="Q55" s="28">
        <f t="shared" si="31"/>
        <v>2011</v>
      </c>
      <c r="R55" s="28">
        <f t="shared" si="31"/>
        <v>1026.4000000000001</v>
      </c>
      <c r="S55" s="28">
        <f t="shared" si="29"/>
        <v>469.8</v>
      </c>
      <c r="T55" s="28">
        <f t="shared" si="27"/>
        <v>556.1</v>
      </c>
      <c r="U55" s="28">
        <f t="shared" si="19"/>
        <v>4063.3</v>
      </c>
    </row>
    <row r="56" spans="1:21" ht="15" customHeight="1">
      <c r="A56" s="23">
        <v>55</v>
      </c>
      <c r="B56" s="25" t="s">
        <v>292</v>
      </c>
      <c r="C56" s="25" t="s">
        <v>262</v>
      </c>
      <c r="D56" s="25" t="s">
        <v>337</v>
      </c>
      <c r="E56" s="23">
        <v>24</v>
      </c>
      <c r="F56" s="23">
        <v>208</v>
      </c>
      <c r="G56" s="23">
        <v>285</v>
      </c>
      <c r="H56" s="23">
        <v>300</v>
      </c>
      <c r="I56" s="23">
        <v>105</v>
      </c>
      <c r="J56" s="23">
        <v>310</v>
      </c>
      <c r="K56" s="23">
        <f t="shared" ref="K56" si="32">J56+I56+H56+G56</f>
        <v>1000</v>
      </c>
      <c r="L56" s="26">
        <v>11</v>
      </c>
      <c r="M56" s="26">
        <v>8.6999999999999993</v>
      </c>
      <c r="N56" s="26">
        <v>6.3</v>
      </c>
      <c r="O56" s="26">
        <v>11</v>
      </c>
      <c r="P56" s="26">
        <f t="shared" si="28"/>
        <v>37</v>
      </c>
      <c r="Q56" s="28">
        <f t="shared" ref="Q56:Q66" si="33">ROUND(G56+L56*($V$2-1),0)</f>
        <v>1374</v>
      </c>
      <c r="R56" s="28">
        <f t="shared" ref="R56:R67" si="34">ROUND(H56+M56*($V$2-1),0)</f>
        <v>1161</v>
      </c>
      <c r="S56" s="28">
        <f t="shared" si="29"/>
        <v>728.7</v>
      </c>
      <c r="T56" s="28">
        <f t="shared" ref="T56" si="35">ROUND(J56+O56*($V$2-1),0)</f>
        <v>1399</v>
      </c>
      <c r="U56" s="28">
        <f t="shared" si="19"/>
        <v>4662.7</v>
      </c>
    </row>
    <row r="57" spans="1:21" ht="15" customHeight="1">
      <c r="A57" s="23">
        <v>56</v>
      </c>
      <c r="B57" s="25" t="s">
        <v>292</v>
      </c>
      <c r="C57" s="25" t="s">
        <v>206</v>
      </c>
      <c r="D57" s="25" t="s">
        <v>326</v>
      </c>
      <c r="E57" s="23">
        <v>74</v>
      </c>
      <c r="F57" s="23">
        <v>200</v>
      </c>
      <c r="G57" s="23">
        <v>210</v>
      </c>
      <c r="H57" s="23">
        <v>200</v>
      </c>
      <c r="I57" s="23">
        <v>143</v>
      </c>
      <c r="J57" s="23">
        <v>239</v>
      </c>
      <c r="K57" s="23">
        <f t="shared" ref="K57:K67" si="36">J57+I57+H57+G57</f>
        <v>792</v>
      </c>
      <c r="L57" s="26">
        <v>11</v>
      </c>
      <c r="M57" s="26">
        <v>9.3000000000000007</v>
      </c>
      <c r="N57" s="26">
        <v>5.9</v>
      </c>
      <c r="O57" s="26">
        <v>7.6</v>
      </c>
      <c r="P57" s="26">
        <f t="shared" si="28"/>
        <v>33.799999999999997</v>
      </c>
      <c r="Q57" s="28">
        <f t="shared" si="33"/>
        <v>1299</v>
      </c>
      <c r="R57" s="28">
        <f t="shared" si="34"/>
        <v>1121</v>
      </c>
      <c r="S57" s="28">
        <f t="shared" si="29"/>
        <v>727.1</v>
      </c>
      <c r="T57" s="28">
        <f t="shared" ref="T57:T65" si="37">ROUND(J57+O57*($V$2-1),0)</f>
        <v>991</v>
      </c>
      <c r="U57" s="28">
        <f t="shared" si="19"/>
        <v>4138.1000000000004</v>
      </c>
    </row>
    <row r="58" spans="1:21" ht="15" customHeight="1">
      <c r="A58" s="23">
        <v>57</v>
      </c>
      <c r="B58" s="25" t="s">
        <v>292</v>
      </c>
      <c r="C58" s="25" t="s">
        <v>171</v>
      </c>
      <c r="D58" s="25" t="s">
        <v>327</v>
      </c>
      <c r="E58" s="23">
        <v>22</v>
      </c>
      <c r="F58" s="23">
        <v>200</v>
      </c>
      <c r="G58" s="23">
        <v>226</v>
      </c>
      <c r="H58" s="23">
        <v>225</v>
      </c>
      <c r="I58" s="23">
        <v>121</v>
      </c>
      <c r="J58" s="23">
        <v>220</v>
      </c>
      <c r="K58" s="23">
        <f t="shared" si="36"/>
        <v>792</v>
      </c>
      <c r="L58" s="26">
        <v>12</v>
      </c>
      <c r="M58" s="26">
        <v>10.9</v>
      </c>
      <c r="N58" s="26">
        <v>4.3</v>
      </c>
      <c r="O58" s="26">
        <v>6.6</v>
      </c>
      <c r="P58" s="26">
        <f t="shared" si="28"/>
        <v>33.799999999999997</v>
      </c>
      <c r="Q58" s="28">
        <f t="shared" si="33"/>
        <v>1414</v>
      </c>
      <c r="R58" s="28">
        <f t="shared" si="34"/>
        <v>1304</v>
      </c>
      <c r="S58" s="28">
        <f t="shared" si="29"/>
        <v>546.70000000000005</v>
      </c>
      <c r="T58" s="28">
        <f t="shared" si="37"/>
        <v>873</v>
      </c>
      <c r="U58" s="28">
        <f t="shared" si="19"/>
        <v>4137.7</v>
      </c>
    </row>
    <row r="59" spans="1:21" ht="15" customHeight="1">
      <c r="A59" s="23">
        <v>58</v>
      </c>
      <c r="B59" s="25" t="s">
        <v>292</v>
      </c>
      <c r="C59" s="25" t="s">
        <v>246</v>
      </c>
      <c r="D59" s="25" t="s">
        <v>328</v>
      </c>
      <c r="E59" s="23">
        <v>76</v>
      </c>
      <c r="F59" s="23">
        <v>208</v>
      </c>
      <c r="G59" s="23">
        <v>310</v>
      </c>
      <c r="H59" s="23">
        <v>190</v>
      </c>
      <c r="I59" s="23">
        <v>150</v>
      </c>
      <c r="J59" s="23">
        <v>350</v>
      </c>
      <c r="K59" s="23">
        <f t="shared" si="36"/>
        <v>1000</v>
      </c>
      <c r="L59" s="26">
        <v>13</v>
      </c>
      <c r="M59" s="26">
        <v>7.6</v>
      </c>
      <c r="N59" s="26">
        <v>6.4</v>
      </c>
      <c r="O59" s="26">
        <v>8</v>
      </c>
      <c r="P59" s="26">
        <f t="shared" si="28"/>
        <v>35</v>
      </c>
      <c r="Q59" s="28">
        <f t="shared" si="33"/>
        <v>1597</v>
      </c>
      <c r="R59" s="28">
        <f t="shared" si="34"/>
        <v>942</v>
      </c>
      <c r="S59" s="28">
        <f t="shared" si="29"/>
        <v>783.6</v>
      </c>
      <c r="T59" s="28">
        <f t="shared" si="37"/>
        <v>1142</v>
      </c>
      <c r="U59" s="28">
        <f t="shared" si="19"/>
        <v>4464.6000000000004</v>
      </c>
    </row>
    <row r="60" spans="1:21" ht="15" customHeight="1">
      <c r="A60" s="23">
        <v>59</v>
      </c>
      <c r="B60" s="25" t="s">
        <v>292</v>
      </c>
      <c r="C60" s="25" t="s">
        <v>224</v>
      </c>
      <c r="D60" s="25" t="s">
        <v>330</v>
      </c>
      <c r="E60" s="23">
        <v>23</v>
      </c>
      <c r="F60" s="23">
        <v>200</v>
      </c>
      <c r="G60" s="23">
        <v>298</v>
      </c>
      <c r="H60" s="23">
        <v>280</v>
      </c>
      <c r="I60" s="23">
        <v>140</v>
      </c>
      <c r="J60" s="23">
        <v>120</v>
      </c>
      <c r="K60" s="23">
        <f t="shared" si="36"/>
        <v>838</v>
      </c>
      <c r="L60" s="26">
        <v>14</v>
      </c>
      <c r="M60" s="26">
        <v>8.1999999999999993</v>
      </c>
      <c r="N60" s="26">
        <v>3.5</v>
      </c>
      <c r="O60" s="26">
        <v>8</v>
      </c>
      <c r="P60" s="26">
        <f t="shared" si="28"/>
        <v>33.700000000000003</v>
      </c>
      <c r="Q60" s="28">
        <f t="shared" si="33"/>
        <v>1684</v>
      </c>
      <c r="R60" s="28">
        <f t="shared" si="34"/>
        <v>1092</v>
      </c>
      <c r="S60" s="28">
        <f t="shared" si="29"/>
        <v>486.5</v>
      </c>
      <c r="T60" s="28">
        <f t="shared" si="37"/>
        <v>912</v>
      </c>
      <c r="U60" s="28">
        <f t="shared" si="19"/>
        <v>4174.5</v>
      </c>
    </row>
    <row r="61" spans="1:21" ht="15" customHeight="1">
      <c r="A61" s="23">
        <v>60</v>
      </c>
      <c r="B61" s="25" t="s">
        <v>292</v>
      </c>
      <c r="C61" s="25" t="s">
        <v>8</v>
      </c>
      <c r="D61" s="25" t="s">
        <v>331</v>
      </c>
      <c r="E61" s="23">
        <v>27</v>
      </c>
      <c r="F61" s="23">
        <v>208</v>
      </c>
      <c r="G61" s="23">
        <v>340</v>
      </c>
      <c r="H61" s="23">
        <v>260</v>
      </c>
      <c r="I61" s="23">
        <v>140</v>
      </c>
      <c r="J61" s="23">
        <v>100</v>
      </c>
      <c r="K61" s="23">
        <f t="shared" si="36"/>
        <v>840</v>
      </c>
      <c r="L61" s="26">
        <v>11</v>
      </c>
      <c r="M61" s="26">
        <v>9.3000000000000007</v>
      </c>
      <c r="N61" s="26">
        <v>5.0999999999999996</v>
      </c>
      <c r="O61" s="26">
        <v>8</v>
      </c>
      <c r="P61" s="26">
        <f t="shared" si="28"/>
        <v>33.4</v>
      </c>
      <c r="Q61" s="28">
        <f t="shared" si="33"/>
        <v>1429</v>
      </c>
      <c r="R61" s="28">
        <f t="shared" si="34"/>
        <v>1181</v>
      </c>
      <c r="S61" s="28">
        <f t="shared" si="29"/>
        <v>644.9</v>
      </c>
      <c r="T61" s="28">
        <f t="shared" si="37"/>
        <v>892</v>
      </c>
      <c r="U61" s="28">
        <f t="shared" si="19"/>
        <v>4146.8999999999996</v>
      </c>
    </row>
    <row r="62" spans="1:21" ht="15" customHeight="1">
      <c r="A62" s="23"/>
      <c r="B62" s="25" t="s">
        <v>292</v>
      </c>
      <c r="C62" s="25" t="s">
        <v>649</v>
      </c>
      <c r="D62" s="25" t="s">
        <v>650</v>
      </c>
      <c r="E62" s="23"/>
      <c r="F62" s="23">
        <v>200</v>
      </c>
      <c r="G62" s="23">
        <v>334</v>
      </c>
      <c r="H62" s="23">
        <v>245</v>
      </c>
      <c r="I62" s="23">
        <v>130</v>
      </c>
      <c r="J62" s="23">
        <v>290</v>
      </c>
      <c r="K62" s="23">
        <f t="shared" si="36"/>
        <v>999</v>
      </c>
      <c r="L62" s="26">
        <v>9.4</v>
      </c>
      <c r="M62" s="26">
        <v>4.5</v>
      </c>
      <c r="N62" s="26">
        <v>5.3</v>
      </c>
      <c r="O62" s="26">
        <v>14.2</v>
      </c>
      <c r="P62" s="26">
        <f t="shared" si="28"/>
        <v>33.4</v>
      </c>
      <c r="Q62" s="28">
        <f t="shared" si="33"/>
        <v>1265</v>
      </c>
      <c r="R62" s="28">
        <f t="shared" si="34"/>
        <v>691</v>
      </c>
      <c r="S62" s="28">
        <f t="shared" si="29"/>
        <v>654.70000000000005</v>
      </c>
      <c r="T62" s="28">
        <f t="shared" si="37"/>
        <v>1696</v>
      </c>
      <c r="U62" s="28">
        <f t="shared" si="19"/>
        <v>4306.7</v>
      </c>
    </row>
    <row r="63" spans="1:21" ht="15" customHeight="1">
      <c r="A63" s="23"/>
      <c r="B63" s="25" t="s">
        <v>292</v>
      </c>
      <c r="C63" s="25" t="s">
        <v>6</v>
      </c>
      <c r="D63" s="25" t="s">
        <v>333</v>
      </c>
      <c r="E63" s="23">
        <v>24</v>
      </c>
      <c r="F63" s="23">
        <v>200</v>
      </c>
      <c r="G63" s="23">
        <v>200</v>
      </c>
      <c r="H63" s="23">
        <v>299</v>
      </c>
      <c r="I63" s="23">
        <v>145</v>
      </c>
      <c r="J63" s="23">
        <v>200</v>
      </c>
      <c r="K63" s="23">
        <f t="shared" si="36"/>
        <v>844</v>
      </c>
      <c r="L63" s="26">
        <v>10</v>
      </c>
      <c r="M63" s="26">
        <v>9.1</v>
      </c>
      <c r="N63" s="26">
        <v>6.3</v>
      </c>
      <c r="O63" s="26">
        <v>8</v>
      </c>
      <c r="P63" s="26">
        <f t="shared" si="28"/>
        <v>33.4</v>
      </c>
      <c r="Q63" s="28">
        <f t="shared" si="33"/>
        <v>1190</v>
      </c>
      <c r="R63" s="28">
        <f t="shared" si="34"/>
        <v>1200</v>
      </c>
      <c r="S63" s="28">
        <f t="shared" si="29"/>
        <v>768.7</v>
      </c>
      <c r="T63" s="28">
        <f t="shared" si="37"/>
        <v>992</v>
      </c>
      <c r="U63" s="28">
        <f t="shared" si="19"/>
        <v>4150.7</v>
      </c>
    </row>
    <row r="64" spans="1:21" ht="15" customHeight="1">
      <c r="A64" s="23"/>
      <c r="B64" s="25" t="s">
        <v>292</v>
      </c>
      <c r="C64" s="25" t="s">
        <v>651</v>
      </c>
      <c r="D64" s="25" t="s">
        <v>652</v>
      </c>
      <c r="E64" s="23"/>
      <c r="F64" s="23">
        <v>200</v>
      </c>
      <c r="G64" s="23">
        <v>225</v>
      </c>
      <c r="H64" s="23">
        <v>340</v>
      </c>
      <c r="I64" s="23">
        <v>90</v>
      </c>
      <c r="J64" s="23">
        <v>205</v>
      </c>
      <c r="K64" s="23">
        <f t="shared" si="36"/>
        <v>860</v>
      </c>
      <c r="L64" s="26">
        <v>9.3000000000000007</v>
      </c>
      <c r="M64" s="26">
        <v>1.6</v>
      </c>
      <c r="N64" s="26">
        <v>11</v>
      </c>
      <c r="O64" s="26">
        <v>10</v>
      </c>
      <c r="P64" s="26">
        <f t="shared" si="28"/>
        <v>31.9</v>
      </c>
      <c r="Q64" s="28">
        <f t="shared" si="33"/>
        <v>1146</v>
      </c>
      <c r="R64" s="28">
        <f t="shared" si="34"/>
        <v>498</v>
      </c>
      <c r="S64" s="28">
        <f t="shared" si="29"/>
        <v>1179</v>
      </c>
      <c r="T64" s="28">
        <f t="shared" si="37"/>
        <v>1195</v>
      </c>
      <c r="U64" s="28">
        <f t="shared" si="19"/>
        <v>4018</v>
      </c>
    </row>
    <row r="65" spans="1:21" ht="15" customHeight="1">
      <c r="A65" s="23">
        <v>61</v>
      </c>
      <c r="B65" s="23" t="s">
        <v>292</v>
      </c>
      <c r="C65" s="23" t="s">
        <v>653</v>
      </c>
      <c r="D65" s="23" t="s">
        <v>654</v>
      </c>
      <c r="E65" s="23">
        <v>38</v>
      </c>
      <c r="F65" s="23">
        <v>208</v>
      </c>
      <c r="G65" s="23">
        <v>218</v>
      </c>
      <c r="H65" s="23">
        <v>212</v>
      </c>
      <c r="I65" s="23">
        <v>132</v>
      </c>
      <c r="J65" s="23">
        <v>230</v>
      </c>
      <c r="K65" s="23">
        <f t="shared" si="36"/>
        <v>792</v>
      </c>
      <c r="L65" s="26">
        <v>12.5</v>
      </c>
      <c r="M65" s="26">
        <v>8.1</v>
      </c>
      <c r="N65" s="26">
        <v>6.5</v>
      </c>
      <c r="O65" s="26">
        <v>6.7</v>
      </c>
      <c r="P65" s="26">
        <f t="shared" si="28"/>
        <v>33.799999999999997</v>
      </c>
      <c r="Q65" s="28">
        <f t="shared" si="33"/>
        <v>1456</v>
      </c>
      <c r="R65" s="28">
        <f t="shared" si="34"/>
        <v>1014</v>
      </c>
      <c r="S65" s="28">
        <f t="shared" si="29"/>
        <v>775.5</v>
      </c>
      <c r="T65" s="28">
        <f t="shared" si="37"/>
        <v>893</v>
      </c>
      <c r="U65" s="28">
        <f t="shared" si="19"/>
        <v>4138.5</v>
      </c>
    </row>
    <row r="66" spans="1:21" ht="15" customHeight="1">
      <c r="A66" s="23"/>
      <c r="B66" s="23" t="s">
        <v>292</v>
      </c>
      <c r="C66" s="23" t="s">
        <v>655</v>
      </c>
      <c r="D66" s="23" t="s">
        <v>656</v>
      </c>
      <c r="E66" s="23"/>
      <c r="F66" s="23"/>
      <c r="G66" s="23">
        <v>130</v>
      </c>
      <c r="H66" s="23">
        <v>92</v>
      </c>
      <c r="I66" s="23">
        <v>80</v>
      </c>
      <c r="J66" s="23">
        <v>480</v>
      </c>
      <c r="K66" s="23">
        <f t="shared" si="36"/>
        <v>782</v>
      </c>
      <c r="L66" s="26">
        <v>5.2</v>
      </c>
      <c r="M66" s="26">
        <v>3.4</v>
      </c>
      <c r="N66" s="26">
        <v>4.8</v>
      </c>
      <c r="O66" s="26">
        <v>20</v>
      </c>
      <c r="P66" s="26">
        <f t="shared" si="28"/>
        <v>33.4</v>
      </c>
      <c r="Q66" s="28">
        <f t="shared" si="33"/>
        <v>645</v>
      </c>
      <c r="R66" s="28">
        <f t="shared" si="34"/>
        <v>429</v>
      </c>
      <c r="S66" s="28">
        <f t="shared" si="29"/>
        <v>555.20000000000005</v>
      </c>
      <c r="T66" s="28"/>
      <c r="U66" s="28"/>
    </row>
    <row r="67" spans="1:21" ht="15" customHeight="1">
      <c r="A67" s="23">
        <v>62</v>
      </c>
      <c r="B67" s="23"/>
      <c r="C67" s="23"/>
      <c r="D67" s="23"/>
      <c r="E67" s="23"/>
      <c r="F67" s="23"/>
      <c r="G67" s="23"/>
      <c r="H67" s="23"/>
      <c r="I67" s="23"/>
      <c r="J67" s="23"/>
      <c r="K67" s="23">
        <f t="shared" si="36"/>
        <v>0</v>
      </c>
      <c r="L67" s="26"/>
      <c r="M67" s="26"/>
      <c r="N67" s="26"/>
      <c r="O67" s="26"/>
      <c r="P67" s="26">
        <f t="shared" si="28"/>
        <v>0</v>
      </c>
      <c r="Q67" s="28">
        <f t="shared" ref="Q67" si="38">ROUND(G67+L67*($V$2-1),0)</f>
        <v>0</v>
      </c>
      <c r="R67" s="28">
        <f t="shared" si="34"/>
        <v>0</v>
      </c>
      <c r="S67" s="28">
        <f t="shared" ref="S67:T67" si="39">ROUND(I67+N67*($V$2-1),0)</f>
        <v>0</v>
      </c>
      <c r="T67" s="28">
        <f t="shared" si="39"/>
        <v>0</v>
      </c>
      <c r="U67" s="28">
        <f>SUM(Q67:T67)</f>
        <v>0</v>
      </c>
    </row>
    <row r="68" spans="1:21" ht="15" customHeight="1">
      <c r="A68" s="23">
        <v>63</v>
      </c>
      <c r="B68" s="23" t="s">
        <v>302</v>
      </c>
      <c r="C68" s="23" t="s">
        <v>245</v>
      </c>
      <c r="D68" s="23" t="s">
        <v>312</v>
      </c>
      <c r="E68" s="23">
        <v>36</v>
      </c>
      <c r="F68" s="23"/>
      <c r="G68" s="23">
        <v>95</v>
      </c>
      <c r="H68" s="23">
        <v>95</v>
      </c>
      <c r="I68" s="23">
        <v>95</v>
      </c>
      <c r="J68" s="23">
        <v>95</v>
      </c>
      <c r="K68" s="23">
        <f t="shared" ref="K68" si="40">J68+I68+H68+G68</f>
        <v>380</v>
      </c>
      <c r="L68" s="26">
        <v>6</v>
      </c>
      <c r="M68" s="26">
        <v>6</v>
      </c>
      <c r="N68" s="26">
        <v>6</v>
      </c>
      <c r="O68" s="26">
        <v>6</v>
      </c>
      <c r="P68" s="26">
        <f t="shared" si="28"/>
        <v>24</v>
      </c>
      <c r="Q68" s="28">
        <f t="shared" ref="Q68" si="41">ROUND(G68+L68*($V$2-1),0)</f>
        <v>689</v>
      </c>
      <c r="R68" s="28">
        <f t="shared" ref="R68" si="42">ROUND(H68+M68*($V$2-1),0)</f>
        <v>689</v>
      </c>
      <c r="S68" s="28">
        <f t="shared" ref="S68:S98" si="43">ROUND(I68+N68*($V$2-1),0)</f>
        <v>689</v>
      </c>
      <c r="T68" s="28">
        <f t="shared" ref="T68" si="44">ROUND(J68+O68*($V$2-1),0)</f>
        <v>689</v>
      </c>
      <c r="U68" s="28">
        <f>SUM(Q68:T68)</f>
        <v>2756</v>
      </c>
    </row>
    <row r="69" spans="1:21" ht="15" customHeight="1">
      <c r="A69" s="23">
        <v>64</v>
      </c>
      <c r="B69" s="23" t="s">
        <v>302</v>
      </c>
      <c r="C69" s="23" t="s">
        <v>192</v>
      </c>
      <c r="D69" s="23" t="s">
        <v>311</v>
      </c>
      <c r="E69" s="23">
        <v>32</v>
      </c>
      <c r="F69" s="23"/>
      <c r="G69" s="23">
        <v>120</v>
      </c>
      <c r="H69" s="23">
        <v>90</v>
      </c>
      <c r="I69" s="23">
        <v>70</v>
      </c>
      <c r="J69" s="23">
        <v>60</v>
      </c>
      <c r="K69" s="23">
        <f t="shared" ref="K69:K105" si="45">J69+I69+H69+G69</f>
        <v>340</v>
      </c>
      <c r="L69" s="26">
        <v>9</v>
      </c>
      <c r="M69" s="26">
        <v>5.9</v>
      </c>
      <c r="N69" s="26">
        <v>3</v>
      </c>
      <c r="O69" s="26">
        <v>5</v>
      </c>
      <c r="P69" s="26">
        <f t="shared" si="28"/>
        <v>22.9</v>
      </c>
      <c r="Q69" s="28">
        <f t="shared" ref="Q69:Q101" si="46">ROUND(G69+L69*($V$2-1),0)</f>
        <v>1011</v>
      </c>
      <c r="R69" s="28">
        <f t="shared" ref="R69:R101" si="47">ROUND(H69+M69*($V$2-1),0)</f>
        <v>674</v>
      </c>
      <c r="S69" s="28">
        <f t="shared" si="43"/>
        <v>367</v>
      </c>
      <c r="T69" s="28">
        <f t="shared" ref="T69:T99" si="48">ROUND(J69+O69*($V$2-1),0)</f>
        <v>555</v>
      </c>
      <c r="U69" s="28">
        <f t="shared" ref="U69" si="49">SUM(Q69:T69)</f>
        <v>2607</v>
      </c>
    </row>
    <row r="70" spans="1:21" ht="15" customHeight="1">
      <c r="A70" s="23">
        <v>65</v>
      </c>
      <c r="B70" s="23" t="s">
        <v>302</v>
      </c>
      <c r="C70" s="23" t="s">
        <v>193</v>
      </c>
      <c r="D70" s="23" t="s">
        <v>315</v>
      </c>
      <c r="E70" s="23">
        <v>10</v>
      </c>
      <c r="F70" s="23"/>
      <c r="G70" s="23">
        <v>100</v>
      </c>
      <c r="H70" s="23">
        <v>60</v>
      </c>
      <c r="I70" s="23">
        <v>95</v>
      </c>
      <c r="J70" s="23">
        <v>150</v>
      </c>
      <c r="K70" s="23">
        <f t="shared" si="45"/>
        <v>405</v>
      </c>
      <c r="L70" s="26">
        <v>5</v>
      </c>
      <c r="M70" s="26">
        <v>3.1</v>
      </c>
      <c r="N70" s="26">
        <v>5.8</v>
      </c>
      <c r="O70" s="26">
        <v>9</v>
      </c>
      <c r="P70" s="26">
        <f t="shared" si="28"/>
        <v>22.9</v>
      </c>
      <c r="Q70" s="28">
        <f t="shared" si="46"/>
        <v>595</v>
      </c>
      <c r="R70" s="28">
        <f t="shared" si="47"/>
        <v>367</v>
      </c>
      <c r="S70" s="28">
        <f t="shared" si="43"/>
        <v>669</v>
      </c>
      <c r="T70" s="28">
        <f t="shared" si="48"/>
        <v>1041</v>
      </c>
      <c r="U70" s="28">
        <f t="shared" ref="U70:U101" si="50">SUM(Q70:T70)</f>
        <v>2672</v>
      </c>
    </row>
    <row r="71" spans="1:21" ht="15" customHeight="1">
      <c r="A71" s="23">
        <v>66</v>
      </c>
      <c r="B71" s="23" t="s">
        <v>302</v>
      </c>
      <c r="C71" s="23" t="s">
        <v>248</v>
      </c>
      <c r="D71" s="23" t="s">
        <v>286</v>
      </c>
      <c r="E71" s="23">
        <v>3</v>
      </c>
      <c r="F71" s="23"/>
      <c r="G71" s="23">
        <v>180</v>
      </c>
      <c r="H71" s="23">
        <v>50</v>
      </c>
      <c r="I71" s="23">
        <v>110</v>
      </c>
      <c r="J71" s="23">
        <v>80</v>
      </c>
      <c r="K71" s="23">
        <f t="shared" si="45"/>
        <v>420</v>
      </c>
      <c r="L71" s="26">
        <v>8</v>
      </c>
      <c r="M71" s="26">
        <v>3</v>
      </c>
      <c r="N71" s="26">
        <v>4</v>
      </c>
      <c r="O71" s="26">
        <v>6</v>
      </c>
      <c r="P71" s="26">
        <f t="shared" si="28"/>
        <v>21</v>
      </c>
      <c r="Q71" s="28">
        <f t="shared" si="46"/>
        <v>972</v>
      </c>
      <c r="R71" s="28">
        <f t="shared" si="47"/>
        <v>347</v>
      </c>
      <c r="S71" s="28">
        <f t="shared" si="43"/>
        <v>506</v>
      </c>
      <c r="T71" s="28">
        <f t="shared" si="48"/>
        <v>674</v>
      </c>
      <c r="U71" s="28">
        <f t="shared" si="50"/>
        <v>2499</v>
      </c>
    </row>
    <row r="72" spans="1:21" ht="15" customHeight="1">
      <c r="A72" s="23">
        <v>67</v>
      </c>
      <c r="B72" s="23" t="s">
        <v>302</v>
      </c>
      <c r="C72" s="23" t="s">
        <v>207</v>
      </c>
      <c r="D72" s="23" t="s">
        <v>304</v>
      </c>
      <c r="E72" s="23">
        <v>16</v>
      </c>
      <c r="F72" s="23"/>
      <c r="G72" s="23">
        <v>120</v>
      </c>
      <c r="H72" s="23">
        <v>66</v>
      </c>
      <c r="I72" s="23">
        <v>57</v>
      </c>
      <c r="J72" s="23">
        <v>90</v>
      </c>
      <c r="K72" s="23">
        <f t="shared" si="45"/>
        <v>333</v>
      </c>
      <c r="L72" s="26">
        <v>8</v>
      </c>
      <c r="M72" s="26">
        <v>4.5</v>
      </c>
      <c r="N72" s="26">
        <v>4</v>
      </c>
      <c r="O72" s="26">
        <v>6</v>
      </c>
      <c r="P72" s="26">
        <f t="shared" ref="P72" si="51">O72+N72+M72+L72</f>
        <v>22.5</v>
      </c>
      <c r="Q72" s="28">
        <f t="shared" si="46"/>
        <v>912</v>
      </c>
      <c r="R72" s="28">
        <f t="shared" si="47"/>
        <v>512</v>
      </c>
      <c r="S72" s="28">
        <f t="shared" si="43"/>
        <v>453</v>
      </c>
      <c r="T72" s="28">
        <f t="shared" si="48"/>
        <v>684</v>
      </c>
      <c r="U72" s="28">
        <f t="shared" si="50"/>
        <v>2561</v>
      </c>
    </row>
    <row r="73" spans="1:21" ht="15" customHeight="1">
      <c r="A73" s="23">
        <v>68</v>
      </c>
      <c r="B73" s="23" t="s">
        <v>302</v>
      </c>
      <c r="C73" s="23" t="s">
        <v>208</v>
      </c>
      <c r="D73" s="23" t="s">
        <v>313</v>
      </c>
      <c r="E73" s="23">
        <v>42</v>
      </c>
      <c r="F73" s="23"/>
      <c r="G73" s="23">
        <v>120</v>
      </c>
      <c r="H73" s="23">
        <v>73</v>
      </c>
      <c r="I73" s="23">
        <v>60</v>
      </c>
      <c r="J73" s="23">
        <v>120</v>
      </c>
      <c r="K73" s="23">
        <f t="shared" si="45"/>
        <v>373</v>
      </c>
      <c r="L73" s="26">
        <v>8</v>
      </c>
      <c r="M73" s="26">
        <v>4.9000000000000004</v>
      </c>
      <c r="N73" s="26">
        <v>3.8</v>
      </c>
      <c r="O73" s="26">
        <v>8</v>
      </c>
      <c r="P73" s="26">
        <f t="shared" ref="P73:P105" si="52">O73+N73+M73+L73</f>
        <v>24.7</v>
      </c>
      <c r="Q73" s="28">
        <f t="shared" si="46"/>
        <v>912</v>
      </c>
      <c r="R73" s="28">
        <f t="shared" si="47"/>
        <v>558</v>
      </c>
      <c r="S73" s="28">
        <f t="shared" si="43"/>
        <v>436</v>
      </c>
      <c r="T73" s="28">
        <f t="shared" si="48"/>
        <v>912</v>
      </c>
      <c r="U73" s="28">
        <f t="shared" si="50"/>
        <v>2818</v>
      </c>
    </row>
    <row r="74" spans="1:21" ht="15" customHeight="1">
      <c r="A74" s="23">
        <v>69</v>
      </c>
      <c r="B74" s="23" t="s">
        <v>302</v>
      </c>
      <c r="C74" s="23" t="s">
        <v>210</v>
      </c>
      <c r="D74" s="23" t="s">
        <v>309</v>
      </c>
      <c r="E74" s="23">
        <v>33</v>
      </c>
      <c r="F74" s="23"/>
      <c r="G74" s="23">
        <v>120</v>
      </c>
      <c r="H74" s="23">
        <v>72</v>
      </c>
      <c r="I74" s="23">
        <v>49</v>
      </c>
      <c r="J74" s="23">
        <v>105</v>
      </c>
      <c r="K74" s="23">
        <f t="shared" si="45"/>
        <v>346</v>
      </c>
      <c r="L74" s="26">
        <v>8</v>
      </c>
      <c r="M74" s="26">
        <v>4.8</v>
      </c>
      <c r="N74" s="26">
        <v>3.3</v>
      </c>
      <c r="O74" s="26">
        <v>7</v>
      </c>
      <c r="P74" s="26">
        <f t="shared" si="52"/>
        <v>23.1</v>
      </c>
      <c r="Q74" s="28">
        <f t="shared" si="46"/>
        <v>912</v>
      </c>
      <c r="R74" s="28">
        <f t="shared" si="47"/>
        <v>547</v>
      </c>
      <c r="S74" s="28">
        <f t="shared" si="43"/>
        <v>376</v>
      </c>
      <c r="T74" s="28">
        <f t="shared" si="48"/>
        <v>798</v>
      </c>
      <c r="U74" s="28">
        <f t="shared" si="50"/>
        <v>2633</v>
      </c>
    </row>
    <row r="75" spans="1:21" ht="15" customHeight="1">
      <c r="A75" s="23">
        <v>70</v>
      </c>
      <c r="B75" s="23" t="s">
        <v>302</v>
      </c>
      <c r="C75" s="23" t="s">
        <v>211</v>
      </c>
      <c r="D75" s="23" t="s">
        <v>272</v>
      </c>
      <c r="E75" s="23">
        <v>26</v>
      </c>
      <c r="F75" s="23"/>
      <c r="G75" s="23">
        <v>120</v>
      </c>
      <c r="H75" s="23">
        <v>84</v>
      </c>
      <c r="I75" s="23">
        <v>42</v>
      </c>
      <c r="J75" s="23">
        <v>135</v>
      </c>
      <c r="K75" s="23">
        <f t="shared" si="45"/>
        <v>381</v>
      </c>
      <c r="L75" s="26">
        <v>7</v>
      </c>
      <c r="M75" s="26">
        <v>5.6</v>
      </c>
      <c r="N75" s="26">
        <v>2.8</v>
      </c>
      <c r="O75" s="26">
        <v>8</v>
      </c>
      <c r="P75" s="26">
        <f t="shared" si="52"/>
        <v>23.4</v>
      </c>
      <c r="Q75" s="28">
        <f t="shared" si="46"/>
        <v>813</v>
      </c>
      <c r="R75" s="28">
        <f t="shared" si="47"/>
        <v>638</v>
      </c>
      <c r="S75" s="28">
        <f t="shared" si="43"/>
        <v>319</v>
      </c>
      <c r="T75" s="28">
        <f t="shared" si="48"/>
        <v>927</v>
      </c>
      <c r="U75" s="28">
        <f t="shared" si="50"/>
        <v>2697</v>
      </c>
    </row>
    <row r="76" spans="1:21" ht="15" customHeight="1">
      <c r="A76" s="23">
        <v>71</v>
      </c>
      <c r="B76" s="23" t="s">
        <v>302</v>
      </c>
      <c r="C76" s="23" t="s">
        <v>212</v>
      </c>
      <c r="D76" s="23" t="s">
        <v>272</v>
      </c>
      <c r="E76" s="23">
        <v>26</v>
      </c>
      <c r="F76" s="23"/>
      <c r="G76" s="23">
        <v>135</v>
      </c>
      <c r="H76" s="23">
        <v>69</v>
      </c>
      <c r="I76" s="23">
        <v>48</v>
      </c>
      <c r="J76" s="23">
        <v>190</v>
      </c>
      <c r="K76" s="23">
        <f t="shared" si="45"/>
        <v>442</v>
      </c>
      <c r="L76" s="26">
        <v>6</v>
      </c>
      <c r="M76" s="26">
        <v>4.5999999999999996</v>
      </c>
      <c r="N76" s="26">
        <v>3.1</v>
      </c>
      <c r="O76" s="26">
        <v>10</v>
      </c>
      <c r="P76" s="26">
        <f t="shared" si="52"/>
        <v>23.7</v>
      </c>
      <c r="Q76" s="28">
        <f t="shared" si="46"/>
        <v>729</v>
      </c>
      <c r="R76" s="28">
        <f t="shared" si="47"/>
        <v>524</v>
      </c>
      <c r="S76" s="28">
        <f t="shared" si="43"/>
        <v>355</v>
      </c>
      <c r="T76" s="28">
        <f t="shared" si="48"/>
        <v>1180</v>
      </c>
      <c r="U76" s="28">
        <f t="shared" si="50"/>
        <v>2788</v>
      </c>
    </row>
    <row r="77" spans="1:21" ht="15" customHeight="1">
      <c r="A77" s="23">
        <v>72</v>
      </c>
      <c r="B77" s="23" t="s">
        <v>302</v>
      </c>
      <c r="C77" s="23" t="s">
        <v>216</v>
      </c>
      <c r="D77" s="23" t="s">
        <v>309</v>
      </c>
      <c r="E77" s="23">
        <v>33</v>
      </c>
      <c r="F77" s="23"/>
      <c r="G77" s="23">
        <v>300</v>
      </c>
      <c r="H77" s="23">
        <v>180</v>
      </c>
      <c r="I77" s="23">
        <v>150</v>
      </c>
      <c r="J77" s="23">
        <v>410</v>
      </c>
      <c r="K77" s="23">
        <f t="shared" si="45"/>
        <v>1040</v>
      </c>
      <c r="L77" s="26">
        <v>6</v>
      </c>
      <c r="M77" s="26">
        <v>4.0999999999999996</v>
      </c>
      <c r="N77" s="26">
        <v>2.1</v>
      </c>
      <c r="O77" s="26">
        <v>6</v>
      </c>
      <c r="P77" s="26">
        <f t="shared" si="52"/>
        <v>18.2</v>
      </c>
      <c r="Q77" s="28">
        <f t="shared" si="46"/>
        <v>894</v>
      </c>
      <c r="R77" s="28">
        <f t="shared" si="47"/>
        <v>586</v>
      </c>
      <c r="S77" s="28">
        <f t="shared" si="43"/>
        <v>358</v>
      </c>
      <c r="T77" s="28">
        <f t="shared" si="48"/>
        <v>1004</v>
      </c>
      <c r="U77" s="28">
        <f t="shared" si="50"/>
        <v>2842</v>
      </c>
    </row>
    <row r="78" spans="1:21" ht="15" customHeight="1">
      <c r="A78" s="23">
        <v>73</v>
      </c>
      <c r="B78" s="23" t="s">
        <v>302</v>
      </c>
      <c r="C78" s="23" t="s">
        <v>214</v>
      </c>
      <c r="D78" s="23" t="s">
        <v>276</v>
      </c>
      <c r="E78" s="23">
        <v>20</v>
      </c>
      <c r="F78" s="23"/>
      <c r="G78" s="23">
        <v>135</v>
      </c>
      <c r="H78" s="23">
        <v>84</v>
      </c>
      <c r="I78" s="23">
        <v>46</v>
      </c>
      <c r="J78" s="23">
        <v>105</v>
      </c>
      <c r="K78" s="23">
        <f t="shared" si="45"/>
        <v>370</v>
      </c>
      <c r="L78" s="26">
        <v>9</v>
      </c>
      <c r="M78" s="26">
        <v>5.6</v>
      </c>
      <c r="N78" s="26">
        <v>3.1</v>
      </c>
      <c r="O78" s="26">
        <v>7</v>
      </c>
      <c r="P78" s="26">
        <f t="shared" si="52"/>
        <v>24.7</v>
      </c>
      <c r="Q78" s="28">
        <f t="shared" si="46"/>
        <v>1026</v>
      </c>
      <c r="R78" s="28">
        <f t="shared" si="47"/>
        <v>638</v>
      </c>
      <c r="S78" s="28">
        <f t="shared" si="43"/>
        <v>353</v>
      </c>
      <c r="T78" s="28">
        <f t="shared" si="48"/>
        <v>798</v>
      </c>
      <c r="U78" s="28">
        <f t="shared" si="50"/>
        <v>2815</v>
      </c>
    </row>
    <row r="79" spans="1:21" ht="15" customHeight="1">
      <c r="A79" s="23">
        <v>74</v>
      </c>
      <c r="B79" s="23" t="s">
        <v>302</v>
      </c>
      <c r="C79" s="23" t="s">
        <v>213</v>
      </c>
      <c r="D79" s="23" t="s">
        <v>279</v>
      </c>
      <c r="E79" s="23">
        <v>13</v>
      </c>
      <c r="F79" s="23"/>
      <c r="G79" s="23">
        <v>135</v>
      </c>
      <c r="H79" s="23">
        <v>84</v>
      </c>
      <c r="I79" s="23">
        <v>36</v>
      </c>
      <c r="J79" s="23">
        <v>105</v>
      </c>
      <c r="K79" s="23">
        <f t="shared" si="45"/>
        <v>360</v>
      </c>
      <c r="L79" s="26">
        <v>9</v>
      </c>
      <c r="M79" s="26">
        <v>5.6</v>
      </c>
      <c r="N79" s="26">
        <v>2.4</v>
      </c>
      <c r="O79" s="26">
        <v>7</v>
      </c>
      <c r="P79" s="26">
        <f t="shared" si="52"/>
        <v>24</v>
      </c>
      <c r="Q79" s="28">
        <f t="shared" si="46"/>
        <v>1026</v>
      </c>
      <c r="R79" s="28">
        <f t="shared" si="47"/>
        <v>638</v>
      </c>
      <c r="S79" s="28">
        <f t="shared" si="43"/>
        <v>274</v>
      </c>
      <c r="T79" s="28">
        <f t="shared" si="48"/>
        <v>798</v>
      </c>
      <c r="U79" s="28">
        <f t="shared" si="50"/>
        <v>2736</v>
      </c>
    </row>
    <row r="80" spans="1:21" ht="15" customHeight="1">
      <c r="A80" s="23">
        <v>75</v>
      </c>
      <c r="B80" s="23" t="s">
        <v>302</v>
      </c>
      <c r="C80" s="23" t="s">
        <v>209</v>
      </c>
      <c r="D80" s="23" t="s">
        <v>315</v>
      </c>
      <c r="E80" s="23">
        <v>10</v>
      </c>
      <c r="F80" s="23"/>
      <c r="G80" s="23">
        <v>120</v>
      </c>
      <c r="H80" s="23">
        <v>88</v>
      </c>
      <c r="I80" s="23">
        <v>51</v>
      </c>
      <c r="J80" s="23">
        <v>75</v>
      </c>
      <c r="K80" s="23">
        <f t="shared" si="45"/>
        <v>334</v>
      </c>
      <c r="L80" s="26">
        <v>8</v>
      </c>
      <c r="M80" s="26">
        <v>5.9</v>
      </c>
      <c r="N80" s="26">
        <v>3.4</v>
      </c>
      <c r="O80" s="26">
        <v>5</v>
      </c>
      <c r="P80" s="26">
        <f t="shared" si="52"/>
        <v>22.3</v>
      </c>
      <c r="Q80" s="28">
        <f t="shared" si="46"/>
        <v>912</v>
      </c>
      <c r="R80" s="28">
        <f t="shared" si="47"/>
        <v>672</v>
      </c>
      <c r="S80" s="28">
        <f t="shared" si="43"/>
        <v>388</v>
      </c>
      <c r="T80" s="28">
        <f t="shared" si="48"/>
        <v>570</v>
      </c>
      <c r="U80" s="28">
        <f t="shared" si="50"/>
        <v>2542</v>
      </c>
    </row>
    <row r="81" spans="1:21" ht="15" customHeight="1">
      <c r="A81" s="23">
        <v>76</v>
      </c>
      <c r="B81" s="23" t="s">
        <v>302</v>
      </c>
      <c r="C81" s="23" t="s">
        <v>215</v>
      </c>
      <c r="D81" s="23" t="s">
        <v>353</v>
      </c>
      <c r="E81" s="23"/>
      <c r="F81" s="23"/>
      <c r="G81" s="23">
        <v>100</v>
      </c>
      <c r="H81" s="23">
        <v>1</v>
      </c>
      <c r="I81" s="23">
        <v>100</v>
      </c>
      <c r="J81" s="23">
        <v>120</v>
      </c>
      <c r="K81" s="23">
        <f t="shared" si="45"/>
        <v>321</v>
      </c>
      <c r="L81" s="26">
        <v>8</v>
      </c>
      <c r="M81" s="26">
        <v>0</v>
      </c>
      <c r="N81" s="26">
        <v>6.5</v>
      </c>
      <c r="O81" s="26">
        <v>9</v>
      </c>
      <c r="P81" s="26">
        <f t="shared" si="52"/>
        <v>23.5</v>
      </c>
      <c r="Q81" s="28">
        <f t="shared" si="46"/>
        <v>892</v>
      </c>
      <c r="R81" s="28">
        <f t="shared" si="47"/>
        <v>1</v>
      </c>
      <c r="S81" s="28">
        <f t="shared" si="43"/>
        <v>744</v>
      </c>
      <c r="T81" s="28">
        <f t="shared" si="48"/>
        <v>1011</v>
      </c>
      <c r="U81" s="28">
        <f t="shared" si="50"/>
        <v>2648</v>
      </c>
    </row>
    <row r="82" spans="1:21" ht="15" customHeight="1">
      <c r="A82" s="23">
        <v>77</v>
      </c>
      <c r="B82" s="23" t="s">
        <v>302</v>
      </c>
      <c r="C82" s="23" t="s">
        <v>194</v>
      </c>
      <c r="D82" s="23" t="s">
        <v>315</v>
      </c>
      <c r="E82" s="23">
        <v>10</v>
      </c>
      <c r="F82" s="23"/>
      <c r="G82" s="23">
        <v>120</v>
      </c>
      <c r="H82" s="23">
        <v>110</v>
      </c>
      <c r="I82" s="23">
        <v>110</v>
      </c>
      <c r="J82" s="23">
        <v>150</v>
      </c>
      <c r="K82" s="23">
        <f t="shared" si="45"/>
        <v>490</v>
      </c>
      <c r="L82" s="26">
        <v>7</v>
      </c>
      <c r="M82" s="26">
        <v>4.3</v>
      </c>
      <c r="N82" s="26">
        <v>4.3</v>
      </c>
      <c r="O82" s="26">
        <v>7</v>
      </c>
      <c r="P82" s="26">
        <f t="shared" si="52"/>
        <v>22.6</v>
      </c>
      <c r="Q82" s="28">
        <f t="shared" si="46"/>
        <v>813</v>
      </c>
      <c r="R82" s="28">
        <f t="shared" si="47"/>
        <v>536</v>
      </c>
      <c r="S82" s="28">
        <f t="shared" si="43"/>
        <v>536</v>
      </c>
      <c r="T82" s="28">
        <f t="shared" si="48"/>
        <v>843</v>
      </c>
      <c r="U82" s="28">
        <f t="shared" si="50"/>
        <v>2728</v>
      </c>
    </row>
    <row r="83" spans="1:21" ht="15" customHeight="1">
      <c r="A83" s="23">
        <v>78</v>
      </c>
      <c r="B83" s="23" t="s">
        <v>302</v>
      </c>
      <c r="C83" s="23" t="s">
        <v>225</v>
      </c>
      <c r="D83" s="23" t="s">
        <v>282</v>
      </c>
      <c r="E83" s="23">
        <v>23</v>
      </c>
      <c r="F83" s="23"/>
      <c r="G83" s="23">
        <v>120</v>
      </c>
      <c r="H83" s="23">
        <v>79</v>
      </c>
      <c r="I83" s="23">
        <v>42</v>
      </c>
      <c r="J83" s="23">
        <v>90</v>
      </c>
      <c r="K83" s="23">
        <f t="shared" si="45"/>
        <v>331</v>
      </c>
      <c r="L83" s="26">
        <v>8</v>
      </c>
      <c r="M83" s="26">
        <v>5.3</v>
      </c>
      <c r="N83" s="26">
        <v>2.8</v>
      </c>
      <c r="O83" s="26">
        <v>6</v>
      </c>
      <c r="P83" s="26">
        <f t="shared" si="52"/>
        <v>22.1</v>
      </c>
      <c r="Q83" s="28">
        <f t="shared" si="46"/>
        <v>912</v>
      </c>
      <c r="R83" s="28">
        <f t="shared" si="47"/>
        <v>604</v>
      </c>
      <c r="S83" s="28">
        <f t="shared" si="43"/>
        <v>319</v>
      </c>
      <c r="T83" s="28">
        <f t="shared" si="48"/>
        <v>684</v>
      </c>
      <c r="U83" s="28">
        <f t="shared" si="50"/>
        <v>2519</v>
      </c>
    </row>
    <row r="84" spans="1:21" ht="15" customHeight="1">
      <c r="A84" s="23">
        <v>79</v>
      </c>
      <c r="B84" s="23" t="s">
        <v>302</v>
      </c>
      <c r="C84" s="23" t="s">
        <v>195</v>
      </c>
      <c r="D84" s="23" t="s">
        <v>314</v>
      </c>
      <c r="E84" s="23">
        <v>28</v>
      </c>
      <c r="F84" s="23"/>
      <c r="G84" s="23">
        <v>135</v>
      </c>
      <c r="H84" s="23">
        <v>93</v>
      </c>
      <c r="I84" s="23">
        <v>30</v>
      </c>
      <c r="J84" s="23">
        <v>105</v>
      </c>
      <c r="K84" s="23">
        <f t="shared" si="45"/>
        <v>363</v>
      </c>
      <c r="L84" s="26">
        <v>9</v>
      </c>
      <c r="M84" s="26">
        <v>6.2</v>
      </c>
      <c r="N84" s="26">
        <v>2</v>
      </c>
      <c r="O84" s="26">
        <v>7</v>
      </c>
      <c r="P84" s="26">
        <f t="shared" si="52"/>
        <v>24.2</v>
      </c>
      <c r="Q84" s="28">
        <f t="shared" si="46"/>
        <v>1026</v>
      </c>
      <c r="R84" s="28">
        <f t="shared" si="47"/>
        <v>707</v>
      </c>
      <c r="S84" s="28">
        <f t="shared" si="43"/>
        <v>228</v>
      </c>
      <c r="T84" s="28">
        <f t="shared" si="48"/>
        <v>798</v>
      </c>
      <c r="U84" s="28">
        <f t="shared" si="50"/>
        <v>2759</v>
      </c>
    </row>
    <row r="85" spans="1:21" ht="15" customHeight="1">
      <c r="A85" s="23">
        <v>80</v>
      </c>
      <c r="B85" s="23" t="s">
        <v>302</v>
      </c>
      <c r="C85" s="23" t="s">
        <v>196</v>
      </c>
      <c r="D85" s="23" t="s">
        <v>278</v>
      </c>
      <c r="E85" s="23">
        <v>27</v>
      </c>
      <c r="F85" s="23"/>
      <c r="G85" s="23">
        <v>120</v>
      </c>
      <c r="H85" s="23">
        <v>63</v>
      </c>
      <c r="I85" s="23">
        <v>54</v>
      </c>
      <c r="J85" s="23">
        <v>90</v>
      </c>
      <c r="K85" s="23">
        <f t="shared" si="45"/>
        <v>327</v>
      </c>
      <c r="L85" s="26">
        <v>8</v>
      </c>
      <c r="M85" s="26">
        <v>4.2</v>
      </c>
      <c r="N85" s="26">
        <v>3.6</v>
      </c>
      <c r="O85" s="26">
        <v>6</v>
      </c>
      <c r="P85" s="26">
        <f t="shared" si="52"/>
        <v>21.8</v>
      </c>
      <c r="Q85" s="28">
        <f t="shared" si="46"/>
        <v>912</v>
      </c>
      <c r="R85" s="28">
        <f t="shared" si="47"/>
        <v>479</v>
      </c>
      <c r="S85" s="28">
        <f t="shared" si="43"/>
        <v>410</v>
      </c>
      <c r="T85" s="28">
        <f t="shared" si="48"/>
        <v>684</v>
      </c>
      <c r="U85" s="28">
        <f t="shared" si="50"/>
        <v>2485</v>
      </c>
    </row>
    <row r="86" spans="1:21" ht="15" customHeight="1">
      <c r="A86" s="23">
        <v>81</v>
      </c>
      <c r="B86" s="23" t="s">
        <v>302</v>
      </c>
      <c r="C86" s="23" t="s">
        <v>235</v>
      </c>
      <c r="D86" s="23" t="s">
        <v>307</v>
      </c>
      <c r="E86" s="23">
        <v>16</v>
      </c>
      <c r="F86" s="23"/>
      <c r="G86" s="23">
        <v>135</v>
      </c>
      <c r="H86" s="23">
        <v>84</v>
      </c>
      <c r="I86" s="23">
        <v>39</v>
      </c>
      <c r="J86" s="23">
        <v>120</v>
      </c>
      <c r="K86" s="23">
        <f t="shared" si="45"/>
        <v>378</v>
      </c>
      <c r="L86" s="26">
        <v>8</v>
      </c>
      <c r="M86" s="26">
        <v>5.6</v>
      </c>
      <c r="N86" s="26">
        <v>2.2999999999999998</v>
      </c>
      <c r="O86" s="26">
        <v>8</v>
      </c>
      <c r="P86" s="26">
        <f t="shared" si="52"/>
        <v>23.9</v>
      </c>
      <c r="Q86" s="28">
        <f t="shared" si="46"/>
        <v>927</v>
      </c>
      <c r="R86" s="28">
        <f t="shared" si="47"/>
        <v>638</v>
      </c>
      <c r="S86" s="28">
        <f t="shared" si="43"/>
        <v>267</v>
      </c>
      <c r="T86" s="28">
        <f t="shared" si="48"/>
        <v>912</v>
      </c>
      <c r="U86" s="28">
        <f t="shared" si="50"/>
        <v>2744</v>
      </c>
    </row>
    <row r="87" spans="1:21" ht="15" customHeight="1">
      <c r="A87" s="23">
        <v>82</v>
      </c>
      <c r="B87" s="23" t="s">
        <v>302</v>
      </c>
      <c r="C87" s="23" t="s">
        <v>203</v>
      </c>
      <c r="D87" s="23" t="s">
        <v>305</v>
      </c>
      <c r="E87" s="23">
        <v>45</v>
      </c>
      <c r="F87" s="23"/>
      <c r="G87" s="23">
        <v>135</v>
      </c>
      <c r="H87" s="23">
        <v>85</v>
      </c>
      <c r="I87" s="23">
        <v>34</v>
      </c>
      <c r="J87" s="23">
        <v>90</v>
      </c>
      <c r="K87" s="23">
        <f t="shared" si="45"/>
        <v>344</v>
      </c>
      <c r="L87" s="26">
        <v>9</v>
      </c>
      <c r="M87" s="26">
        <v>5.7</v>
      </c>
      <c r="N87" s="26">
        <v>2.2999999999999998</v>
      </c>
      <c r="O87" s="26">
        <v>6</v>
      </c>
      <c r="P87" s="26">
        <f t="shared" si="52"/>
        <v>23</v>
      </c>
      <c r="Q87" s="28">
        <f t="shared" si="46"/>
        <v>1026</v>
      </c>
      <c r="R87" s="28">
        <f t="shared" si="47"/>
        <v>649</v>
      </c>
      <c r="S87" s="28">
        <f t="shared" si="43"/>
        <v>262</v>
      </c>
      <c r="T87" s="28">
        <f t="shared" si="48"/>
        <v>684</v>
      </c>
      <c r="U87" s="28">
        <f t="shared" si="50"/>
        <v>2621</v>
      </c>
    </row>
    <row r="88" spans="1:21" ht="15" customHeight="1">
      <c r="A88" s="23">
        <v>83</v>
      </c>
      <c r="B88" s="23" t="s">
        <v>302</v>
      </c>
      <c r="C88" s="23" t="s">
        <v>221</v>
      </c>
      <c r="D88" s="23" t="s">
        <v>315</v>
      </c>
      <c r="E88" s="23">
        <v>10</v>
      </c>
      <c r="F88" s="23"/>
      <c r="G88" s="23">
        <v>150</v>
      </c>
      <c r="H88" s="23">
        <v>75</v>
      </c>
      <c r="I88" s="23">
        <v>46</v>
      </c>
      <c r="J88" s="23">
        <v>90</v>
      </c>
      <c r="K88" s="23">
        <f t="shared" si="45"/>
        <v>361</v>
      </c>
      <c r="L88" s="26">
        <v>10</v>
      </c>
      <c r="M88" s="26">
        <v>5</v>
      </c>
      <c r="N88" s="26">
        <v>3.1</v>
      </c>
      <c r="O88" s="26">
        <v>6</v>
      </c>
      <c r="P88" s="26">
        <f t="shared" si="52"/>
        <v>24.1</v>
      </c>
      <c r="Q88" s="28">
        <f t="shared" si="46"/>
        <v>1140</v>
      </c>
      <c r="R88" s="28">
        <f t="shared" si="47"/>
        <v>570</v>
      </c>
      <c r="S88" s="28">
        <f t="shared" si="43"/>
        <v>353</v>
      </c>
      <c r="T88" s="28">
        <f t="shared" si="48"/>
        <v>684</v>
      </c>
      <c r="U88" s="28">
        <f t="shared" si="50"/>
        <v>2747</v>
      </c>
    </row>
    <row r="89" spans="1:21" ht="15" customHeight="1">
      <c r="A89" s="23">
        <v>84</v>
      </c>
      <c r="B89" s="23" t="s">
        <v>302</v>
      </c>
      <c r="C89" s="23" t="s">
        <v>205</v>
      </c>
      <c r="D89" s="23" t="s">
        <v>281</v>
      </c>
      <c r="E89" s="23">
        <v>16</v>
      </c>
      <c r="F89" s="23"/>
      <c r="G89" s="23">
        <v>120</v>
      </c>
      <c r="H89" s="23">
        <v>90</v>
      </c>
      <c r="I89" s="23">
        <v>90</v>
      </c>
      <c r="J89" s="23">
        <v>100</v>
      </c>
      <c r="K89" s="23">
        <f t="shared" si="45"/>
        <v>400</v>
      </c>
      <c r="L89" s="26">
        <v>8</v>
      </c>
      <c r="M89" s="26">
        <v>4.8</v>
      </c>
      <c r="N89" s="26">
        <v>4.8</v>
      </c>
      <c r="O89" s="26">
        <v>8</v>
      </c>
      <c r="P89" s="26">
        <f t="shared" si="52"/>
        <v>25.6</v>
      </c>
      <c r="Q89" s="28">
        <f t="shared" si="46"/>
        <v>912</v>
      </c>
      <c r="R89" s="28">
        <f t="shared" si="47"/>
        <v>565</v>
      </c>
      <c r="S89" s="28">
        <f t="shared" si="43"/>
        <v>565</v>
      </c>
      <c r="T89" s="28">
        <f t="shared" si="48"/>
        <v>892</v>
      </c>
      <c r="U89" s="28">
        <f t="shared" si="50"/>
        <v>2934</v>
      </c>
    </row>
    <row r="90" spans="1:21" ht="15" customHeight="1">
      <c r="A90" s="23">
        <v>85</v>
      </c>
      <c r="B90" s="23" t="s">
        <v>302</v>
      </c>
      <c r="C90" s="23" t="s">
        <v>218</v>
      </c>
      <c r="D90" s="23" t="s">
        <v>281</v>
      </c>
      <c r="E90" s="23">
        <v>16</v>
      </c>
      <c r="F90" s="23"/>
      <c r="G90" s="23">
        <v>120</v>
      </c>
      <c r="H90" s="23">
        <v>100</v>
      </c>
      <c r="I90" s="23">
        <v>80</v>
      </c>
      <c r="J90" s="23">
        <v>100</v>
      </c>
      <c r="K90" s="23">
        <f t="shared" si="45"/>
        <v>400</v>
      </c>
      <c r="L90" s="26">
        <v>9</v>
      </c>
      <c r="M90" s="26">
        <v>5.0999999999999996</v>
      </c>
      <c r="N90" s="26">
        <v>4.2</v>
      </c>
      <c r="O90" s="26">
        <v>7</v>
      </c>
      <c r="P90" s="26">
        <f t="shared" si="52"/>
        <v>25.3</v>
      </c>
      <c r="Q90" s="28">
        <f t="shared" si="46"/>
        <v>1011</v>
      </c>
      <c r="R90" s="28">
        <f t="shared" si="47"/>
        <v>605</v>
      </c>
      <c r="S90" s="28">
        <f t="shared" si="43"/>
        <v>496</v>
      </c>
      <c r="T90" s="28">
        <f t="shared" si="48"/>
        <v>793</v>
      </c>
      <c r="U90" s="28">
        <f t="shared" si="50"/>
        <v>2905</v>
      </c>
    </row>
    <row r="91" spans="1:21" ht="15" customHeight="1">
      <c r="A91" s="23">
        <v>86</v>
      </c>
      <c r="B91" s="23" t="s">
        <v>302</v>
      </c>
      <c r="C91" s="23" t="s">
        <v>238</v>
      </c>
      <c r="D91" s="23" t="s">
        <v>315</v>
      </c>
      <c r="E91" s="23">
        <v>10</v>
      </c>
      <c r="F91" s="23"/>
      <c r="G91" s="23">
        <v>110</v>
      </c>
      <c r="H91" s="23">
        <v>80</v>
      </c>
      <c r="I91" s="23">
        <v>54</v>
      </c>
      <c r="J91" s="23">
        <v>120</v>
      </c>
      <c r="K91" s="23">
        <f t="shared" si="45"/>
        <v>364</v>
      </c>
      <c r="L91" s="26">
        <v>7</v>
      </c>
      <c r="M91" s="26">
        <v>4.2</v>
      </c>
      <c r="N91" s="26">
        <v>3.6</v>
      </c>
      <c r="O91" s="26">
        <v>7</v>
      </c>
      <c r="P91" s="26">
        <f t="shared" si="52"/>
        <v>21.8</v>
      </c>
      <c r="Q91" s="28">
        <f t="shared" si="46"/>
        <v>803</v>
      </c>
      <c r="R91" s="28">
        <f t="shared" si="47"/>
        <v>496</v>
      </c>
      <c r="S91" s="28">
        <f t="shared" si="43"/>
        <v>410</v>
      </c>
      <c r="T91" s="28">
        <f t="shared" si="48"/>
        <v>813</v>
      </c>
      <c r="U91" s="28">
        <f t="shared" si="50"/>
        <v>2522</v>
      </c>
    </row>
    <row r="92" spans="1:21" ht="15" customHeight="1">
      <c r="A92" s="23">
        <v>87</v>
      </c>
      <c r="B92" s="23" t="s">
        <v>302</v>
      </c>
      <c r="C92" s="23" t="s">
        <v>228</v>
      </c>
      <c r="D92" s="23" t="s">
        <v>275</v>
      </c>
      <c r="E92" s="23">
        <v>7</v>
      </c>
      <c r="F92" s="23"/>
      <c r="G92" s="23">
        <v>150</v>
      </c>
      <c r="H92" s="23">
        <v>100</v>
      </c>
      <c r="I92" s="23">
        <v>110</v>
      </c>
      <c r="J92" s="23">
        <v>150</v>
      </c>
      <c r="K92" s="23">
        <f t="shared" si="45"/>
        <v>510</v>
      </c>
      <c r="L92" s="26">
        <v>7</v>
      </c>
      <c r="M92" s="26">
        <v>4.4000000000000004</v>
      </c>
      <c r="N92" s="26">
        <v>3.9</v>
      </c>
      <c r="O92" s="26">
        <v>7</v>
      </c>
      <c r="P92" s="26">
        <f t="shared" si="52"/>
        <v>22.3</v>
      </c>
      <c r="Q92" s="28">
        <f t="shared" si="46"/>
        <v>843</v>
      </c>
      <c r="R92" s="28">
        <f t="shared" si="47"/>
        <v>536</v>
      </c>
      <c r="S92" s="28">
        <f t="shared" si="43"/>
        <v>496</v>
      </c>
      <c r="T92" s="28">
        <f t="shared" si="48"/>
        <v>843</v>
      </c>
      <c r="U92" s="28">
        <f t="shared" si="50"/>
        <v>2718</v>
      </c>
    </row>
    <row r="93" spans="1:21" ht="15" customHeight="1">
      <c r="A93" s="23">
        <v>88</v>
      </c>
      <c r="B93" s="23" t="s">
        <v>302</v>
      </c>
      <c r="C93" s="23" t="s">
        <v>237</v>
      </c>
      <c r="D93" s="23" t="s">
        <v>312</v>
      </c>
      <c r="E93" s="23">
        <v>36</v>
      </c>
      <c r="F93" s="23"/>
      <c r="G93" s="23">
        <v>160</v>
      </c>
      <c r="H93" s="23">
        <v>80</v>
      </c>
      <c r="I93" s="23">
        <v>90</v>
      </c>
      <c r="J93" s="23">
        <v>100</v>
      </c>
      <c r="K93" s="23">
        <f t="shared" si="45"/>
        <v>430</v>
      </c>
      <c r="L93" s="26">
        <v>8</v>
      </c>
      <c r="M93" s="26">
        <v>5.0999999999999996</v>
      </c>
      <c r="N93" s="26">
        <v>3.1</v>
      </c>
      <c r="O93" s="26">
        <v>7</v>
      </c>
      <c r="P93" s="26">
        <f t="shared" si="52"/>
        <v>23.2</v>
      </c>
      <c r="Q93" s="28">
        <f t="shared" si="46"/>
        <v>952</v>
      </c>
      <c r="R93" s="28">
        <f t="shared" si="47"/>
        <v>585</v>
      </c>
      <c r="S93" s="28">
        <f t="shared" si="43"/>
        <v>397</v>
      </c>
      <c r="T93" s="28">
        <f t="shared" si="48"/>
        <v>793</v>
      </c>
      <c r="U93" s="28">
        <f t="shared" si="50"/>
        <v>2727</v>
      </c>
    </row>
    <row r="94" spans="1:21" ht="15" customHeight="1">
      <c r="A94" s="23">
        <v>89</v>
      </c>
      <c r="B94" s="23" t="s">
        <v>302</v>
      </c>
      <c r="C94" s="23" t="s">
        <v>227</v>
      </c>
      <c r="D94" s="23" t="s">
        <v>286</v>
      </c>
      <c r="E94" s="23">
        <v>3</v>
      </c>
      <c r="F94" s="23"/>
      <c r="G94" s="23">
        <v>120</v>
      </c>
      <c r="H94" s="23">
        <v>88</v>
      </c>
      <c r="I94" s="23">
        <v>40</v>
      </c>
      <c r="J94" s="23">
        <v>115</v>
      </c>
      <c r="K94" s="23">
        <f t="shared" si="45"/>
        <v>363</v>
      </c>
      <c r="L94" s="26">
        <v>8</v>
      </c>
      <c r="M94" s="26">
        <v>6.1</v>
      </c>
      <c r="N94" s="26">
        <v>2.1</v>
      </c>
      <c r="O94" s="26">
        <v>8</v>
      </c>
      <c r="P94" s="26">
        <f t="shared" si="52"/>
        <v>24.2</v>
      </c>
      <c r="Q94" s="28">
        <f t="shared" si="46"/>
        <v>912</v>
      </c>
      <c r="R94" s="28">
        <f t="shared" si="47"/>
        <v>692</v>
      </c>
      <c r="S94" s="28">
        <f t="shared" si="43"/>
        <v>248</v>
      </c>
      <c r="T94" s="28">
        <f t="shared" si="48"/>
        <v>907</v>
      </c>
      <c r="U94" s="28">
        <f t="shared" si="50"/>
        <v>2759</v>
      </c>
    </row>
    <row r="95" spans="1:21" ht="15" customHeight="1">
      <c r="A95" s="23">
        <v>90</v>
      </c>
      <c r="B95" s="23" t="s">
        <v>302</v>
      </c>
      <c r="C95" s="23" t="s">
        <v>229</v>
      </c>
      <c r="D95" s="23" t="s">
        <v>315</v>
      </c>
      <c r="E95" s="23">
        <v>10</v>
      </c>
      <c r="F95" s="23"/>
      <c r="G95" s="23">
        <v>150</v>
      </c>
      <c r="H95" s="23">
        <v>105</v>
      </c>
      <c r="I95" s="23">
        <v>30</v>
      </c>
      <c r="J95" s="23">
        <v>180</v>
      </c>
      <c r="K95" s="23">
        <f t="shared" si="45"/>
        <v>465</v>
      </c>
      <c r="L95" s="26">
        <v>6</v>
      </c>
      <c r="M95" s="26">
        <v>6.3</v>
      </c>
      <c r="N95" s="26">
        <v>1.8</v>
      </c>
      <c r="O95" s="26">
        <v>9</v>
      </c>
      <c r="P95" s="26">
        <f t="shared" si="52"/>
        <v>23.1</v>
      </c>
      <c r="Q95" s="28">
        <f t="shared" si="46"/>
        <v>744</v>
      </c>
      <c r="R95" s="28">
        <f t="shared" si="47"/>
        <v>729</v>
      </c>
      <c r="S95" s="28">
        <f t="shared" si="43"/>
        <v>208</v>
      </c>
      <c r="T95" s="28">
        <f t="shared" si="48"/>
        <v>1071</v>
      </c>
      <c r="U95" s="28">
        <f t="shared" si="50"/>
        <v>2752</v>
      </c>
    </row>
    <row r="96" spans="1:21" ht="15" customHeight="1">
      <c r="A96" s="23">
        <v>91</v>
      </c>
      <c r="B96" s="23" t="s">
        <v>302</v>
      </c>
      <c r="C96" s="23" t="s">
        <v>236</v>
      </c>
      <c r="D96" s="23" t="s">
        <v>284</v>
      </c>
      <c r="E96" s="23">
        <v>11</v>
      </c>
      <c r="F96" s="23"/>
      <c r="G96" s="23">
        <v>150</v>
      </c>
      <c r="H96" s="23">
        <v>75</v>
      </c>
      <c r="I96" s="23">
        <v>95</v>
      </c>
      <c r="J96" s="23">
        <v>150</v>
      </c>
      <c r="K96" s="23">
        <f t="shared" si="45"/>
        <v>470</v>
      </c>
      <c r="L96" s="26">
        <v>7</v>
      </c>
      <c r="M96" s="26">
        <v>4.8</v>
      </c>
      <c r="N96" s="26">
        <v>3.3</v>
      </c>
      <c r="O96" s="26">
        <v>7</v>
      </c>
      <c r="P96" s="26">
        <f t="shared" si="52"/>
        <v>22.1</v>
      </c>
      <c r="Q96" s="28">
        <f t="shared" si="46"/>
        <v>843</v>
      </c>
      <c r="R96" s="28">
        <f t="shared" si="47"/>
        <v>550</v>
      </c>
      <c r="S96" s="28">
        <f t="shared" si="43"/>
        <v>422</v>
      </c>
      <c r="T96" s="28">
        <f t="shared" si="48"/>
        <v>843</v>
      </c>
      <c r="U96" s="28">
        <f t="shared" si="50"/>
        <v>2658</v>
      </c>
    </row>
    <row r="97" spans="1:21" ht="15" customHeight="1">
      <c r="A97" s="23">
        <v>92</v>
      </c>
      <c r="B97" s="23" t="s">
        <v>302</v>
      </c>
      <c r="C97" s="23" t="s">
        <v>234</v>
      </c>
      <c r="D97" s="23" t="s">
        <v>286</v>
      </c>
      <c r="E97" s="23">
        <v>3</v>
      </c>
      <c r="F97" s="23"/>
      <c r="G97" s="23">
        <v>1</v>
      </c>
      <c r="H97" s="23">
        <v>1</v>
      </c>
      <c r="I97" s="23">
        <v>1</v>
      </c>
      <c r="J97" s="23">
        <v>1</v>
      </c>
      <c r="K97" s="23">
        <f t="shared" si="45"/>
        <v>4</v>
      </c>
      <c r="L97" s="26">
        <v>9</v>
      </c>
      <c r="M97" s="26">
        <v>4.3</v>
      </c>
      <c r="N97" s="26">
        <v>2.8</v>
      </c>
      <c r="O97" s="26">
        <v>13</v>
      </c>
      <c r="P97" s="26">
        <f t="shared" si="52"/>
        <v>29.1</v>
      </c>
      <c r="Q97" s="28">
        <f t="shared" si="46"/>
        <v>892</v>
      </c>
      <c r="R97" s="28">
        <f t="shared" si="47"/>
        <v>427</v>
      </c>
      <c r="S97" s="28">
        <f t="shared" si="43"/>
        <v>278</v>
      </c>
      <c r="T97" s="28">
        <f t="shared" si="48"/>
        <v>1288</v>
      </c>
      <c r="U97" s="28">
        <f t="shared" si="50"/>
        <v>2885</v>
      </c>
    </row>
    <row r="98" spans="1:21" ht="15" customHeight="1">
      <c r="A98" s="23">
        <v>93</v>
      </c>
      <c r="B98" s="23" t="s">
        <v>302</v>
      </c>
      <c r="C98" s="23" t="s">
        <v>197</v>
      </c>
      <c r="D98" s="23" t="s">
        <v>286</v>
      </c>
      <c r="E98" s="23">
        <v>3</v>
      </c>
      <c r="F98" s="23"/>
      <c r="G98" s="23">
        <v>150</v>
      </c>
      <c r="H98" s="23">
        <v>200</v>
      </c>
      <c r="I98" s="23">
        <v>1</v>
      </c>
      <c r="J98" s="23">
        <v>180</v>
      </c>
      <c r="K98" s="23">
        <f t="shared" si="45"/>
        <v>531</v>
      </c>
      <c r="L98" s="26">
        <v>6</v>
      </c>
      <c r="M98" s="26">
        <v>6.1</v>
      </c>
      <c r="N98" s="26">
        <v>0</v>
      </c>
      <c r="O98" s="26">
        <v>11</v>
      </c>
      <c r="P98" s="26">
        <f t="shared" si="52"/>
        <v>23.1</v>
      </c>
      <c r="Q98" s="28">
        <f t="shared" si="46"/>
        <v>744</v>
      </c>
      <c r="R98" s="28">
        <f t="shared" si="47"/>
        <v>804</v>
      </c>
      <c r="S98" s="28">
        <f t="shared" si="43"/>
        <v>1</v>
      </c>
      <c r="T98" s="28">
        <f t="shared" si="48"/>
        <v>1269</v>
      </c>
      <c r="U98" s="28">
        <f t="shared" si="50"/>
        <v>2818</v>
      </c>
    </row>
    <row r="99" spans="1:21" ht="15" customHeight="1">
      <c r="A99" s="23">
        <v>94</v>
      </c>
      <c r="B99" s="23" t="s">
        <v>302</v>
      </c>
      <c r="C99" s="23" t="s">
        <v>232</v>
      </c>
      <c r="D99" s="23" t="s">
        <v>276</v>
      </c>
      <c r="E99" s="23">
        <v>20</v>
      </c>
      <c r="F99" s="23"/>
      <c r="G99" s="23">
        <v>80</v>
      </c>
      <c r="H99" s="23">
        <v>75</v>
      </c>
      <c r="I99" s="23">
        <v>105</v>
      </c>
      <c r="J99" s="23">
        <v>80</v>
      </c>
      <c r="K99" s="23">
        <f t="shared" si="45"/>
        <v>340</v>
      </c>
      <c r="L99" s="26">
        <v>8</v>
      </c>
      <c r="M99" s="26">
        <v>3.9</v>
      </c>
      <c r="N99" s="26">
        <v>5.0999999999999996</v>
      </c>
      <c r="O99" s="26">
        <v>7</v>
      </c>
      <c r="P99" s="26">
        <f t="shared" si="52"/>
        <v>24</v>
      </c>
      <c r="Q99" s="28">
        <f t="shared" si="46"/>
        <v>872</v>
      </c>
      <c r="R99" s="28">
        <f t="shared" si="47"/>
        <v>461</v>
      </c>
      <c r="S99" s="28">
        <f t="shared" ref="S99" si="53">ROUND(I99+N99*($V$2-1),0)</f>
        <v>610</v>
      </c>
      <c r="T99" s="28">
        <f t="shared" si="48"/>
        <v>773</v>
      </c>
      <c r="U99" s="28">
        <f t="shared" si="50"/>
        <v>2716</v>
      </c>
    </row>
    <row r="100" spans="1:21" ht="15" customHeight="1">
      <c r="A100" s="23">
        <v>95</v>
      </c>
      <c r="B100" s="23" t="s">
        <v>302</v>
      </c>
      <c r="C100" s="23" t="s">
        <v>217</v>
      </c>
      <c r="D100" s="23" t="s">
        <v>306</v>
      </c>
      <c r="E100" s="23">
        <v>13</v>
      </c>
      <c r="F100" s="23"/>
      <c r="G100" s="23">
        <v>110</v>
      </c>
      <c r="H100" s="23">
        <v>30</v>
      </c>
      <c r="I100" s="23">
        <v>150</v>
      </c>
      <c r="J100" s="23">
        <v>60</v>
      </c>
      <c r="K100" s="23">
        <f t="shared" si="45"/>
        <v>350</v>
      </c>
      <c r="L100" s="26">
        <v>9</v>
      </c>
      <c r="M100" s="26">
        <v>3.1</v>
      </c>
      <c r="N100" s="26">
        <v>5.5</v>
      </c>
      <c r="O100" s="26">
        <v>5</v>
      </c>
      <c r="P100" s="26">
        <f t="shared" si="52"/>
        <v>22.6</v>
      </c>
      <c r="Q100" s="28">
        <f t="shared" si="46"/>
        <v>1001</v>
      </c>
      <c r="R100" s="28">
        <f t="shared" si="47"/>
        <v>337</v>
      </c>
      <c r="S100" s="28">
        <f t="shared" ref="S100:S130" si="54">ROUND(I100+N100*($V$2-1),0)</f>
        <v>695</v>
      </c>
      <c r="T100" s="28">
        <f t="shared" ref="T100" si="55">ROUND(J100+O100*($V$2-1),0)</f>
        <v>555</v>
      </c>
      <c r="U100" s="28">
        <f t="shared" si="50"/>
        <v>2588</v>
      </c>
    </row>
    <row r="101" spans="1:21" ht="15" customHeight="1">
      <c r="A101" s="23">
        <v>96</v>
      </c>
      <c r="B101" s="23" t="s">
        <v>302</v>
      </c>
      <c r="C101" s="23" t="s">
        <v>241</v>
      </c>
      <c r="D101" s="23" t="s">
        <v>284</v>
      </c>
      <c r="E101" s="23">
        <v>11</v>
      </c>
      <c r="F101" s="23"/>
      <c r="G101" s="23">
        <v>195</v>
      </c>
      <c r="H101" s="23">
        <v>70</v>
      </c>
      <c r="I101" s="23">
        <v>95</v>
      </c>
      <c r="J101" s="23">
        <v>95</v>
      </c>
      <c r="K101" s="23">
        <f t="shared" si="45"/>
        <v>455</v>
      </c>
      <c r="L101" s="26">
        <v>8</v>
      </c>
      <c r="M101" s="26">
        <v>3.5</v>
      </c>
      <c r="N101" s="26">
        <v>4.5</v>
      </c>
      <c r="O101" s="26">
        <v>5</v>
      </c>
      <c r="P101" s="26">
        <f t="shared" si="52"/>
        <v>21</v>
      </c>
      <c r="Q101" s="28">
        <f t="shared" si="46"/>
        <v>987</v>
      </c>
      <c r="R101" s="28">
        <f t="shared" si="47"/>
        <v>417</v>
      </c>
      <c r="S101" s="28">
        <f t="shared" si="54"/>
        <v>541</v>
      </c>
      <c r="T101" s="28">
        <f t="shared" ref="T101:T131" si="56">ROUND(J101+O101*($V$2-1),0)</f>
        <v>590</v>
      </c>
      <c r="U101" s="28">
        <f t="shared" si="50"/>
        <v>2535</v>
      </c>
    </row>
    <row r="102" spans="1:21" ht="15" customHeight="1">
      <c r="A102" s="23">
        <v>97</v>
      </c>
      <c r="B102" s="23" t="s">
        <v>302</v>
      </c>
      <c r="C102" s="23" t="s">
        <v>253</v>
      </c>
      <c r="D102" s="23" t="s">
        <v>286</v>
      </c>
      <c r="E102" s="23">
        <v>3</v>
      </c>
      <c r="F102" s="23"/>
      <c r="G102" s="23">
        <v>110</v>
      </c>
      <c r="H102" s="23">
        <v>90</v>
      </c>
      <c r="I102" s="23">
        <v>90</v>
      </c>
      <c r="J102" s="23">
        <v>90</v>
      </c>
      <c r="K102" s="23">
        <f t="shared" si="45"/>
        <v>380</v>
      </c>
      <c r="L102" s="26">
        <v>7</v>
      </c>
      <c r="M102" s="26">
        <v>4</v>
      </c>
      <c r="N102" s="26">
        <v>3</v>
      </c>
      <c r="O102" s="26">
        <v>6</v>
      </c>
      <c r="P102" s="26">
        <f t="shared" si="52"/>
        <v>20</v>
      </c>
      <c r="Q102" s="28">
        <f t="shared" ref="Q102" si="57">ROUND(G102+L102*($V$2-1),0)</f>
        <v>803</v>
      </c>
      <c r="R102" s="28">
        <f t="shared" ref="R102" si="58">ROUND(H102+M102*($V$2-1),0)</f>
        <v>486</v>
      </c>
      <c r="S102" s="28">
        <f t="shared" si="54"/>
        <v>387</v>
      </c>
      <c r="T102" s="28">
        <f t="shared" si="56"/>
        <v>684</v>
      </c>
      <c r="U102" s="28">
        <f t="shared" ref="U102:U132" si="59">SUM(Q102:T102)</f>
        <v>2360</v>
      </c>
    </row>
    <row r="103" spans="1:21" ht="15" customHeight="1">
      <c r="A103" s="23">
        <v>98</v>
      </c>
      <c r="B103" s="23" t="s">
        <v>302</v>
      </c>
      <c r="C103" s="23" t="s">
        <v>657</v>
      </c>
      <c r="D103" s="23" t="s">
        <v>281</v>
      </c>
      <c r="E103" s="23">
        <v>16</v>
      </c>
      <c r="F103" s="23"/>
      <c r="G103" s="23">
        <v>145</v>
      </c>
      <c r="H103" s="23">
        <v>95</v>
      </c>
      <c r="I103" s="23">
        <v>65</v>
      </c>
      <c r="J103" s="23">
        <v>95</v>
      </c>
      <c r="K103" s="23">
        <f t="shared" si="45"/>
        <v>400</v>
      </c>
      <c r="L103" s="26">
        <v>7</v>
      </c>
      <c r="M103" s="26">
        <v>4.5</v>
      </c>
      <c r="N103" s="26">
        <v>2.5</v>
      </c>
      <c r="O103" s="26">
        <v>6</v>
      </c>
      <c r="P103" s="26">
        <f t="shared" si="52"/>
        <v>20</v>
      </c>
      <c r="Q103" s="28">
        <f t="shared" ref="Q103:Q112" si="60">ROUND(G103+L103*($V$2-1),0)</f>
        <v>838</v>
      </c>
      <c r="R103" s="28">
        <f t="shared" ref="R103:R112" si="61">ROUND(H103+M103*($V$2-1),0)</f>
        <v>541</v>
      </c>
      <c r="S103" s="28">
        <f t="shared" si="54"/>
        <v>313</v>
      </c>
      <c r="T103" s="28">
        <f t="shared" si="56"/>
        <v>689</v>
      </c>
      <c r="U103" s="28">
        <f t="shared" si="59"/>
        <v>2381</v>
      </c>
    </row>
    <row r="104" spans="1:21" ht="15" customHeight="1">
      <c r="A104" s="23">
        <v>99</v>
      </c>
      <c r="B104" s="23" t="s">
        <v>302</v>
      </c>
      <c r="C104" s="23" t="s">
        <v>658</v>
      </c>
      <c r="D104" s="23" t="s">
        <v>272</v>
      </c>
      <c r="E104" s="23">
        <v>26</v>
      </c>
      <c r="F104" s="23"/>
      <c r="G104" s="23">
        <v>145</v>
      </c>
      <c r="H104" s="23">
        <v>125</v>
      </c>
      <c r="I104" s="23">
        <v>75</v>
      </c>
      <c r="J104" s="23">
        <v>75</v>
      </c>
      <c r="K104" s="23">
        <f t="shared" si="45"/>
        <v>420</v>
      </c>
      <c r="L104" s="26">
        <v>7</v>
      </c>
      <c r="M104" s="26">
        <v>4.4000000000000004</v>
      </c>
      <c r="N104" s="26">
        <v>2.9</v>
      </c>
      <c r="O104" s="26">
        <v>7</v>
      </c>
      <c r="P104" s="26">
        <f t="shared" si="52"/>
        <v>21.3</v>
      </c>
      <c r="Q104" s="28">
        <f t="shared" si="60"/>
        <v>838</v>
      </c>
      <c r="R104" s="28">
        <f t="shared" si="61"/>
        <v>561</v>
      </c>
      <c r="S104" s="28">
        <f t="shared" si="54"/>
        <v>362</v>
      </c>
      <c r="T104" s="28">
        <f t="shared" si="56"/>
        <v>768</v>
      </c>
      <c r="U104" s="28">
        <f t="shared" si="59"/>
        <v>2529</v>
      </c>
    </row>
    <row r="105" spans="1:21" ht="15" customHeight="1">
      <c r="A105" s="23">
        <v>100</v>
      </c>
      <c r="B105" s="23" t="s">
        <v>302</v>
      </c>
      <c r="C105" s="23" t="s">
        <v>659</v>
      </c>
      <c r="D105" s="23" t="s">
        <v>288</v>
      </c>
      <c r="E105" s="23">
        <v>3</v>
      </c>
      <c r="F105" s="23"/>
      <c r="G105" s="23">
        <v>265</v>
      </c>
      <c r="H105" s="23">
        <v>40</v>
      </c>
      <c r="I105" s="23">
        <v>150</v>
      </c>
      <c r="J105" s="23">
        <v>65</v>
      </c>
      <c r="K105" s="23">
        <f t="shared" si="45"/>
        <v>520</v>
      </c>
      <c r="L105" s="26">
        <v>9</v>
      </c>
      <c r="M105" s="26">
        <v>3.4</v>
      </c>
      <c r="N105" s="26">
        <v>4</v>
      </c>
      <c r="O105" s="26">
        <v>5.6</v>
      </c>
      <c r="P105" s="26">
        <f t="shared" si="52"/>
        <v>22</v>
      </c>
      <c r="Q105" s="28">
        <f t="shared" si="60"/>
        <v>1156</v>
      </c>
      <c r="R105" s="28">
        <f t="shared" si="61"/>
        <v>377</v>
      </c>
      <c r="S105" s="28">
        <f t="shared" si="54"/>
        <v>546</v>
      </c>
      <c r="T105" s="28">
        <f t="shared" si="56"/>
        <v>619</v>
      </c>
      <c r="U105" s="28">
        <f t="shared" si="59"/>
        <v>2698</v>
      </c>
    </row>
    <row r="106" spans="1:21" ht="15" customHeight="1">
      <c r="A106" s="23">
        <v>101</v>
      </c>
      <c r="B106" s="23" t="s">
        <v>302</v>
      </c>
      <c r="C106" s="23" t="s">
        <v>231</v>
      </c>
      <c r="D106" s="23" t="s">
        <v>289</v>
      </c>
      <c r="E106" s="23">
        <v>8</v>
      </c>
      <c r="F106" s="23"/>
      <c r="G106" s="23">
        <v>120</v>
      </c>
      <c r="H106" s="23">
        <v>75</v>
      </c>
      <c r="I106" s="23">
        <v>46</v>
      </c>
      <c r="J106" s="23">
        <v>90</v>
      </c>
      <c r="K106" s="23">
        <f t="shared" ref="K106" si="62">J106+I106+H106+G106</f>
        <v>331</v>
      </c>
      <c r="L106" s="26">
        <v>8</v>
      </c>
      <c r="M106" s="26">
        <v>5</v>
      </c>
      <c r="N106" s="26">
        <v>3.1</v>
      </c>
      <c r="O106" s="26">
        <v>6</v>
      </c>
      <c r="P106" s="26">
        <f t="shared" ref="P106" si="63">O106+N106+M106+L106</f>
        <v>22.1</v>
      </c>
      <c r="Q106" s="28">
        <f t="shared" si="60"/>
        <v>912</v>
      </c>
      <c r="R106" s="28">
        <f t="shared" si="61"/>
        <v>570</v>
      </c>
      <c r="S106" s="28">
        <f t="shared" si="54"/>
        <v>353</v>
      </c>
      <c r="T106" s="28">
        <f t="shared" si="56"/>
        <v>684</v>
      </c>
      <c r="U106" s="28">
        <f t="shared" si="59"/>
        <v>2519</v>
      </c>
    </row>
    <row r="107" spans="1:21" ht="15" customHeight="1">
      <c r="A107" s="23">
        <v>102</v>
      </c>
      <c r="B107" s="23" t="s">
        <v>302</v>
      </c>
      <c r="C107" s="23" t="s">
        <v>251</v>
      </c>
      <c r="D107" s="23" t="s">
        <v>307</v>
      </c>
      <c r="E107" s="23">
        <v>16</v>
      </c>
      <c r="F107" s="23"/>
      <c r="G107" s="23">
        <v>160</v>
      </c>
      <c r="H107" s="23">
        <v>92</v>
      </c>
      <c r="I107" s="23">
        <v>62</v>
      </c>
      <c r="J107" s="23">
        <v>220</v>
      </c>
      <c r="K107" s="23">
        <f t="shared" ref="K107:K127" si="64">J107+I107+H107+G107</f>
        <v>534</v>
      </c>
      <c r="L107" s="26">
        <v>6</v>
      </c>
      <c r="M107" s="26">
        <v>4.0999999999999996</v>
      </c>
      <c r="N107" s="26">
        <v>4.0999999999999996</v>
      </c>
      <c r="O107" s="26">
        <v>7</v>
      </c>
      <c r="P107" s="26">
        <f t="shared" ref="P107:P116" si="65">O107+N107+M107+L107</f>
        <v>21.2</v>
      </c>
      <c r="Q107" s="28">
        <f t="shared" si="60"/>
        <v>754</v>
      </c>
      <c r="R107" s="28">
        <f t="shared" si="61"/>
        <v>498</v>
      </c>
      <c r="S107" s="28">
        <f t="shared" si="54"/>
        <v>468</v>
      </c>
      <c r="T107" s="28">
        <f t="shared" si="56"/>
        <v>913</v>
      </c>
      <c r="U107" s="28">
        <f t="shared" si="59"/>
        <v>2633</v>
      </c>
    </row>
    <row r="108" spans="1:21" ht="15" customHeight="1">
      <c r="A108" s="23">
        <v>103</v>
      </c>
      <c r="B108" s="23" t="s">
        <v>302</v>
      </c>
      <c r="C108" s="23" t="s">
        <v>256</v>
      </c>
      <c r="D108" s="23" t="s">
        <v>307</v>
      </c>
      <c r="E108" s="23">
        <v>16</v>
      </c>
      <c r="F108" s="23"/>
      <c r="G108" s="23">
        <v>180</v>
      </c>
      <c r="H108" s="23">
        <v>112</v>
      </c>
      <c r="I108" s="23">
        <v>42</v>
      </c>
      <c r="J108" s="23">
        <v>200</v>
      </c>
      <c r="K108" s="23">
        <f t="shared" si="64"/>
        <v>534</v>
      </c>
      <c r="L108" s="26">
        <v>7</v>
      </c>
      <c r="M108" s="26">
        <v>6.1</v>
      </c>
      <c r="N108" s="26">
        <v>2.1</v>
      </c>
      <c r="O108" s="26">
        <v>6</v>
      </c>
      <c r="P108" s="26">
        <f t="shared" si="65"/>
        <v>21.2</v>
      </c>
      <c r="Q108" s="28">
        <f t="shared" si="60"/>
        <v>873</v>
      </c>
      <c r="R108" s="28">
        <f t="shared" si="61"/>
        <v>716</v>
      </c>
      <c r="S108" s="28">
        <f t="shared" si="54"/>
        <v>250</v>
      </c>
      <c r="T108" s="28">
        <f t="shared" si="56"/>
        <v>794</v>
      </c>
      <c r="U108" s="28">
        <f t="shared" si="59"/>
        <v>2633</v>
      </c>
    </row>
    <row r="109" spans="1:21" ht="15" customHeight="1">
      <c r="A109" s="23">
        <v>104</v>
      </c>
      <c r="B109" s="23" t="s">
        <v>302</v>
      </c>
      <c r="C109" s="23" t="s">
        <v>660</v>
      </c>
      <c r="D109" s="23" t="s">
        <v>272</v>
      </c>
      <c r="E109" s="23">
        <v>26</v>
      </c>
      <c r="F109" s="23"/>
      <c r="G109" s="23">
        <v>250</v>
      </c>
      <c r="H109" s="23">
        <v>110</v>
      </c>
      <c r="I109" s="23">
        <v>110</v>
      </c>
      <c r="J109" s="23">
        <v>20</v>
      </c>
      <c r="K109" s="23">
        <f t="shared" si="64"/>
        <v>490</v>
      </c>
      <c r="L109" s="26">
        <v>12</v>
      </c>
      <c r="M109" s="26">
        <v>3.3</v>
      </c>
      <c r="N109" s="26">
        <v>5.3</v>
      </c>
      <c r="O109" s="26">
        <v>1</v>
      </c>
      <c r="P109" s="26">
        <f t="shared" si="65"/>
        <v>21.6</v>
      </c>
      <c r="Q109" s="28">
        <f t="shared" si="60"/>
        <v>1438</v>
      </c>
      <c r="R109" s="28">
        <f t="shared" si="61"/>
        <v>437</v>
      </c>
      <c r="S109" s="28">
        <f t="shared" si="54"/>
        <v>635</v>
      </c>
      <c r="T109" s="28">
        <f t="shared" si="56"/>
        <v>119</v>
      </c>
      <c r="U109" s="28">
        <f t="shared" si="59"/>
        <v>2629</v>
      </c>
    </row>
    <row r="110" spans="1:21" ht="15" customHeight="1">
      <c r="A110" s="23">
        <v>105</v>
      </c>
      <c r="B110" s="23" t="s">
        <v>302</v>
      </c>
      <c r="C110" s="23" t="s">
        <v>661</v>
      </c>
      <c r="D110" s="23" t="s">
        <v>356</v>
      </c>
      <c r="E110" s="23"/>
      <c r="F110" s="23"/>
      <c r="G110" s="23">
        <v>100</v>
      </c>
      <c r="H110" s="23">
        <v>60</v>
      </c>
      <c r="I110" s="23">
        <v>150</v>
      </c>
      <c r="J110" s="23">
        <v>80</v>
      </c>
      <c r="K110" s="23">
        <f t="shared" si="64"/>
        <v>390</v>
      </c>
      <c r="L110" s="26">
        <v>8</v>
      </c>
      <c r="M110" s="26">
        <v>6.8</v>
      </c>
      <c r="N110" s="26">
        <v>3.4</v>
      </c>
      <c r="O110" s="26">
        <v>4</v>
      </c>
      <c r="P110" s="26">
        <f t="shared" si="65"/>
        <v>22.2</v>
      </c>
      <c r="Q110" s="28">
        <f t="shared" si="60"/>
        <v>892</v>
      </c>
      <c r="R110" s="28">
        <f t="shared" si="61"/>
        <v>733</v>
      </c>
      <c r="S110" s="28">
        <f t="shared" si="54"/>
        <v>487</v>
      </c>
      <c r="T110" s="28">
        <f t="shared" si="56"/>
        <v>476</v>
      </c>
      <c r="U110" s="28">
        <f t="shared" si="59"/>
        <v>2588</v>
      </c>
    </row>
    <row r="111" spans="1:21" ht="15" customHeight="1">
      <c r="A111" s="23">
        <v>106</v>
      </c>
      <c r="B111" s="23" t="s">
        <v>302</v>
      </c>
      <c r="C111" s="23" t="s">
        <v>662</v>
      </c>
      <c r="D111" s="23" t="s">
        <v>275</v>
      </c>
      <c r="E111" s="23">
        <v>7</v>
      </c>
      <c r="F111" s="23"/>
      <c r="G111" s="23">
        <v>150</v>
      </c>
      <c r="H111" s="23">
        <v>110</v>
      </c>
      <c r="I111" s="23">
        <v>120</v>
      </c>
      <c r="J111" s="23">
        <v>40</v>
      </c>
      <c r="K111" s="23">
        <f t="shared" si="64"/>
        <v>420</v>
      </c>
      <c r="L111" s="26">
        <v>11</v>
      </c>
      <c r="M111" s="26">
        <v>2.1</v>
      </c>
      <c r="N111" s="26">
        <v>6.5</v>
      </c>
      <c r="O111" s="26">
        <v>2</v>
      </c>
      <c r="P111" s="26">
        <f t="shared" si="65"/>
        <v>21.6</v>
      </c>
      <c r="Q111" s="28">
        <f t="shared" si="60"/>
        <v>1239</v>
      </c>
      <c r="R111" s="28">
        <f t="shared" si="61"/>
        <v>318</v>
      </c>
      <c r="S111" s="28">
        <f t="shared" si="54"/>
        <v>764</v>
      </c>
      <c r="T111" s="28">
        <f t="shared" si="56"/>
        <v>238</v>
      </c>
      <c r="U111" s="28">
        <f t="shared" si="59"/>
        <v>2559</v>
      </c>
    </row>
    <row r="112" spans="1:21" ht="15" customHeight="1">
      <c r="A112" s="23">
        <v>107</v>
      </c>
      <c r="B112" s="23" t="s">
        <v>302</v>
      </c>
      <c r="C112" s="23" t="s">
        <v>663</v>
      </c>
      <c r="D112" s="23" t="s">
        <v>286</v>
      </c>
      <c r="E112" s="23">
        <v>3</v>
      </c>
      <c r="F112" s="23"/>
      <c r="G112" s="23">
        <v>220</v>
      </c>
      <c r="H112" s="23">
        <v>110</v>
      </c>
      <c r="I112" s="23">
        <v>140</v>
      </c>
      <c r="J112" s="23">
        <v>0</v>
      </c>
      <c r="K112" s="23">
        <f t="shared" si="64"/>
        <v>470</v>
      </c>
      <c r="L112" s="26">
        <v>10</v>
      </c>
      <c r="M112" s="26">
        <v>4.3</v>
      </c>
      <c r="N112" s="26">
        <v>5.2</v>
      </c>
      <c r="O112" s="26">
        <v>0</v>
      </c>
      <c r="P112" s="26">
        <f t="shared" si="65"/>
        <v>19.5</v>
      </c>
      <c r="Q112" s="28">
        <f t="shared" si="60"/>
        <v>1210</v>
      </c>
      <c r="R112" s="28">
        <f t="shared" si="61"/>
        <v>536</v>
      </c>
      <c r="S112" s="28">
        <f t="shared" si="54"/>
        <v>655</v>
      </c>
      <c r="T112" s="28">
        <f t="shared" si="56"/>
        <v>0</v>
      </c>
      <c r="U112" s="28">
        <f t="shared" si="59"/>
        <v>2401</v>
      </c>
    </row>
    <row r="113" spans="1:21" ht="15" customHeight="1">
      <c r="A113" s="23">
        <v>108</v>
      </c>
      <c r="B113" s="23" t="s">
        <v>302</v>
      </c>
      <c r="C113" s="23" t="s">
        <v>223</v>
      </c>
      <c r="D113" s="23" t="s">
        <v>289</v>
      </c>
      <c r="E113" s="23">
        <v>42</v>
      </c>
      <c r="F113" s="23"/>
      <c r="G113" s="23">
        <v>180</v>
      </c>
      <c r="H113" s="23">
        <v>125</v>
      </c>
      <c r="I113" s="23">
        <v>55</v>
      </c>
      <c r="J113" s="23">
        <v>145</v>
      </c>
      <c r="K113" s="23">
        <f t="shared" si="64"/>
        <v>505</v>
      </c>
      <c r="L113" s="26">
        <v>8</v>
      </c>
      <c r="M113" s="26">
        <v>6.3</v>
      </c>
      <c r="N113" s="26">
        <v>3.3</v>
      </c>
      <c r="O113" s="26">
        <v>7</v>
      </c>
      <c r="P113" s="26">
        <f t="shared" si="65"/>
        <v>24.6</v>
      </c>
      <c r="Q113" s="28">
        <f t="shared" ref="Q113" si="66">ROUND(G113+L113*($V$2-1),0)</f>
        <v>972</v>
      </c>
      <c r="R113" s="28">
        <f t="shared" ref="R113:R133" si="67">ROUND(H113+M113*($V$2-1),0)</f>
        <v>749</v>
      </c>
      <c r="S113" s="28">
        <f t="shared" si="54"/>
        <v>382</v>
      </c>
      <c r="T113" s="28">
        <f t="shared" si="56"/>
        <v>838</v>
      </c>
      <c r="U113" s="28">
        <f t="shared" si="59"/>
        <v>2941</v>
      </c>
    </row>
    <row r="114" spans="1:21" ht="15" customHeight="1">
      <c r="A114" s="23">
        <v>109</v>
      </c>
      <c r="B114" s="23" t="s">
        <v>302</v>
      </c>
      <c r="C114" s="23" t="s">
        <v>204</v>
      </c>
      <c r="D114" s="23" t="s">
        <v>356</v>
      </c>
      <c r="E114" s="23"/>
      <c r="F114" s="23"/>
      <c r="G114" s="23">
        <v>195</v>
      </c>
      <c r="H114" s="23">
        <v>150</v>
      </c>
      <c r="I114" s="23">
        <v>54</v>
      </c>
      <c r="J114" s="23">
        <v>0</v>
      </c>
      <c r="K114" s="23">
        <f t="shared" si="64"/>
        <v>399</v>
      </c>
      <c r="L114" s="26">
        <v>12</v>
      </c>
      <c r="M114" s="26">
        <v>7.1</v>
      </c>
      <c r="N114" s="26">
        <v>2.1</v>
      </c>
      <c r="O114" s="26">
        <v>0</v>
      </c>
      <c r="P114" s="26">
        <f t="shared" si="65"/>
        <v>21.2</v>
      </c>
      <c r="Q114" s="28">
        <f t="shared" ref="Q114:Q154" si="68">ROUND(G114+L114*($V$2-1),0)</f>
        <v>1383</v>
      </c>
      <c r="R114" s="28">
        <f t="shared" si="67"/>
        <v>853</v>
      </c>
      <c r="S114" s="28">
        <f t="shared" si="54"/>
        <v>262</v>
      </c>
      <c r="T114" s="28">
        <f t="shared" si="56"/>
        <v>0</v>
      </c>
      <c r="U114" s="28">
        <f t="shared" si="59"/>
        <v>2498</v>
      </c>
    </row>
    <row r="115" spans="1:21" ht="15" customHeight="1">
      <c r="A115" s="23">
        <v>110</v>
      </c>
      <c r="B115" s="23" t="s">
        <v>302</v>
      </c>
      <c r="C115" s="23" t="s">
        <v>664</v>
      </c>
      <c r="D115" s="23" t="s">
        <v>356</v>
      </c>
      <c r="E115" s="23"/>
      <c r="F115" s="23"/>
      <c r="G115" s="23">
        <v>195</v>
      </c>
      <c r="H115" s="23">
        <v>150</v>
      </c>
      <c r="I115" s="23">
        <v>54</v>
      </c>
      <c r="J115" s="23">
        <v>0</v>
      </c>
      <c r="K115" s="23">
        <f t="shared" si="64"/>
        <v>399</v>
      </c>
      <c r="L115" s="26">
        <v>12</v>
      </c>
      <c r="M115" s="26">
        <v>7.06</v>
      </c>
      <c r="N115" s="26">
        <v>2.1</v>
      </c>
      <c r="O115" s="26">
        <v>0</v>
      </c>
      <c r="P115" s="26">
        <f t="shared" si="65"/>
        <v>21.16</v>
      </c>
      <c r="Q115" s="28">
        <f t="shared" si="68"/>
        <v>1383</v>
      </c>
      <c r="R115" s="28">
        <f t="shared" si="67"/>
        <v>849</v>
      </c>
      <c r="S115" s="28">
        <f t="shared" si="54"/>
        <v>262</v>
      </c>
      <c r="T115" s="28">
        <f t="shared" si="56"/>
        <v>0</v>
      </c>
      <c r="U115" s="28">
        <f t="shared" si="59"/>
        <v>2494</v>
      </c>
    </row>
    <row r="116" spans="1:21" ht="15" customHeight="1">
      <c r="A116" s="23">
        <v>111</v>
      </c>
      <c r="B116" s="23" t="s">
        <v>302</v>
      </c>
      <c r="C116" s="23" t="s">
        <v>665</v>
      </c>
      <c r="D116" s="23" t="s">
        <v>312</v>
      </c>
      <c r="E116" s="23">
        <v>36</v>
      </c>
      <c r="F116" s="23"/>
      <c r="G116" s="23">
        <v>200</v>
      </c>
      <c r="H116" s="23">
        <v>125</v>
      </c>
      <c r="I116" s="23">
        <v>100</v>
      </c>
      <c r="J116" s="23">
        <v>125</v>
      </c>
      <c r="K116" s="23">
        <f t="shared" si="64"/>
        <v>550</v>
      </c>
      <c r="L116" s="26">
        <v>7</v>
      </c>
      <c r="M116" s="26">
        <v>7.1</v>
      </c>
      <c r="N116" s="26">
        <v>3.6</v>
      </c>
      <c r="O116" s="26">
        <v>7</v>
      </c>
      <c r="P116" s="26">
        <f t="shared" si="65"/>
        <v>24.7</v>
      </c>
      <c r="Q116" s="28">
        <f t="shared" si="68"/>
        <v>893</v>
      </c>
      <c r="R116" s="28">
        <f t="shared" si="67"/>
        <v>828</v>
      </c>
      <c r="S116" s="28">
        <f t="shared" si="54"/>
        <v>456</v>
      </c>
      <c r="T116" s="28">
        <f t="shared" si="56"/>
        <v>818</v>
      </c>
      <c r="U116" s="28">
        <f t="shared" si="59"/>
        <v>2995</v>
      </c>
    </row>
    <row r="117" spans="1:21" ht="15" customHeight="1">
      <c r="A117" s="23">
        <v>112</v>
      </c>
      <c r="B117" s="23" t="s">
        <v>302</v>
      </c>
      <c r="C117" s="23" t="s">
        <v>222</v>
      </c>
      <c r="D117" s="23" t="s">
        <v>315</v>
      </c>
      <c r="E117" s="23">
        <v>10</v>
      </c>
      <c r="F117" s="23"/>
      <c r="G117" s="23">
        <v>160</v>
      </c>
      <c r="H117" s="23">
        <v>92</v>
      </c>
      <c r="I117" s="23">
        <v>82</v>
      </c>
      <c r="J117" s="23">
        <v>170</v>
      </c>
      <c r="K117" s="23">
        <f t="shared" si="64"/>
        <v>504</v>
      </c>
      <c r="L117" s="26">
        <v>8</v>
      </c>
      <c r="M117" s="26">
        <v>4.5</v>
      </c>
      <c r="N117" s="26">
        <v>4.0999999999999996</v>
      </c>
      <c r="O117" s="26">
        <v>8</v>
      </c>
      <c r="P117" s="26">
        <f t="shared" ref="P117" si="69">O117+N117+M117+L117</f>
        <v>24.6</v>
      </c>
      <c r="Q117" s="28">
        <f t="shared" si="68"/>
        <v>952</v>
      </c>
      <c r="R117" s="28">
        <f t="shared" si="67"/>
        <v>538</v>
      </c>
      <c r="S117" s="28">
        <f t="shared" si="54"/>
        <v>488</v>
      </c>
      <c r="T117" s="28">
        <f t="shared" si="56"/>
        <v>962</v>
      </c>
      <c r="U117" s="28">
        <f t="shared" si="59"/>
        <v>2940</v>
      </c>
    </row>
    <row r="118" spans="1:21" ht="15" customHeight="1">
      <c r="A118" s="23">
        <v>113</v>
      </c>
      <c r="B118" s="23" t="s">
        <v>302</v>
      </c>
      <c r="C118" s="23" t="s">
        <v>226</v>
      </c>
      <c r="D118" s="23" t="s">
        <v>313</v>
      </c>
      <c r="E118" s="23">
        <v>42</v>
      </c>
      <c r="F118" s="23"/>
      <c r="G118" s="23">
        <v>180</v>
      </c>
      <c r="H118" s="23">
        <v>132</v>
      </c>
      <c r="I118" s="23">
        <v>42</v>
      </c>
      <c r="J118" s="23">
        <v>150</v>
      </c>
      <c r="K118" s="23">
        <f t="shared" si="64"/>
        <v>504</v>
      </c>
      <c r="L118" s="26">
        <v>9</v>
      </c>
      <c r="M118" s="26">
        <v>6.5</v>
      </c>
      <c r="N118" s="26">
        <v>2.1</v>
      </c>
      <c r="O118" s="26">
        <v>7</v>
      </c>
      <c r="P118" s="26">
        <f t="shared" ref="P118:P125" si="70">O118+N118+M118+L118</f>
        <v>24.6</v>
      </c>
      <c r="Q118" s="28">
        <f t="shared" si="68"/>
        <v>1071</v>
      </c>
      <c r="R118" s="28">
        <f t="shared" si="67"/>
        <v>776</v>
      </c>
      <c r="S118" s="28">
        <f t="shared" si="54"/>
        <v>250</v>
      </c>
      <c r="T118" s="28">
        <f t="shared" si="56"/>
        <v>843</v>
      </c>
      <c r="U118" s="28">
        <f t="shared" si="59"/>
        <v>2940</v>
      </c>
    </row>
    <row r="119" spans="1:21" ht="15" customHeight="1">
      <c r="A119" s="23">
        <v>114</v>
      </c>
      <c r="B119" s="23" t="s">
        <v>302</v>
      </c>
      <c r="C119" s="23" t="s">
        <v>230</v>
      </c>
      <c r="D119" s="23" t="s">
        <v>666</v>
      </c>
      <c r="E119" s="23">
        <v>30</v>
      </c>
      <c r="F119" s="23"/>
      <c r="G119" s="23">
        <v>120</v>
      </c>
      <c r="H119" s="23">
        <v>112</v>
      </c>
      <c r="I119" s="23">
        <v>62</v>
      </c>
      <c r="J119" s="23">
        <v>210</v>
      </c>
      <c r="K119" s="23">
        <f t="shared" si="64"/>
        <v>504</v>
      </c>
      <c r="L119" s="26">
        <v>7</v>
      </c>
      <c r="M119" s="26">
        <v>5.5</v>
      </c>
      <c r="N119" s="26">
        <v>3.1</v>
      </c>
      <c r="O119" s="26">
        <v>9</v>
      </c>
      <c r="P119" s="26">
        <f t="shared" si="70"/>
        <v>24.6</v>
      </c>
      <c r="Q119" s="28">
        <f t="shared" si="68"/>
        <v>813</v>
      </c>
      <c r="R119" s="28">
        <f t="shared" si="67"/>
        <v>657</v>
      </c>
      <c r="S119" s="28">
        <f t="shared" si="54"/>
        <v>369</v>
      </c>
      <c r="T119" s="28">
        <f t="shared" si="56"/>
        <v>1101</v>
      </c>
      <c r="U119" s="28">
        <f t="shared" si="59"/>
        <v>2940</v>
      </c>
    </row>
    <row r="120" spans="1:21" ht="15" customHeight="1">
      <c r="A120" s="23">
        <v>115</v>
      </c>
      <c r="B120" s="23" t="s">
        <v>302</v>
      </c>
      <c r="C120" s="23" t="s">
        <v>219</v>
      </c>
      <c r="D120" s="23" t="s">
        <v>353</v>
      </c>
      <c r="E120" s="23"/>
      <c r="F120" s="23"/>
      <c r="G120" s="23">
        <v>280</v>
      </c>
      <c r="H120" s="23">
        <v>52</v>
      </c>
      <c r="I120" s="23">
        <v>90</v>
      </c>
      <c r="J120" s="23">
        <v>0</v>
      </c>
      <c r="K120" s="23">
        <f t="shared" si="64"/>
        <v>422</v>
      </c>
      <c r="L120" s="26">
        <v>18</v>
      </c>
      <c r="M120" s="26">
        <v>0.5</v>
      </c>
      <c r="N120" s="26">
        <v>6</v>
      </c>
      <c r="O120" s="26">
        <v>0</v>
      </c>
      <c r="P120" s="26">
        <f t="shared" si="70"/>
        <v>24.5</v>
      </c>
      <c r="Q120" s="28">
        <f t="shared" si="68"/>
        <v>2062</v>
      </c>
      <c r="R120" s="28">
        <f t="shared" si="67"/>
        <v>102</v>
      </c>
      <c r="S120" s="28">
        <f t="shared" si="54"/>
        <v>684</v>
      </c>
      <c r="T120" s="28">
        <f t="shared" si="56"/>
        <v>0</v>
      </c>
      <c r="U120" s="28">
        <f t="shared" si="59"/>
        <v>2848</v>
      </c>
    </row>
    <row r="121" spans="1:21" ht="15" customHeight="1">
      <c r="A121" s="23">
        <v>116</v>
      </c>
      <c r="B121" s="23" t="s">
        <v>302</v>
      </c>
      <c r="C121" s="23" t="s">
        <v>242</v>
      </c>
      <c r="D121" s="23" t="s">
        <v>286</v>
      </c>
      <c r="E121" s="23">
        <v>3</v>
      </c>
      <c r="F121" s="23"/>
      <c r="G121" s="23">
        <v>360</v>
      </c>
      <c r="H121" s="23">
        <v>280</v>
      </c>
      <c r="I121" s="23">
        <v>60</v>
      </c>
      <c r="J121" s="23">
        <v>0</v>
      </c>
      <c r="K121" s="23">
        <f t="shared" si="64"/>
        <v>700</v>
      </c>
      <c r="L121" s="26">
        <v>9</v>
      </c>
      <c r="M121" s="26">
        <v>6.8</v>
      </c>
      <c r="N121" s="26">
        <v>1.1000000000000001</v>
      </c>
      <c r="O121" s="26">
        <v>0</v>
      </c>
      <c r="P121" s="26">
        <f t="shared" si="70"/>
        <v>16.899999999999999</v>
      </c>
      <c r="Q121" s="28">
        <f t="shared" si="68"/>
        <v>1251</v>
      </c>
      <c r="R121" s="28">
        <f t="shared" si="67"/>
        <v>953</v>
      </c>
      <c r="S121" s="28">
        <f t="shared" si="54"/>
        <v>169</v>
      </c>
      <c r="T121" s="28">
        <f t="shared" si="56"/>
        <v>0</v>
      </c>
      <c r="U121" s="28">
        <f t="shared" si="59"/>
        <v>2373</v>
      </c>
    </row>
    <row r="122" spans="1:21" ht="15" customHeight="1">
      <c r="A122" s="23">
        <v>117</v>
      </c>
      <c r="B122" s="23" t="s">
        <v>302</v>
      </c>
      <c r="C122" s="23" t="s">
        <v>667</v>
      </c>
      <c r="D122" s="23" t="s">
        <v>309</v>
      </c>
      <c r="E122" s="23">
        <v>33</v>
      </c>
      <c r="F122" s="23"/>
      <c r="G122" s="23">
        <v>105</v>
      </c>
      <c r="H122" s="23">
        <v>69</v>
      </c>
      <c r="I122" s="23">
        <v>52</v>
      </c>
      <c r="J122" s="23">
        <v>90</v>
      </c>
      <c r="K122" s="23">
        <f t="shared" si="64"/>
        <v>316</v>
      </c>
      <c r="L122" s="26">
        <v>7</v>
      </c>
      <c r="M122" s="26">
        <v>4.5999999999999996</v>
      </c>
      <c r="N122" s="26">
        <v>3.5</v>
      </c>
      <c r="O122" s="26">
        <v>6</v>
      </c>
      <c r="P122" s="26">
        <f t="shared" si="70"/>
        <v>21.1</v>
      </c>
      <c r="Q122" s="28">
        <f t="shared" si="68"/>
        <v>798</v>
      </c>
      <c r="R122" s="28">
        <f t="shared" si="67"/>
        <v>524</v>
      </c>
      <c r="S122" s="28">
        <f t="shared" si="54"/>
        <v>399</v>
      </c>
      <c r="T122" s="28">
        <f t="shared" si="56"/>
        <v>684</v>
      </c>
      <c r="U122" s="28">
        <f t="shared" si="59"/>
        <v>2405</v>
      </c>
    </row>
    <row r="123" spans="1:21" ht="15" customHeight="1">
      <c r="A123" s="23">
        <v>118</v>
      </c>
      <c r="B123" s="23" t="s">
        <v>302</v>
      </c>
      <c r="C123" s="23" t="s">
        <v>668</v>
      </c>
      <c r="D123" s="23" t="s">
        <v>281</v>
      </c>
      <c r="E123" s="23">
        <v>16</v>
      </c>
      <c r="F123" s="23"/>
      <c r="G123" s="23">
        <v>140</v>
      </c>
      <c r="H123" s="23">
        <v>48</v>
      </c>
      <c r="I123" s="23">
        <v>80</v>
      </c>
      <c r="J123" s="23">
        <v>100</v>
      </c>
      <c r="K123" s="23">
        <f t="shared" si="64"/>
        <v>368</v>
      </c>
      <c r="L123" s="26">
        <v>9</v>
      </c>
      <c r="M123" s="26">
        <v>3.2</v>
      </c>
      <c r="N123" s="26">
        <v>4.0999999999999996</v>
      </c>
      <c r="O123" s="26">
        <v>7</v>
      </c>
      <c r="P123" s="26">
        <f t="shared" si="70"/>
        <v>23.3</v>
      </c>
      <c r="Q123" s="28">
        <f t="shared" si="68"/>
        <v>1031</v>
      </c>
      <c r="R123" s="28">
        <f t="shared" si="67"/>
        <v>365</v>
      </c>
      <c r="S123" s="28">
        <f t="shared" si="54"/>
        <v>486</v>
      </c>
      <c r="T123" s="28">
        <f t="shared" si="56"/>
        <v>793</v>
      </c>
      <c r="U123" s="28">
        <f t="shared" si="59"/>
        <v>2675</v>
      </c>
    </row>
    <row r="124" spans="1:21" ht="15" customHeight="1">
      <c r="A124" s="23">
        <v>119</v>
      </c>
      <c r="B124" s="23" t="s">
        <v>302</v>
      </c>
      <c r="C124" s="23" t="s">
        <v>669</v>
      </c>
      <c r="D124" s="23" t="s">
        <v>281</v>
      </c>
      <c r="E124" s="23">
        <v>16</v>
      </c>
      <c r="F124" s="23"/>
      <c r="G124" s="23">
        <v>150</v>
      </c>
      <c r="H124" s="23">
        <v>21</v>
      </c>
      <c r="I124" s="23">
        <v>100</v>
      </c>
      <c r="J124" s="23">
        <v>120</v>
      </c>
      <c r="K124" s="23">
        <f t="shared" si="64"/>
        <v>391</v>
      </c>
      <c r="L124" s="26">
        <v>9</v>
      </c>
      <c r="M124" s="26">
        <v>1.7</v>
      </c>
      <c r="N124" s="26">
        <v>6.1</v>
      </c>
      <c r="O124" s="26">
        <v>7</v>
      </c>
      <c r="P124" s="26">
        <f t="shared" si="70"/>
        <v>23.8</v>
      </c>
      <c r="Q124" s="28">
        <f t="shared" si="68"/>
        <v>1041</v>
      </c>
      <c r="R124" s="28">
        <f t="shared" si="67"/>
        <v>189</v>
      </c>
      <c r="S124" s="28">
        <f t="shared" si="54"/>
        <v>704</v>
      </c>
      <c r="T124" s="28">
        <f t="shared" si="56"/>
        <v>813</v>
      </c>
      <c r="U124" s="28">
        <f t="shared" si="59"/>
        <v>2747</v>
      </c>
    </row>
    <row r="125" spans="1:21" ht="15" customHeight="1">
      <c r="A125" s="23">
        <v>120</v>
      </c>
      <c r="B125" s="23" t="s">
        <v>302</v>
      </c>
      <c r="C125" s="23" t="s">
        <v>670</v>
      </c>
      <c r="D125" s="23" t="s">
        <v>281</v>
      </c>
      <c r="E125" s="23">
        <v>16</v>
      </c>
      <c r="F125" s="23"/>
      <c r="G125" s="23">
        <v>130</v>
      </c>
      <c r="H125" s="23">
        <v>28</v>
      </c>
      <c r="I125" s="23">
        <v>90</v>
      </c>
      <c r="J125" s="23">
        <v>100</v>
      </c>
      <c r="K125" s="23">
        <f t="shared" si="64"/>
        <v>348</v>
      </c>
      <c r="L125" s="26">
        <v>9</v>
      </c>
      <c r="M125" s="26">
        <v>2.1</v>
      </c>
      <c r="N125" s="26">
        <v>5.6</v>
      </c>
      <c r="O125" s="26">
        <v>7</v>
      </c>
      <c r="P125" s="26">
        <f t="shared" si="70"/>
        <v>23.7</v>
      </c>
      <c r="Q125" s="28">
        <f t="shared" si="68"/>
        <v>1021</v>
      </c>
      <c r="R125" s="28">
        <f t="shared" si="67"/>
        <v>236</v>
      </c>
      <c r="S125" s="28">
        <f t="shared" si="54"/>
        <v>644</v>
      </c>
      <c r="T125" s="28">
        <f t="shared" si="56"/>
        <v>793</v>
      </c>
      <c r="U125" s="28">
        <f t="shared" si="59"/>
        <v>2694</v>
      </c>
    </row>
    <row r="126" spans="1:21" ht="15" customHeight="1">
      <c r="A126" s="23">
        <v>121</v>
      </c>
      <c r="B126" s="23" t="s">
        <v>302</v>
      </c>
      <c r="C126" s="23" t="s">
        <v>671</v>
      </c>
      <c r="D126" s="23" t="s">
        <v>315</v>
      </c>
      <c r="E126" s="23">
        <v>10</v>
      </c>
      <c r="F126" s="23"/>
      <c r="G126" s="23">
        <v>150</v>
      </c>
      <c r="H126" s="23">
        <v>110</v>
      </c>
      <c r="I126" s="23">
        <v>110</v>
      </c>
      <c r="J126" s="23">
        <v>60</v>
      </c>
      <c r="K126" s="23">
        <f t="shared" si="64"/>
        <v>430</v>
      </c>
      <c r="L126" s="26"/>
      <c r="M126" s="26"/>
      <c r="N126" s="26"/>
      <c r="O126" s="26"/>
      <c r="P126" s="26"/>
      <c r="Q126" s="28">
        <f t="shared" si="68"/>
        <v>150</v>
      </c>
      <c r="R126" s="28">
        <f t="shared" si="67"/>
        <v>110</v>
      </c>
      <c r="S126" s="28">
        <f t="shared" si="54"/>
        <v>110</v>
      </c>
      <c r="T126" s="28">
        <f t="shared" si="56"/>
        <v>60</v>
      </c>
      <c r="U126" s="28">
        <f t="shared" si="59"/>
        <v>430</v>
      </c>
    </row>
    <row r="127" spans="1:21" ht="15" customHeight="1">
      <c r="A127" s="23">
        <v>122</v>
      </c>
      <c r="B127" s="23" t="s">
        <v>302</v>
      </c>
      <c r="C127" s="23" t="s">
        <v>672</v>
      </c>
      <c r="D127" s="23" t="s">
        <v>275</v>
      </c>
      <c r="E127" s="23">
        <v>7</v>
      </c>
      <c r="F127" s="23"/>
      <c r="G127" s="23">
        <v>200</v>
      </c>
      <c r="H127" s="23">
        <v>130</v>
      </c>
      <c r="I127" s="23">
        <v>110</v>
      </c>
      <c r="J127" s="23">
        <v>60</v>
      </c>
      <c r="K127" s="23">
        <f t="shared" si="64"/>
        <v>500</v>
      </c>
      <c r="L127" s="26"/>
      <c r="M127" s="26"/>
      <c r="N127" s="26"/>
      <c r="O127" s="26"/>
      <c r="P127" s="26"/>
      <c r="Q127" s="28">
        <f t="shared" si="68"/>
        <v>200</v>
      </c>
      <c r="R127" s="28">
        <f t="shared" si="67"/>
        <v>130</v>
      </c>
      <c r="S127" s="28">
        <f t="shared" si="54"/>
        <v>110</v>
      </c>
      <c r="T127" s="28">
        <f t="shared" si="56"/>
        <v>60</v>
      </c>
      <c r="U127" s="28">
        <f t="shared" si="59"/>
        <v>500</v>
      </c>
    </row>
    <row r="128" spans="1:21" ht="15" customHeight="1">
      <c r="A128" s="23">
        <v>123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6"/>
      <c r="M128" s="26"/>
      <c r="N128" s="26"/>
      <c r="O128" s="26"/>
      <c r="P128" s="26"/>
      <c r="Q128" s="28">
        <f t="shared" si="68"/>
        <v>0</v>
      </c>
      <c r="R128" s="28">
        <f t="shared" si="67"/>
        <v>0</v>
      </c>
      <c r="S128" s="28">
        <f t="shared" si="54"/>
        <v>0</v>
      </c>
      <c r="T128" s="28">
        <f t="shared" si="56"/>
        <v>0</v>
      </c>
      <c r="U128" s="28">
        <f t="shared" si="59"/>
        <v>0</v>
      </c>
    </row>
    <row r="129" spans="1:21" ht="15" customHeight="1">
      <c r="A129" s="23">
        <v>124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6"/>
      <c r="M129" s="26"/>
      <c r="N129" s="26"/>
      <c r="O129" s="26"/>
      <c r="P129" s="26"/>
      <c r="Q129" s="28">
        <f t="shared" si="68"/>
        <v>0</v>
      </c>
      <c r="R129" s="28">
        <f t="shared" si="67"/>
        <v>0</v>
      </c>
      <c r="S129" s="28">
        <f t="shared" si="54"/>
        <v>0</v>
      </c>
      <c r="T129" s="28">
        <f t="shared" si="56"/>
        <v>0</v>
      </c>
      <c r="U129" s="28">
        <f t="shared" si="59"/>
        <v>0</v>
      </c>
    </row>
    <row r="130" spans="1:21" ht="15" customHeight="1">
      <c r="A130" s="23">
        <v>125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6"/>
      <c r="M130" s="26"/>
      <c r="N130" s="26"/>
      <c r="O130" s="26"/>
      <c r="P130" s="26"/>
      <c r="Q130" s="28">
        <f t="shared" si="68"/>
        <v>0</v>
      </c>
      <c r="R130" s="28">
        <f t="shared" si="67"/>
        <v>0</v>
      </c>
      <c r="S130" s="28">
        <f t="shared" si="54"/>
        <v>0</v>
      </c>
      <c r="T130" s="28">
        <f t="shared" si="56"/>
        <v>0</v>
      </c>
      <c r="U130" s="28">
        <f t="shared" si="59"/>
        <v>0</v>
      </c>
    </row>
    <row r="131" spans="1:21" ht="15" customHeight="1">
      <c r="A131" s="23">
        <v>126</v>
      </c>
      <c r="B131" s="23" t="s">
        <v>273</v>
      </c>
      <c r="C131" s="23" t="s">
        <v>258</v>
      </c>
      <c r="D131" s="23" t="s">
        <v>308</v>
      </c>
      <c r="E131" s="23">
        <v>30</v>
      </c>
      <c r="F131" s="23"/>
      <c r="G131" s="23">
        <v>80</v>
      </c>
      <c r="H131" s="23">
        <v>59</v>
      </c>
      <c r="I131" s="23">
        <v>20</v>
      </c>
      <c r="J131" s="23">
        <v>80</v>
      </c>
      <c r="K131" s="23">
        <f t="shared" ref="K131" si="71">J131+I131+H131+G131</f>
        <v>239</v>
      </c>
      <c r="L131" s="26">
        <v>7</v>
      </c>
      <c r="M131" s="26">
        <v>4.9000000000000004</v>
      </c>
      <c r="N131" s="26">
        <v>2</v>
      </c>
      <c r="O131" s="26">
        <v>6</v>
      </c>
      <c r="P131" s="26">
        <f t="shared" ref="P131" si="72">O131+N131+M131+L131</f>
        <v>19.899999999999999</v>
      </c>
      <c r="Q131" s="28">
        <f t="shared" si="68"/>
        <v>773</v>
      </c>
      <c r="R131" s="28">
        <f t="shared" si="67"/>
        <v>544</v>
      </c>
      <c r="S131" s="28">
        <f t="shared" ref="S131" si="73">ROUND(I131+N131*($V$2-1),0)</f>
        <v>218</v>
      </c>
      <c r="T131" s="28">
        <f t="shared" si="56"/>
        <v>674</v>
      </c>
      <c r="U131" s="28">
        <f t="shared" si="59"/>
        <v>2209</v>
      </c>
    </row>
    <row r="132" spans="1:21" ht="15" customHeight="1">
      <c r="A132" s="23">
        <v>127</v>
      </c>
      <c r="B132" s="23" t="s">
        <v>273</v>
      </c>
      <c r="C132" s="23" t="s">
        <v>673</v>
      </c>
      <c r="D132" s="23" t="s">
        <v>315</v>
      </c>
      <c r="E132" s="23">
        <v>10</v>
      </c>
      <c r="F132" s="23"/>
      <c r="G132" s="23">
        <v>80</v>
      </c>
      <c r="H132" s="23">
        <v>60</v>
      </c>
      <c r="I132" s="23">
        <v>18</v>
      </c>
      <c r="J132" s="23">
        <v>80</v>
      </c>
      <c r="K132" s="23">
        <f t="shared" ref="K132:K142" si="74">J132+I132+H132+G132</f>
        <v>238</v>
      </c>
      <c r="L132" s="26">
        <v>7</v>
      </c>
      <c r="M132" s="26">
        <v>4.9000000000000004</v>
      </c>
      <c r="N132" s="26">
        <v>2</v>
      </c>
      <c r="O132" s="26">
        <v>6</v>
      </c>
      <c r="P132" s="26">
        <f t="shared" ref="P132:P142" si="75">O132+N132+M132+L132</f>
        <v>19.899999999999999</v>
      </c>
      <c r="Q132" s="28">
        <f t="shared" si="68"/>
        <v>773</v>
      </c>
      <c r="R132" s="28">
        <f t="shared" si="67"/>
        <v>545</v>
      </c>
      <c r="S132" s="28">
        <f t="shared" ref="S132:S154" si="76">ROUND(I132+N132*($V$2-1),0)</f>
        <v>216</v>
      </c>
      <c r="T132" s="28">
        <f t="shared" ref="T132" si="77">ROUND(J132+O132*($V$2-1),0)</f>
        <v>674</v>
      </c>
      <c r="U132" s="28">
        <f t="shared" si="59"/>
        <v>2208</v>
      </c>
    </row>
    <row r="133" spans="1:21" ht="15" customHeight="1">
      <c r="A133" s="23">
        <v>128</v>
      </c>
      <c r="B133" s="23" t="s">
        <v>273</v>
      </c>
      <c r="C133" s="23" t="s">
        <v>259</v>
      </c>
      <c r="D133" s="23" t="s">
        <v>288</v>
      </c>
      <c r="E133" s="23">
        <v>3</v>
      </c>
      <c r="F133" s="23"/>
      <c r="G133" s="23">
        <v>70</v>
      </c>
      <c r="H133" s="23">
        <v>36</v>
      </c>
      <c r="I133" s="23">
        <v>31</v>
      </c>
      <c r="J133" s="23">
        <v>60</v>
      </c>
      <c r="K133" s="23">
        <f t="shared" si="74"/>
        <v>197</v>
      </c>
      <c r="L133" s="26">
        <v>7</v>
      </c>
      <c r="M133" s="26">
        <v>3.6</v>
      </c>
      <c r="N133" s="26">
        <v>3</v>
      </c>
      <c r="O133" s="26">
        <v>6</v>
      </c>
      <c r="P133" s="26">
        <f t="shared" si="75"/>
        <v>19.600000000000001</v>
      </c>
      <c r="Q133" s="28">
        <f t="shared" si="68"/>
        <v>763</v>
      </c>
      <c r="R133" s="28">
        <f t="shared" si="67"/>
        <v>392</v>
      </c>
      <c r="S133" s="28">
        <f t="shared" si="76"/>
        <v>328</v>
      </c>
      <c r="T133" s="28">
        <f t="shared" ref="T133:T154" si="78">ROUND(J133+O133*($V$2-1),0)</f>
        <v>654</v>
      </c>
      <c r="U133" s="28">
        <f t="shared" ref="U133" si="79">SUM(Q133:T133)</f>
        <v>2137</v>
      </c>
    </row>
    <row r="134" spans="1:21" ht="15" customHeight="1">
      <c r="A134" s="23">
        <v>129</v>
      </c>
      <c r="B134" s="23" t="s">
        <v>273</v>
      </c>
      <c r="C134" s="23" t="s">
        <v>674</v>
      </c>
      <c r="D134" s="23" t="s">
        <v>666</v>
      </c>
      <c r="E134" s="23">
        <v>30</v>
      </c>
      <c r="F134" s="23"/>
      <c r="G134" s="23">
        <v>80</v>
      </c>
      <c r="H134" s="23">
        <v>52</v>
      </c>
      <c r="I134" s="23">
        <v>16</v>
      </c>
      <c r="J134" s="23">
        <v>60</v>
      </c>
      <c r="K134" s="23">
        <f t="shared" si="74"/>
        <v>208</v>
      </c>
      <c r="L134" s="26">
        <v>8</v>
      </c>
      <c r="M134" s="26">
        <v>5.2</v>
      </c>
      <c r="N134" s="26">
        <v>1.6</v>
      </c>
      <c r="O134" s="26">
        <v>6</v>
      </c>
      <c r="P134" s="26">
        <f t="shared" si="75"/>
        <v>20.8</v>
      </c>
      <c r="Q134" s="28">
        <f t="shared" si="68"/>
        <v>872</v>
      </c>
      <c r="R134" s="28">
        <f t="shared" ref="R134" si="80">ROUND(H134+M134*($V$2-1),0)</f>
        <v>567</v>
      </c>
      <c r="S134" s="28">
        <f t="shared" si="76"/>
        <v>174</v>
      </c>
      <c r="T134" s="28">
        <f t="shared" si="78"/>
        <v>654</v>
      </c>
      <c r="U134" s="28">
        <f t="shared" ref="U134:U154" si="81">SUM(Q134:T134)</f>
        <v>2267</v>
      </c>
    </row>
    <row r="135" spans="1:21" ht="15" customHeight="1">
      <c r="A135" s="23">
        <v>130</v>
      </c>
      <c r="B135" s="23" t="s">
        <v>273</v>
      </c>
      <c r="C135" s="23" t="s">
        <v>254</v>
      </c>
      <c r="D135" s="23" t="s">
        <v>288</v>
      </c>
      <c r="E135" s="23">
        <v>3</v>
      </c>
      <c r="F135" s="23"/>
      <c r="G135" s="23">
        <v>10</v>
      </c>
      <c r="H135" s="23">
        <v>10</v>
      </c>
      <c r="I135" s="23">
        <v>10</v>
      </c>
      <c r="J135" s="23">
        <v>10</v>
      </c>
      <c r="K135" s="23">
        <f t="shared" si="74"/>
        <v>40</v>
      </c>
      <c r="L135" s="26">
        <v>1</v>
      </c>
      <c r="M135" s="26">
        <v>1</v>
      </c>
      <c r="N135" s="26">
        <v>1</v>
      </c>
      <c r="O135" s="26">
        <v>1</v>
      </c>
      <c r="P135" s="26">
        <f t="shared" si="75"/>
        <v>4</v>
      </c>
      <c r="Q135" s="28">
        <f t="shared" si="68"/>
        <v>109</v>
      </c>
      <c r="R135" s="28">
        <f t="shared" ref="R135:R154" si="82">ROUND(H135+M135*($V$2-1),0)</f>
        <v>109</v>
      </c>
      <c r="S135" s="28">
        <f t="shared" si="76"/>
        <v>109</v>
      </c>
      <c r="T135" s="28">
        <f t="shared" si="78"/>
        <v>109</v>
      </c>
      <c r="U135" s="28">
        <f t="shared" si="81"/>
        <v>436</v>
      </c>
    </row>
    <row r="136" spans="1:21" ht="15" customHeight="1">
      <c r="A136" s="23">
        <v>131</v>
      </c>
      <c r="B136" s="23" t="s">
        <v>273</v>
      </c>
      <c r="C136" s="23" t="s">
        <v>250</v>
      </c>
      <c r="D136" s="23" t="s">
        <v>289</v>
      </c>
      <c r="E136" s="23">
        <v>8</v>
      </c>
      <c r="F136" s="23"/>
      <c r="G136" s="23">
        <v>70</v>
      </c>
      <c r="H136" s="23">
        <v>32</v>
      </c>
      <c r="I136" s="23">
        <v>34</v>
      </c>
      <c r="J136" s="23">
        <v>60</v>
      </c>
      <c r="K136" s="23">
        <f t="shared" si="74"/>
        <v>196</v>
      </c>
      <c r="L136" s="26">
        <v>7</v>
      </c>
      <c r="M136" s="26">
        <v>3.2</v>
      </c>
      <c r="N136" s="26">
        <v>3.4</v>
      </c>
      <c r="O136" s="26">
        <v>6</v>
      </c>
      <c r="P136" s="26">
        <f t="shared" si="75"/>
        <v>19.600000000000001</v>
      </c>
      <c r="Q136" s="28">
        <f t="shared" si="68"/>
        <v>763</v>
      </c>
      <c r="R136" s="28">
        <f t="shared" si="82"/>
        <v>349</v>
      </c>
      <c r="S136" s="28">
        <f t="shared" si="76"/>
        <v>371</v>
      </c>
      <c r="T136" s="28">
        <f t="shared" si="78"/>
        <v>654</v>
      </c>
      <c r="U136" s="28">
        <f t="shared" si="81"/>
        <v>2137</v>
      </c>
    </row>
    <row r="137" spans="1:21" ht="15" customHeight="1">
      <c r="A137" s="23">
        <v>132</v>
      </c>
      <c r="B137" s="23" t="s">
        <v>273</v>
      </c>
      <c r="C137" s="23" t="s">
        <v>675</v>
      </c>
      <c r="D137" s="23" t="s">
        <v>290</v>
      </c>
      <c r="E137" s="23">
        <v>8</v>
      </c>
      <c r="F137" s="23"/>
      <c r="G137" s="23">
        <v>80</v>
      </c>
      <c r="H137" s="23">
        <v>31</v>
      </c>
      <c r="I137" s="23">
        <v>35</v>
      </c>
      <c r="J137" s="23">
        <v>30</v>
      </c>
      <c r="K137" s="23">
        <f t="shared" si="74"/>
        <v>176</v>
      </c>
      <c r="L137" s="26">
        <v>8</v>
      </c>
      <c r="M137" s="26">
        <v>3.1</v>
      </c>
      <c r="N137" s="26">
        <v>3.5</v>
      </c>
      <c r="O137" s="26">
        <v>3</v>
      </c>
      <c r="P137" s="26">
        <f t="shared" si="75"/>
        <v>17.600000000000001</v>
      </c>
      <c r="Q137" s="28">
        <f t="shared" si="68"/>
        <v>872</v>
      </c>
      <c r="R137" s="28">
        <f t="shared" si="82"/>
        <v>338</v>
      </c>
      <c r="S137" s="28">
        <f t="shared" si="76"/>
        <v>382</v>
      </c>
      <c r="T137" s="28">
        <f t="shared" si="78"/>
        <v>327</v>
      </c>
      <c r="U137" s="28">
        <f t="shared" si="81"/>
        <v>1919</v>
      </c>
    </row>
    <row r="138" spans="1:21" ht="15" customHeight="1">
      <c r="A138" s="23">
        <v>133</v>
      </c>
      <c r="B138" s="23" t="s">
        <v>273</v>
      </c>
      <c r="C138" s="23" t="s">
        <v>676</v>
      </c>
      <c r="D138" s="23" t="s">
        <v>280</v>
      </c>
      <c r="E138" s="23">
        <v>9</v>
      </c>
      <c r="F138" s="23"/>
      <c r="G138" s="23">
        <v>70</v>
      </c>
      <c r="H138" s="23">
        <v>33</v>
      </c>
      <c r="I138" s="23">
        <v>33</v>
      </c>
      <c r="J138" s="23">
        <v>40</v>
      </c>
      <c r="K138" s="23">
        <f t="shared" si="74"/>
        <v>176</v>
      </c>
      <c r="L138" s="26">
        <v>7</v>
      </c>
      <c r="M138" s="26">
        <v>3.3</v>
      </c>
      <c r="N138" s="26">
        <v>3.3</v>
      </c>
      <c r="O138" s="26">
        <v>4</v>
      </c>
      <c r="P138" s="26">
        <f t="shared" si="75"/>
        <v>17.600000000000001</v>
      </c>
      <c r="Q138" s="28">
        <f t="shared" si="68"/>
        <v>763</v>
      </c>
      <c r="R138" s="28">
        <f t="shared" si="82"/>
        <v>360</v>
      </c>
      <c r="S138" s="28">
        <f t="shared" si="76"/>
        <v>360</v>
      </c>
      <c r="T138" s="28">
        <f t="shared" si="78"/>
        <v>436</v>
      </c>
      <c r="U138" s="28">
        <f t="shared" si="81"/>
        <v>1919</v>
      </c>
    </row>
    <row r="139" spans="1:21" ht="15" customHeight="1">
      <c r="A139" s="23">
        <v>134</v>
      </c>
      <c r="B139" s="23" t="s">
        <v>273</v>
      </c>
      <c r="C139" s="23" t="s">
        <v>677</v>
      </c>
      <c r="D139" s="23" t="s">
        <v>287</v>
      </c>
      <c r="E139" s="23">
        <v>3</v>
      </c>
      <c r="F139" s="23"/>
      <c r="G139" s="23">
        <v>80</v>
      </c>
      <c r="H139" s="23">
        <v>31</v>
      </c>
      <c r="I139" s="23">
        <v>36</v>
      </c>
      <c r="J139" s="23">
        <v>60</v>
      </c>
      <c r="K139" s="23">
        <f t="shared" si="74"/>
        <v>207</v>
      </c>
      <c r="L139" s="26">
        <v>8</v>
      </c>
      <c r="M139" s="26">
        <v>3.1</v>
      </c>
      <c r="N139" s="26">
        <v>3.6</v>
      </c>
      <c r="O139" s="26">
        <v>6</v>
      </c>
      <c r="P139" s="26">
        <f t="shared" si="75"/>
        <v>20.7</v>
      </c>
      <c r="Q139" s="28">
        <f t="shared" si="68"/>
        <v>872</v>
      </c>
      <c r="R139" s="28">
        <f t="shared" si="82"/>
        <v>338</v>
      </c>
      <c r="S139" s="28">
        <f t="shared" si="76"/>
        <v>392</v>
      </c>
      <c r="T139" s="28">
        <f t="shared" si="78"/>
        <v>654</v>
      </c>
      <c r="U139" s="28">
        <f t="shared" si="81"/>
        <v>2256</v>
      </c>
    </row>
    <row r="140" spans="1:21" ht="15" customHeight="1">
      <c r="A140" s="23">
        <v>135</v>
      </c>
      <c r="B140" s="23" t="s">
        <v>273</v>
      </c>
      <c r="C140" s="23" t="s">
        <v>678</v>
      </c>
      <c r="D140" s="23" t="s">
        <v>287</v>
      </c>
      <c r="E140" s="23">
        <v>3</v>
      </c>
      <c r="F140" s="23"/>
      <c r="G140" s="23">
        <v>70</v>
      </c>
      <c r="H140" s="23">
        <v>41</v>
      </c>
      <c r="I140" s="23">
        <v>25</v>
      </c>
      <c r="J140" s="23">
        <v>40</v>
      </c>
      <c r="K140" s="23">
        <f t="shared" si="74"/>
        <v>176</v>
      </c>
      <c r="L140" s="26">
        <v>7</v>
      </c>
      <c r="M140" s="26">
        <v>4.0999999999999996</v>
      </c>
      <c r="N140" s="26">
        <v>2.5</v>
      </c>
      <c r="O140" s="26">
        <v>4</v>
      </c>
      <c r="P140" s="26">
        <f t="shared" si="75"/>
        <v>17.600000000000001</v>
      </c>
      <c r="Q140" s="28">
        <f t="shared" si="68"/>
        <v>763</v>
      </c>
      <c r="R140" s="28">
        <f t="shared" si="82"/>
        <v>447</v>
      </c>
      <c r="S140" s="28">
        <f t="shared" si="76"/>
        <v>273</v>
      </c>
      <c r="T140" s="28">
        <f t="shared" si="78"/>
        <v>436</v>
      </c>
      <c r="U140" s="28">
        <f t="shared" si="81"/>
        <v>1919</v>
      </c>
    </row>
    <row r="141" spans="1:21" ht="15" customHeight="1">
      <c r="A141" s="23">
        <v>136</v>
      </c>
      <c r="B141" s="23" t="s">
        <v>273</v>
      </c>
      <c r="C141" s="23" t="s">
        <v>679</v>
      </c>
      <c r="D141" s="23" t="s">
        <v>289</v>
      </c>
      <c r="E141" s="23">
        <v>8</v>
      </c>
      <c r="F141" s="23"/>
      <c r="G141" s="23">
        <v>70</v>
      </c>
      <c r="H141" s="23">
        <v>37</v>
      </c>
      <c r="I141" s="23">
        <v>29</v>
      </c>
      <c r="J141" s="23">
        <v>40</v>
      </c>
      <c r="K141" s="23">
        <f t="shared" si="74"/>
        <v>176</v>
      </c>
      <c r="L141" s="26">
        <v>7</v>
      </c>
      <c r="M141" s="26">
        <v>3.7</v>
      </c>
      <c r="N141" s="26">
        <v>2.9</v>
      </c>
      <c r="O141" s="26">
        <v>4</v>
      </c>
      <c r="P141" s="26">
        <f t="shared" si="75"/>
        <v>17.600000000000001</v>
      </c>
      <c r="Q141" s="28">
        <f t="shared" si="68"/>
        <v>763</v>
      </c>
      <c r="R141" s="28">
        <f t="shared" si="82"/>
        <v>403</v>
      </c>
      <c r="S141" s="28">
        <f t="shared" si="76"/>
        <v>316</v>
      </c>
      <c r="T141" s="28">
        <f t="shared" si="78"/>
        <v>436</v>
      </c>
      <c r="U141" s="28">
        <f t="shared" si="81"/>
        <v>1918</v>
      </c>
    </row>
    <row r="142" spans="1:21" ht="15" customHeight="1">
      <c r="A142" s="23">
        <v>137</v>
      </c>
      <c r="B142" s="23" t="s">
        <v>273</v>
      </c>
      <c r="C142" s="23" t="s">
        <v>260</v>
      </c>
      <c r="D142" s="23"/>
      <c r="E142" s="23"/>
      <c r="F142" s="23"/>
      <c r="G142" s="23">
        <v>80</v>
      </c>
      <c r="H142" s="23">
        <v>54</v>
      </c>
      <c r="I142" s="23">
        <v>25</v>
      </c>
      <c r="J142" s="23">
        <v>80</v>
      </c>
      <c r="K142" s="23">
        <f t="shared" si="74"/>
        <v>239</v>
      </c>
      <c r="L142" s="26">
        <v>7</v>
      </c>
      <c r="M142" s="26">
        <v>4.4000000000000004</v>
      </c>
      <c r="N142" s="26">
        <v>2.5</v>
      </c>
      <c r="O142" s="26">
        <v>6</v>
      </c>
      <c r="P142" s="26">
        <f t="shared" si="75"/>
        <v>19.899999999999999</v>
      </c>
      <c r="Q142" s="28">
        <f t="shared" si="68"/>
        <v>773</v>
      </c>
      <c r="R142" s="28">
        <f t="shared" si="82"/>
        <v>490</v>
      </c>
      <c r="S142" s="28">
        <f t="shared" si="76"/>
        <v>273</v>
      </c>
      <c r="T142" s="28">
        <f t="shared" si="78"/>
        <v>674</v>
      </c>
      <c r="U142" s="28">
        <f t="shared" si="81"/>
        <v>2210</v>
      </c>
    </row>
    <row r="143" spans="1:21" ht="15" customHeight="1">
      <c r="A143" s="23">
        <v>138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6"/>
      <c r="M143" s="26"/>
      <c r="N143" s="26"/>
      <c r="O143" s="26"/>
      <c r="P143" s="26"/>
      <c r="Q143" s="28">
        <f t="shared" si="68"/>
        <v>0</v>
      </c>
      <c r="R143" s="28">
        <f t="shared" si="82"/>
        <v>0</v>
      </c>
      <c r="S143" s="28">
        <f t="shared" si="76"/>
        <v>0</v>
      </c>
      <c r="T143" s="28">
        <f t="shared" si="78"/>
        <v>0</v>
      </c>
      <c r="U143" s="28">
        <f t="shared" si="81"/>
        <v>0</v>
      </c>
    </row>
    <row r="144" spans="1:21" ht="1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6"/>
      <c r="M144" s="26"/>
      <c r="N144" s="26"/>
      <c r="O144" s="26"/>
      <c r="P144" s="26"/>
      <c r="Q144" s="28">
        <f t="shared" si="68"/>
        <v>0</v>
      </c>
      <c r="R144" s="28">
        <f t="shared" si="82"/>
        <v>0</v>
      </c>
      <c r="S144" s="28">
        <f t="shared" si="76"/>
        <v>0</v>
      </c>
      <c r="T144" s="28">
        <f t="shared" si="78"/>
        <v>0</v>
      </c>
      <c r="U144" s="28">
        <f t="shared" si="81"/>
        <v>0</v>
      </c>
    </row>
    <row r="145" spans="1:21" ht="15" customHeight="1">
      <c r="A145" s="23">
        <v>139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6"/>
      <c r="M145" s="26"/>
      <c r="N145" s="26"/>
      <c r="O145" s="26"/>
      <c r="P145" s="26"/>
      <c r="Q145" s="28">
        <f t="shared" si="68"/>
        <v>0</v>
      </c>
      <c r="R145" s="28">
        <f t="shared" si="82"/>
        <v>0</v>
      </c>
      <c r="S145" s="28">
        <f t="shared" si="76"/>
        <v>0</v>
      </c>
      <c r="T145" s="28">
        <f t="shared" si="78"/>
        <v>0</v>
      </c>
      <c r="U145" s="28">
        <f t="shared" si="81"/>
        <v>0</v>
      </c>
    </row>
    <row r="146" spans="1:21" ht="15" customHeight="1">
      <c r="A146" s="23">
        <v>140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6"/>
      <c r="M146" s="26"/>
      <c r="N146" s="26"/>
      <c r="O146" s="26"/>
      <c r="P146" s="26"/>
      <c r="Q146" s="28">
        <f t="shared" si="68"/>
        <v>0</v>
      </c>
      <c r="R146" s="28">
        <f t="shared" si="82"/>
        <v>0</v>
      </c>
      <c r="S146" s="28">
        <f t="shared" si="76"/>
        <v>0</v>
      </c>
      <c r="T146" s="28">
        <f t="shared" si="78"/>
        <v>0</v>
      </c>
      <c r="U146" s="28">
        <f t="shared" si="81"/>
        <v>0</v>
      </c>
    </row>
    <row r="147" spans="1:21" ht="15" customHeight="1">
      <c r="A147" s="23">
        <v>141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6"/>
      <c r="M147" s="26"/>
      <c r="N147" s="26"/>
      <c r="O147" s="26"/>
      <c r="P147" s="26"/>
      <c r="Q147" s="28">
        <f t="shared" si="68"/>
        <v>0</v>
      </c>
      <c r="R147" s="28">
        <f t="shared" si="82"/>
        <v>0</v>
      </c>
      <c r="S147" s="28">
        <f t="shared" si="76"/>
        <v>0</v>
      </c>
      <c r="T147" s="28">
        <f t="shared" si="78"/>
        <v>0</v>
      </c>
      <c r="U147" s="28">
        <f t="shared" si="81"/>
        <v>0</v>
      </c>
    </row>
    <row r="148" spans="1:21" ht="15" customHeight="1">
      <c r="A148" s="23">
        <v>142</v>
      </c>
      <c r="B148" s="23" t="s">
        <v>285</v>
      </c>
      <c r="C148" s="23" t="s">
        <v>255</v>
      </c>
      <c r="D148" s="23" t="s">
        <v>280</v>
      </c>
      <c r="E148" s="23">
        <v>9</v>
      </c>
      <c r="F148" s="23"/>
      <c r="G148" s="23">
        <v>70</v>
      </c>
      <c r="H148" s="23">
        <v>33</v>
      </c>
      <c r="I148" s="23">
        <v>34</v>
      </c>
      <c r="J148" s="23">
        <v>60</v>
      </c>
      <c r="K148" s="23">
        <f>J148+I148+H148+G148</f>
        <v>197</v>
      </c>
      <c r="L148" s="23">
        <v>7</v>
      </c>
      <c r="M148" s="23">
        <v>3.3</v>
      </c>
      <c r="N148" s="23">
        <v>3.4</v>
      </c>
      <c r="O148" s="23">
        <v>6</v>
      </c>
      <c r="P148" s="26">
        <f>O148+N148+M148+L148</f>
        <v>19.7</v>
      </c>
      <c r="Q148" s="28">
        <f t="shared" si="68"/>
        <v>763</v>
      </c>
      <c r="R148" s="28">
        <f t="shared" si="82"/>
        <v>360</v>
      </c>
      <c r="S148" s="28">
        <f t="shared" si="76"/>
        <v>371</v>
      </c>
      <c r="T148" s="28">
        <f t="shared" si="78"/>
        <v>654</v>
      </c>
      <c r="U148" s="28">
        <f t="shared" si="81"/>
        <v>2148</v>
      </c>
    </row>
    <row r="149" spans="1:21" ht="15" customHeight="1">
      <c r="A149" s="23">
        <v>143</v>
      </c>
      <c r="B149" s="23" t="s">
        <v>285</v>
      </c>
      <c r="C149" s="23" t="s">
        <v>249</v>
      </c>
      <c r="D149" s="23" t="s">
        <v>288</v>
      </c>
      <c r="E149" s="23">
        <v>3</v>
      </c>
      <c r="F149" s="23"/>
      <c r="G149" s="23">
        <v>60</v>
      </c>
      <c r="H149" s="23">
        <v>10</v>
      </c>
      <c r="I149" s="23">
        <v>16</v>
      </c>
      <c r="J149" s="23">
        <v>10</v>
      </c>
      <c r="K149" s="23">
        <f>J149+I149+H149+G149</f>
        <v>96</v>
      </c>
      <c r="L149" s="26">
        <v>6</v>
      </c>
      <c r="M149" s="26">
        <v>1</v>
      </c>
      <c r="N149" s="26">
        <v>1.6</v>
      </c>
      <c r="O149" s="26">
        <v>1</v>
      </c>
      <c r="P149" s="26">
        <f>O149+N149+M149+L149</f>
        <v>9.6</v>
      </c>
      <c r="Q149" s="28">
        <f t="shared" si="68"/>
        <v>654</v>
      </c>
      <c r="R149" s="28">
        <f t="shared" si="82"/>
        <v>109</v>
      </c>
      <c r="S149" s="28">
        <f t="shared" si="76"/>
        <v>174</v>
      </c>
      <c r="T149" s="28">
        <f t="shared" si="78"/>
        <v>109</v>
      </c>
      <c r="U149" s="28">
        <f t="shared" si="81"/>
        <v>1046</v>
      </c>
    </row>
    <row r="150" spans="1:21" ht="15" customHeight="1">
      <c r="A150" s="23">
        <v>144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6"/>
      <c r="Q150" s="28">
        <f t="shared" si="68"/>
        <v>0</v>
      </c>
      <c r="R150" s="28">
        <f t="shared" si="82"/>
        <v>0</v>
      </c>
      <c r="S150" s="28">
        <f t="shared" si="76"/>
        <v>0</v>
      </c>
      <c r="T150" s="28">
        <f t="shared" si="78"/>
        <v>0</v>
      </c>
      <c r="U150" s="28">
        <f t="shared" si="81"/>
        <v>0</v>
      </c>
    </row>
    <row r="151" spans="1:21" ht="15" customHeight="1">
      <c r="A151" s="23">
        <v>145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6"/>
      <c r="Q151" s="28">
        <f t="shared" si="68"/>
        <v>0</v>
      </c>
      <c r="R151" s="28">
        <f t="shared" si="82"/>
        <v>0</v>
      </c>
      <c r="S151" s="28">
        <f t="shared" si="76"/>
        <v>0</v>
      </c>
      <c r="T151" s="28">
        <f t="shared" si="78"/>
        <v>0</v>
      </c>
      <c r="U151" s="28">
        <f t="shared" si="81"/>
        <v>0</v>
      </c>
    </row>
    <row r="152" spans="1:21" ht="15" customHeight="1">
      <c r="A152" s="23">
        <v>146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6"/>
      <c r="Q152" s="28">
        <f t="shared" si="68"/>
        <v>0</v>
      </c>
      <c r="R152" s="28">
        <f t="shared" si="82"/>
        <v>0</v>
      </c>
      <c r="S152" s="28">
        <f t="shared" si="76"/>
        <v>0</v>
      </c>
      <c r="T152" s="28">
        <f t="shared" si="78"/>
        <v>0</v>
      </c>
      <c r="U152" s="28">
        <f t="shared" si="81"/>
        <v>0</v>
      </c>
    </row>
    <row r="153" spans="1:21" ht="15" customHeight="1">
      <c r="A153" s="23">
        <v>147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6"/>
      <c r="Q153" s="28">
        <f t="shared" si="68"/>
        <v>0</v>
      </c>
      <c r="R153" s="28">
        <f t="shared" si="82"/>
        <v>0</v>
      </c>
      <c r="S153" s="28">
        <f t="shared" si="76"/>
        <v>0</v>
      </c>
      <c r="T153" s="28">
        <f t="shared" si="78"/>
        <v>0</v>
      </c>
      <c r="U153" s="28">
        <f t="shared" si="81"/>
        <v>0</v>
      </c>
    </row>
    <row r="154" spans="1:21" ht="15" customHeight="1">
      <c r="A154" s="23">
        <v>148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6"/>
      <c r="M154" s="26"/>
      <c r="N154" s="26"/>
      <c r="O154" s="26"/>
      <c r="P154" s="26"/>
      <c r="Q154" s="28">
        <f t="shared" si="68"/>
        <v>0</v>
      </c>
      <c r="R154" s="28">
        <f t="shared" si="82"/>
        <v>0</v>
      </c>
      <c r="S154" s="28">
        <f t="shared" si="76"/>
        <v>0</v>
      </c>
      <c r="T154" s="28">
        <f t="shared" si="78"/>
        <v>0</v>
      </c>
      <c r="U154" s="28">
        <f t="shared" si="81"/>
        <v>0</v>
      </c>
    </row>
    <row r="155" spans="1:21" ht="15" customHeight="1">
      <c r="B155" s="31" t="s">
        <v>680</v>
      </c>
      <c r="D155" s="813" t="s">
        <v>681</v>
      </c>
      <c r="E155" s="814"/>
      <c r="F155" s="814"/>
      <c r="G155" s="814"/>
      <c r="H155" s="814"/>
      <c r="I155" s="814"/>
      <c r="J155" s="814"/>
      <c r="K155" s="814"/>
      <c r="L155" s="814"/>
      <c r="M155" s="814"/>
      <c r="N155" s="20"/>
      <c r="O155" s="20"/>
      <c r="P155" s="20"/>
      <c r="Q155" s="20"/>
      <c r="R155" s="20"/>
      <c r="S155" s="20"/>
    </row>
    <row r="156" spans="1:21" ht="15" customHeight="1">
      <c r="L156" s="20"/>
      <c r="M156" s="20"/>
      <c r="N156" s="20"/>
      <c r="O156" s="20"/>
      <c r="P156" s="20"/>
    </row>
  </sheetData>
  <sheetProtection sheet="1" objects="1" scenarios="1"/>
  <mergeCells count="6">
    <mergeCell ref="D155:M155"/>
    <mergeCell ref="B1:C1"/>
    <mergeCell ref="D1:E1"/>
    <mergeCell ref="F1:K1"/>
    <mergeCell ref="L1:P1"/>
    <mergeCell ref="Q1:U1"/>
  </mergeCells>
  <phoneticPr fontId="57" type="noConversion"/>
  <conditionalFormatting sqref="L157:L65537 O157:O65537 L104:L134 O102:O134 O2:O100 L2:L100 L135:O147 L101:O101 K102:K103 N102:N103 L103:M103 L102 O154 L154 L149 O149">
    <cfRule type="cellIs" dxfId="6" priority="1" stopIfTrue="1" operator="greaterThan">
      <formula>10</formula>
    </cfRule>
  </conditionalFormatting>
  <conditionalFormatting sqref="P3:P67">
    <cfRule type="cellIs" dxfId="5" priority="2" stopIfTrue="1" operator="greaterThan">
      <formula>30</formula>
    </cfRule>
  </conditionalFormatting>
  <conditionalFormatting sqref="P105">
    <cfRule type="cellIs" dxfId="4" priority="3" stopIfTrue="1" operator="greaterThan">
      <formula>0.5</formula>
    </cfRule>
  </conditionalFormatting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69"/>
  <sheetViews>
    <sheetView topLeftCell="B1" workbookViewId="0">
      <pane xSplit="2" ySplit="2" topLeftCell="D3" activePane="bottomRight" state="frozenSplit"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0" hidden="1" customWidth="1"/>
    <col min="2" max="2" width="4.75" style="20" customWidth="1"/>
    <col min="3" max="3" width="8.75" style="20" customWidth="1"/>
    <col min="4" max="7" width="9.125" style="20" customWidth="1"/>
    <col min="8" max="8" width="8" style="20" customWidth="1"/>
    <col min="9" max="12" width="10.125" style="21" customWidth="1"/>
    <col min="13" max="13" width="10" style="21" customWidth="1"/>
    <col min="14" max="14" width="8.625" style="22" customWidth="1"/>
    <col min="15" max="15" width="8.25" style="22" customWidth="1"/>
    <col min="16" max="16" width="7.25" style="22" customWidth="1"/>
    <col min="17" max="18" width="9" style="22" customWidth="1"/>
    <col min="19" max="19" width="5.875" style="20" customWidth="1"/>
    <col min="20" max="20" width="12.75" style="21" customWidth="1"/>
    <col min="21" max="21" width="9.5" style="21" customWidth="1"/>
    <col min="22" max="16384" width="9" style="20"/>
  </cols>
  <sheetData>
    <row r="1" spans="1:19" ht="15" customHeight="1">
      <c r="A1" s="23"/>
      <c r="B1" s="804"/>
      <c r="C1" s="739"/>
      <c r="D1" s="808" t="s">
        <v>682</v>
      </c>
      <c r="E1" s="808"/>
      <c r="F1" s="808"/>
      <c r="G1" s="808"/>
      <c r="H1" s="806"/>
      <c r="I1" s="809" t="s">
        <v>683</v>
      </c>
      <c r="J1" s="809"/>
      <c r="K1" s="809"/>
      <c r="L1" s="809"/>
      <c r="M1" s="809"/>
      <c r="N1" s="810" t="s">
        <v>625</v>
      </c>
      <c r="O1" s="811"/>
      <c r="P1" s="811"/>
      <c r="Q1" s="811"/>
      <c r="R1" s="812"/>
      <c r="S1" s="29" t="s">
        <v>365</v>
      </c>
    </row>
    <row r="2" spans="1:19" ht="15" customHeight="1">
      <c r="A2" s="24" t="s">
        <v>626</v>
      </c>
      <c r="B2" s="23" t="s">
        <v>264</v>
      </c>
      <c r="C2" s="23" t="s">
        <v>110</v>
      </c>
      <c r="D2" s="23" t="s">
        <v>630</v>
      </c>
      <c r="E2" s="23" t="s">
        <v>631</v>
      </c>
      <c r="F2" s="23" t="s">
        <v>632</v>
      </c>
      <c r="G2" s="23" t="s">
        <v>633</v>
      </c>
      <c r="H2" s="25" t="s">
        <v>634</v>
      </c>
      <c r="I2" s="25" t="s">
        <v>635</v>
      </c>
      <c r="J2" s="25" t="s">
        <v>636</v>
      </c>
      <c r="K2" s="25" t="s">
        <v>637</v>
      </c>
      <c r="L2" s="25" t="s">
        <v>638</v>
      </c>
      <c r="M2" s="26" t="s">
        <v>639</v>
      </c>
      <c r="N2" s="27" t="s">
        <v>46</v>
      </c>
      <c r="O2" s="27" t="s">
        <v>47</v>
      </c>
      <c r="P2" s="27" t="s">
        <v>48</v>
      </c>
      <c r="Q2" s="28" t="s">
        <v>53</v>
      </c>
      <c r="R2" s="28" t="s">
        <v>476</v>
      </c>
      <c r="S2" s="30">
        <v>100</v>
      </c>
    </row>
    <row r="3" spans="1:19" ht="16.5" customHeight="1">
      <c r="A3" s="23">
        <v>1</v>
      </c>
      <c r="B3" s="23" t="s">
        <v>292</v>
      </c>
      <c r="C3" s="23" t="s">
        <v>182</v>
      </c>
      <c r="D3" s="23"/>
      <c r="E3" s="23"/>
      <c r="F3" s="23"/>
      <c r="G3" s="23"/>
      <c r="H3" s="23">
        <f>D3+E3+F3+G3</f>
        <v>0</v>
      </c>
      <c r="I3" s="26"/>
      <c r="J3" s="26"/>
      <c r="K3" s="26"/>
      <c r="L3" s="26"/>
      <c r="M3" s="26">
        <f>I3+J3+K3+L3</f>
        <v>0</v>
      </c>
      <c r="N3" s="28">
        <f>D3+(S2-1)*I3</f>
        <v>0</v>
      </c>
      <c r="O3" s="28">
        <f>E3+(S2-1)*J3</f>
        <v>0</v>
      </c>
      <c r="P3" s="28">
        <f>F3+(S2-1)*K3</f>
        <v>0</v>
      </c>
      <c r="Q3" s="28">
        <f>G3+(S2-1)*L3</f>
        <v>0</v>
      </c>
      <c r="R3" s="28">
        <f>N3+O3+P3+Q3</f>
        <v>0</v>
      </c>
    </row>
    <row r="4" spans="1:19" ht="15" customHeight="1">
      <c r="A4" s="23">
        <v>2</v>
      </c>
      <c r="B4" s="23" t="s">
        <v>292</v>
      </c>
      <c r="C4" s="23" t="s">
        <v>200</v>
      </c>
      <c r="D4" s="23"/>
      <c r="E4" s="23"/>
      <c r="F4" s="23"/>
      <c r="G4" s="23"/>
      <c r="H4" s="23">
        <f t="shared" ref="H4" si="0">D4+E4+F4+G4</f>
        <v>0</v>
      </c>
      <c r="I4" s="26"/>
      <c r="J4" s="26"/>
      <c r="K4" s="26"/>
      <c r="L4" s="26"/>
      <c r="M4" s="26">
        <f t="shared" ref="M4" si="1">I4+J4+K4+L4</f>
        <v>0</v>
      </c>
      <c r="N4" s="28">
        <f>D4+(S2-1)*I4</f>
        <v>0</v>
      </c>
      <c r="O4" s="28">
        <f>E4+(S2-1)*J4</f>
        <v>0</v>
      </c>
      <c r="P4" s="28">
        <f>F4+(S2-1)*K4</f>
        <v>0</v>
      </c>
      <c r="Q4" s="28">
        <f>G4+(S2-1)*L4</f>
        <v>0</v>
      </c>
      <c r="R4" s="28">
        <f t="shared" ref="R4" si="2">N4+O4+P4+Q4</f>
        <v>0</v>
      </c>
    </row>
    <row r="5" spans="1:19" ht="15" customHeight="1">
      <c r="A5" s="23">
        <v>3</v>
      </c>
      <c r="B5" s="23" t="s">
        <v>292</v>
      </c>
      <c r="C5" s="23" t="s">
        <v>5</v>
      </c>
      <c r="D5" s="23">
        <v>280</v>
      </c>
      <c r="E5" s="23">
        <v>150</v>
      </c>
      <c r="F5" s="23">
        <v>160</v>
      </c>
      <c r="G5" s="23">
        <v>305</v>
      </c>
      <c r="H5" s="23">
        <f t="shared" ref="H5:H36" si="3">D5+E5+F5+G5</f>
        <v>895</v>
      </c>
      <c r="I5" s="26">
        <v>10.8</v>
      </c>
      <c r="J5" s="26">
        <v>7.2</v>
      </c>
      <c r="K5" s="26">
        <v>6.9</v>
      </c>
      <c r="L5" s="26">
        <v>9</v>
      </c>
      <c r="M5" s="26">
        <f t="shared" ref="M5:M36" si="4">I5+J5+K5+L5</f>
        <v>33.9</v>
      </c>
      <c r="N5" s="28">
        <f>D5+(S2-1)*I5</f>
        <v>1349.2</v>
      </c>
      <c r="O5" s="28">
        <f>E5+(S2-1)*J5</f>
        <v>862.8</v>
      </c>
      <c r="P5" s="28">
        <f>F5+(S2-1)*K5</f>
        <v>843.1</v>
      </c>
      <c r="Q5" s="28">
        <f>G5+(S2-1)*L5</f>
        <v>1196</v>
      </c>
      <c r="R5" s="28">
        <f t="shared" ref="R5:R36" si="5">N5+O5+P5+Q5</f>
        <v>4251.1000000000004</v>
      </c>
    </row>
    <row r="6" spans="1:19" ht="15" customHeight="1">
      <c r="A6" s="23">
        <v>4</v>
      </c>
      <c r="B6" s="23" t="s">
        <v>292</v>
      </c>
      <c r="C6" s="23" t="s">
        <v>188</v>
      </c>
      <c r="D6" s="23"/>
      <c r="E6" s="23"/>
      <c r="F6" s="23"/>
      <c r="G6" s="23"/>
      <c r="H6" s="23">
        <f t="shared" si="3"/>
        <v>0</v>
      </c>
      <c r="I6" s="26"/>
      <c r="J6" s="26"/>
      <c r="K6" s="26"/>
      <c r="L6" s="26"/>
      <c r="M6" s="26">
        <f t="shared" si="4"/>
        <v>0</v>
      </c>
      <c r="N6" s="28">
        <f>D6+(S2-1)*I6</f>
        <v>0</v>
      </c>
      <c r="O6" s="28">
        <f>E6+(S2-1)*J6</f>
        <v>0</v>
      </c>
      <c r="P6" s="28">
        <f>F6+(S2-1)*K6</f>
        <v>0</v>
      </c>
      <c r="Q6" s="28">
        <f>G6+(S2-1)*L6</f>
        <v>0</v>
      </c>
      <c r="R6" s="28">
        <f t="shared" si="5"/>
        <v>0</v>
      </c>
    </row>
    <row r="7" spans="1:19" ht="15" customHeight="1">
      <c r="A7" s="23">
        <v>5</v>
      </c>
      <c r="B7" s="23" t="s">
        <v>292</v>
      </c>
      <c r="C7" s="23" t="s">
        <v>2</v>
      </c>
      <c r="D7" s="23"/>
      <c r="E7" s="23"/>
      <c r="F7" s="23"/>
      <c r="G7" s="23"/>
      <c r="H7" s="23">
        <f t="shared" si="3"/>
        <v>0</v>
      </c>
      <c r="I7" s="26"/>
      <c r="J7" s="26"/>
      <c r="K7" s="26"/>
      <c r="L7" s="26"/>
      <c r="M7" s="26">
        <f t="shared" si="4"/>
        <v>0</v>
      </c>
      <c r="N7" s="28">
        <f>D7+(S2-1)*I7</f>
        <v>0</v>
      </c>
      <c r="O7" s="28">
        <f>E7+(S2-1)*J7</f>
        <v>0</v>
      </c>
      <c r="P7" s="28">
        <f>F7+(S2-1)*K7</f>
        <v>0</v>
      </c>
      <c r="Q7" s="28">
        <f>G7+(S2-1)*L7</f>
        <v>0</v>
      </c>
      <c r="R7" s="28">
        <f t="shared" si="5"/>
        <v>0</v>
      </c>
    </row>
    <row r="8" spans="1:19" ht="15" customHeight="1">
      <c r="A8" s="23">
        <v>6</v>
      </c>
      <c r="B8" s="23" t="s">
        <v>292</v>
      </c>
      <c r="C8" s="23" t="s">
        <v>172</v>
      </c>
      <c r="D8" s="23">
        <v>140</v>
      </c>
      <c r="E8" s="23">
        <v>80</v>
      </c>
      <c r="F8" s="23">
        <v>190</v>
      </c>
      <c r="G8" s="23">
        <v>450</v>
      </c>
      <c r="H8" s="23">
        <f t="shared" si="3"/>
        <v>860</v>
      </c>
      <c r="I8" s="26">
        <v>5.0999999999999996</v>
      </c>
      <c r="J8" s="26">
        <v>7.8</v>
      </c>
      <c r="K8" s="26">
        <v>8</v>
      </c>
      <c r="L8" s="26">
        <v>13</v>
      </c>
      <c r="M8" s="26">
        <f t="shared" si="4"/>
        <v>33.9</v>
      </c>
      <c r="N8" s="28">
        <f>D8+(S2-1)*I8</f>
        <v>644.9</v>
      </c>
      <c r="O8" s="28">
        <f>E8+(S2-1)*J8</f>
        <v>852.2</v>
      </c>
      <c r="P8" s="28">
        <f>F8+(S2-1)*K8</f>
        <v>982</v>
      </c>
      <c r="Q8" s="28">
        <f>G8+(S2-1)*L8</f>
        <v>1737</v>
      </c>
      <c r="R8" s="28">
        <f t="shared" si="5"/>
        <v>4216.1000000000004</v>
      </c>
    </row>
    <row r="9" spans="1:19" ht="15" customHeight="1">
      <c r="A9" s="23">
        <v>7</v>
      </c>
      <c r="B9" s="23" t="s">
        <v>292</v>
      </c>
      <c r="C9" s="23" t="s">
        <v>257</v>
      </c>
      <c r="D9" s="23"/>
      <c r="E9" s="23"/>
      <c r="F9" s="23"/>
      <c r="G9" s="23"/>
      <c r="H9" s="23">
        <f t="shared" si="3"/>
        <v>0</v>
      </c>
      <c r="I9" s="26"/>
      <c r="J9" s="26"/>
      <c r="K9" s="26"/>
      <c r="L9" s="26"/>
      <c r="M9" s="26">
        <f t="shared" si="4"/>
        <v>0</v>
      </c>
      <c r="N9" s="28">
        <f>D9+(S2-1)*I9</f>
        <v>0</v>
      </c>
      <c r="O9" s="28">
        <f>E9+(S2-1)*J9</f>
        <v>0</v>
      </c>
      <c r="P9" s="28">
        <f>F9+(S2-1)*K9</f>
        <v>0</v>
      </c>
      <c r="Q9" s="28">
        <f>G9+(S2-1)*L9</f>
        <v>0</v>
      </c>
      <c r="R9" s="28">
        <f t="shared" si="5"/>
        <v>0</v>
      </c>
    </row>
    <row r="10" spans="1:19" ht="15" customHeight="1">
      <c r="A10" s="23">
        <v>8</v>
      </c>
      <c r="B10" s="23" t="s">
        <v>292</v>
      </c>
      <c r="C10" s="23" t="s">
        <v>165</v>
      </c>
      <c r="D10" s="23">
        <v>240</v>
      </c>
      <c r="E10" s="23">
        <v>220</v>
      </c>
      <c r="F10" s="23">
        <v>231</v>
      </c>
      <c r="G10" s="23">
        <v>300</v>
      </c>
      <c r="H10" s="23">
        <f t="shared" si="3"/>
        <v>991</v>
      </c>
      <c r="I10" s="26">
        <v>12</v>
      </c>
      <c r="J10" s="26">
        <v>6.5</v>
      </c>
      <c r="K10" s="26">
        <v>6.5</v>
      </c>
      <c r="L10" s="26">
        <v>10</v>
      </c>
      <c r="M10" s="26">
        <f t="shared" si="4"/>
        <v>35</v>
      </c>
      <c r="N10" s="28">
        <f>D10+(S2-1)*I10</f>
        <v>1428</v>
      </c>
      <c r="O10" s="28">
        <f>E10+(S2-1)*J10</f>
        <v>863.5</v>
      </c>
      <c r="P10" s="28">
        <f>F10+(S2-1)*K10</f>
        <v>874.5</v>
      </c>
      <c r="Q10" s="28">
        <f>G10+(S2-1)*L10</f>
        <v>1290</v>
      </c>
      <c r="R10" s="28">
        <f t="shared" si="5"/>
        <v>4456</v>
      </c>
    </row>
    <row r="11" spans="1:19" ht="15" customHeight="1">
      <c r="A11" s="23">
        <v>9</v>
      </c>
      <c r="B11" s="23" t="s">
        <v>292</v>
      </c>
      <c r="C11" s="23" t="s">
        <v>170</v>
      </c>
      <c r="D11" s="23"/>
      <c r="E11" s="23"/>
      <c r="F11" s="23"/>
      <c r="G11" s="23"/>
      <c r="H11" s="23">
        <f t="shared" si="3"/>
        <v>0</v>
      </c>
      <c r="I11" s="26"/>
      <c r="J11" s="26"/>
      <c r="K11" s="26"/>
      <c r="L11" s="26"/>
      <c r="M11" s="26">
        <f t="shared" si="4"/>
        <v>0</v>
      </c>
      <c r="N11" s="28">
        <f>D11+(S2-1)*I11</f>
        <v>0</v>
      </c>
      <c r="O11" s="28">
        <f>E11+(S2-1)*J11</f>
        <v>0</v>
      </c>
      <c r="P11" s="28">
        <f>F11+(S2-1)*K11</f>
        <v>0</v>
      </c>
      <c r="Q11" s="28">
        <f>G11+(S2-1)*L11</f>
        <v>0</v>
      </c>
      <c r="R11" s="28">
        <f t="shared" si="5"/>
        <v>0</v>
      </c>
    </row>
    <row r="12" spans="1:19" ht="15" customHeight="1">
      <c r="A12" s="23">
        <v>10</v>
      </c>
      <c r="B12" s="23" t="s">
        <v>292</v>
      </c>
      <c r="C12" s="23" t="s">
        <v>177</v>
      </c>
      <c r="D12" s="23">
        <v>200</v>
      </c>
      <c r="E12" s="23">
        <v>136</v>
      </c>
      <c r="F12" s="23">
        <v>146</v>
      </c>
      <c r="G12" s="23">
        <v>380</v>
      </c>
      <c r="H12" s="23">
        <f t="shared" si="3"/>
        <v>862</v>
      </c>
      <c r="I12" s="26">
        <v>12</v>
      </c>
      <c r="J12" s="26">
        <v>5.8</v>
      </c>
      <c r="K12" s="26">
        <v>6.8</v>
      </c>
      <c r="L12" s="26">
        <v>10</v>
      </c>
      <c r="M12" s="26">
        <f t="shared" si="4"/>
        <v>34.6</v>
      </c>
      <c r="N12" s="28">
        <f>D12+(S2-1)*I12</f>
        <v>1388</v>
      </c>
      <c r="O12" s="28">
        <f>E12+(S2-1)*J12</f>
        <v>710.2</v>
      </c>
      <c r="P12" s="28">
        <f>F12+(S2-1)*K12</f>
        <v>819.2</v>
      </c>
      <c r="Q12" s="28">
        <f>G12+(S2-1)*L12</f>
        <v>1370</v>
      </c>
      <c r="R12" s="28">
        <f t="shared" si="5"/>
        <v>4287.3999999999996</v>
      </c>
    </row>
    <row r="13" spans="1:19" ht="15" customHeight="1">
      <c r="A13" s="23">
        <v>11</v>
      </c>
      <c r="B13" s="23" t="s">
        <v>292</v>
      </c>
      <c r="C13" s="23" t="s">
        <v>174</v>
      </c>
      <c r="D13" s="23"/>
      <c r="E13" s="23"/>
      <c r="F13" s="23"/>
      <c r="G13" s="23"/>
      <c r="H13" s="23">
        <f t="shared" si="3"/>
        <v>0</v>
      </c>
      <c r="I13" s="26"/>
      <c r="J13" s="26"/>
      <c r="K13" s="26"/>
      <c r="L13" s="26"/>
      <c r="M13" s="26">
        <f t="shared" si="4"/>
        <v>0</v>
      </c>
      <c r="N13" s="28">
        <f>D13+(S2-1)*I13</f>
        <v>0</v>
      </c>
      <c r="O13" s="28">
        <f>E13+(S2-1)*J13</f>
        <v>0</v>
      </c>
      <c r="P13" s="28">
        <f>F13+(S2-1)*K13</f>
        <v>0</v>
      </c>
      <c r="Q13" s="28">
        <f>G13+(S2-1)*L13</f>
        <v>0</v>
      </c>
      <c r="R13" s="28">
        <f t="shared" si="5"/>
        <v>0</v>
      </c>
    </row>
    <row r="14" spans="1:19" ht="15" customHeight="1">
      <c r="A14" s="23">
        <v>12</v>
      </c>
      <c r="B14" s="23" t="s">
        <v>292</v>
      </c>
      <c r="C14" s="23" t="s">
        <v>244</v>
      </c>
      <c r="D14" s="23"/>
      <c r="E14" s="23"/>
      <c r="F14" s="23"/>
      <c r="G14" s="23"/>
      <c r="H14" s="23">
        <f t="shared" si="3"/>
        <v>0</v>
      </c>
      <c r="I14" s="26"/>
      <c r="J14" s="26"/>
      <c r="K14" s="26"/>
      <c r="L14" s="26"/>
      <c r="M14" s="26">
        <f t="shared" si="4"/>
        <v>0</v>
      </c>
      <c r="N14" s="28">
        <f>D14+(S2-1)*I14</f>
        <v>0</v>
      </c>
      <c r="O14" s="28">
        <f>E14+(S2-1)*J14</f>
        <v>0</v>
      </c>
      <c r="P14" s="28">
        <f>F14+(S2-1)*K14</f>
        <v>0</v>
      </c>
      <c r="Q14" s="28">
        <f>G14+(S2-1)*L14</f>
        <v>0</v>
      </c>
      <c r="R14" s="28">
        <f t="shared" si="5"/>
        <v>0</v>
      </c>
    </row>
    <row r="15" spans="1:19" ht="15" customHeight="1">
      <c r="A15" s="23">
        <v>13</v>
      </c>
      <c r="B15" s="23" t="s">
        <v>292</v>
      </c>
      <c r="C15" s="23" t="s">
        <v>185</v>
      </c>
      <c r="D15" s="23"/>
      <c r="E15" s="23"/>
      <c r="F15" s="23"/>
      <c r="G15" s="23"/>
      <c r="H15" s="23">
        <f t="shared" si="3"/>
        <v>0</v>
      </c>
      <c r="I15" s="26"/>
      <c r="J15" s="26"/>
      <c r="K15" s="26"/>
      <c r="L15" s="26"/>
      <c r="M15" s="26">
        <f t="shared" si="4"/>
        <v>0</v>
      </c>
      <c r="N15" s="28">
        <f>D15+(S2-1)*I15</f>
        <v>0</v>
      </c>
      <c r="O15" s="28">
        <f>E15+(S2-1)*J15</f>
        <v>0</v>
      </c>
      <c r="P15" s="28">
        <f>F15+(S2-1)*K15</f>
        <v>0</v>
      </c>
      <c r="Q15" s="28">
        <f>G15+(S2-1)*L15</f>
        <v>0</v>
      </c>
      <c r="R15" s="28">
        <f t="shared" si="5"/>
        <v>0</v>
      </c>
    </row>
    <row r="16" spans="1:19" ht="15" customHeight="1">
      <c r="A16" s="23">
        <v>14</v>
      </c>
      <c r="B16" s="23" t="s">
        <v>292</v>
      </c>
      <c r="C16" s="23" t="s">
        <v>641</v>
      </c>
      <c r="D16" s="23"/>
      <c r="E16" s="23"/>
      <c r="F16" s="23"/>
      <c r="G16" s="23"/>
      <c r="H16" s="23">
        <f t="shared" si="3"/>
        <v>0</v>
      </c>
      <c r="I16" s="26"/>
      <c r="J16" s="26"/>
      <c r="K16" s="26"/>
      <c r="L16" s="26"/>
      <c r="M16" s="26">
        <f t="shared" si="4"/>
        <v>0</v>
      </c>
      <c r="N16" s="28">
        <f>D16+(S2-1)*I16</f>
        <v>0</v>
      </c>
      <c r="O16" s="28">
        <f>E16+(S2-1)*J16</f>
        <v>0</v>
      </c>
      <c r="P16" s="28">
        <f>F16+(S2-1)*K16</f>
        <v>0</v>
      </c>
      <c r="Q16" s="28">
        <f>G16+(S2-1)*L16</f>
        <v>0</v>
      </c>
      <c r="R16" s="28">
        <f t="shared" si="5"/>
        <v>0</v>
      </c>
    </row>
    <row r="17" spans="1:18" ht="15" customHeight="1">
      <c r="A17" s="23">
        <v>15</v>
      </c>
      <c r="B17" s="23" t="s">
        <v>292</v>
      </c>
      <c r="C17" s="23" t="s">
        <v>190</v>
      </c>
      <c r="D17" s="23"/>
      <c r="E17" s="23"/>
      <c r="F17" s="23"/>
      <c r="G17" s="23"/>
      <c r="H17" s="23">
        <f t="shared" si="3"/>
        <v>0</v>
      </c>
      <c r="I17" s="26"/>
      <c r="J17" s="26"/>
      <c r="K17" s="26"/>
      <c r="L17" s="26"/>
      <c r="M17" s="26">
        <f t="shared" si="4"/>
        <v>0</v>
      </c>
      <c r="N17" s="28">
        <f>D17+(S2-1)*I17</f>
        <v>0</v>
      </c>
      <c r="O17" s="28">
        <f>E17+(S2-1)*J17</f>
        <v>0</v>
      </c>
      <c r="P17" s="28">
        <f>F17+(S2-1)*K17</f>
        <v>0</v>
      </c>
      <c r="Q17" s="28">
        <f>G17+(S2-1)*L17</f>
        <v>0</v>
      </c>
      <c r="R17" s="28">
        <f t="shared" si="5"/>
        <v>0</v>
      </c>
    </row>
    <row r="18" spans="1:18" ht="15" customHeight="1">
      <c r="A18" s="23">
        <v>16</v>
      </c>
      <c r="B18" s="23" t="s">
        <v>292</v>
      </c>
      <c r="C18" s="23" t="s">
        <v>198</v>
      </c>
      <c r="D18" s="23"/>
      <c r="E18" s="23"/>
      <c r="F18" s="23"/>
      <c r="G18" s="23"/>
      <c r="H18" s="23">
        <f t="shared" si="3"/>
        <v>0</v>
      </c>
      <c r="I18" s="26"/>
      <c r="J18" s="26"/>
      <c r="K18" s="26"/>
      <c r="L18" s="26"/>
      <c r="M18" s="26">
        <f t="shared" si="4"/>
        <v>0</v>
      </c>
      <c r="N18" s="28">
        <f>D18+(S2-1)*I18</f>
        <v>0</v>
      </c>
      <c r="O18" s="28">
        <f>E18+(S2-1)*J18</f>
        <v>0</v>
      </c>
      <c r="P18" s="28">
        <f>F18+(S2-1)*K18</f>
        <v>0</v>
      </c>
      <c r="Q18" s="28">
        <f>G18+(S2-1)*L18</f>
        <v>0</v>
      </c>
      <c r="R18" s="28">
        <f t="shared" si="5"/>
        <v>0</v>
      </c>
    </row>
    <row r="19" spans="1:18" ht="15" customHeight="1">
      <c r="A19" s="23">
        <v>17</v>
      </c>
      <c r="B19" s="23" t="s">
        <v>292</v>
      </c>
      <c r="C19" s="23" t="s">
        <v>173</v>
      </c>
      <c r="D19" s="23"/>
      <c r="E19" s="23"/>
      <c r="F19" s="23"/>
      <c r="G19" s="23"/>
      <c r="H19" s="23">
        <f t="shared" si="3"/>
        <v>0</v>
      </c>
      <c r="I19" s="26"/>
      <c r="J19" s="26"/>
      <c r="K19" s="26"/>
      <c r="L19" s="26"/>
      <c r="M19" s="26">
        <f t="shared" si="4"/>
        <v>0</v>
      </c>
      <c r="N19" s="28">
        <f>D19+(S2-1)*I19</f>
        <v>0</v>
      </c>
      <c r="O19" s="28">
        <f>E19+(S2-1)*J19</f>
        <v>0</v>
      </c>
      <c r="P19" s="28">
        <f>F19+(S2-1)*K19</f>
        <v>0</v>
      </c>
      <c r="Q19" s="28">
        <f>G19+(S2-1)*L19</f>
        <v>0</v>
      </c>
      <c r="R19" s="28">
        <f t="shared" si="5"/>
        <v>0</v>
      </c>
    </row>
    <row r="20" spans="1:18" ht="15" customHeight="1">
      <c r="A20" s="23">
        <v>18</v>
      </c>
      <c r="B20" s="23" t="s">
        <v>292</v>
      </c>
      <c r="C20" s="23" t="s">
        <v>9</v>
      </c>
      <c r="D20" s="23">
        <v>260</v>
      </c>
      <c r="E20" s="23">
        <v>250</v>
      </c>
      <c r="F20" s="23">
        <v>120</v>
      </c>
      <c r="G20" s="23">
        <v>300</v>
      </c>
      <c r="H20" s="23">
        <f t="shared" si="3"/>
        <v>930</v>
      </c>
      <c r="I20" s="26">
        <v>9</v>
      </c>
      <c r="J20" s="26">
        <v>8</v>
      </c>
      <c r="K20" s="26">
        <v>4.5</v>
      </c>
      <c r="L20" s="26">
        <v>12</v>
      </c>
      <c r="M20" s="26">
        <f t="shared" si="4"/>
        <v>33.5</v>
      </c>
      <c r="N20" s="28">
        <f>D20+(S2-1)*I20</f>
        <v>1151</v>
      </c>
      <c r="O20" s="28">
        <f>E20+(S2-1)*J20</f>
        <v>1042</v>
      </c>
      <c r="P20" s="28">
        <f>F20+(S2-1)*K20</f>
        <v>565.5</v>
      </c>
      <c r="Q20" s="28">
        <f>G20+(S2-1)*L20</f>
        <v>1488</v>
      </c>
      <c r="R20" s="28">
        <f t="shared" si="5"/>
        <v>4246.5</v>
      </c>
    </row>
    <row r="21" spans="1:18" ht="15" customHeight="1">
      <c r="A21" s="23">
        <v>19</v>
      </c>
      <c r="B21" s="23" t="s">
        <v>292</v>
      </c>
      <c r="C21" s="23" t="s">
        <v>3</v>
      </c>
      <c r="D21" s="23">
        <v>305</v>
      </c>
      <c r="E21" s="23">
        <v>265</v>
      </c>
      <c r="F21" s="23">
        <v>195</v>
      </c>
      <c r="G21" s="23">
        <v>225</v>
      </c>
      <c r="H21" s="23">
        <f t="shared" si="3"/>
        <v>990</v>
      </c>
      <c r="I21" s="26">
        <v>11.3</v>
      </c>
      <c r="J21" s="26">
        <v>7.9</v>
      </c>
      <c r="K21" s="26">
        <v>7.7</v>
      </c>
      <c r="L21" s="26">
        <v>7</v>
      </c>
      <c r="M21" s="26">
        <f t="shared" si="4"/>
        <v>33.9</v>
      </c>
      <c r="N21" s="28">
        <f>D21+(S2-1)*I21</f>
        <v>1423.7</v>
      </c>
      <c r="O21" s="28">
        <f>E21+(S2-1)*J21</f>
        <v>1047.0999999999999</v>
      </c>
      <c r="P21" s="28">
        <f>F21+(S2-1)*K21</f>
        <v>957.3</v>
      </c>
      <c r="Q21" s="28">
        <f>G21+(S2-1)*L21</f>
        <v>918</v>
      </c>
      <c r="R21" s="28">
        <f t="shared" si="5"/>
        <v>4346.1000000000004</v>
      </c>
    </row>
    <row r="22" spans="1:18" ht="15" customHeight="1">
      <c r="A22" s="23">
        <v>20</v>
      </c>
      <c r="B22" s="23" t="s">
        <v>292</v>
      </c>
      <c r="C22" s="23" t="s">
        <v>186</v>
      </c>
      <c r="D22" s="23">
        <v>200</v>
      </c>
      <c r="E22" s="23">
        <v>128</v>
      </c>
      <c r="F22" s="23">
        <v>144</v>
      </c>
      <c r="G22" s="23">
        <v>380</v>
      </c>
      <c r="H22" s="23">
        <f t="shared" si="3"/>
        <v>852</v>
      </c>
      <c r="I22" s="26">
        <v>11.3</v>
      </c>
      <c r="J22" s="26">
        <v>6.4</v>
      </c>
      <c r="K22" s="26">
        <v>5.2</v>
      </c>
      <c r="L22" s="26">
        <v>11.5</v>
      </c>
      <c r="M22" s="26">
        <f t="shared" si="4"/>
        <v>34.4</v>
      </c>
      <c r="N22" s="28">
        <f>D22+(S2-1)*I22</f>
        <v>1318.7</v>
      </c>
      <c r="O22" s="28">
        <f>E22+(S2-1)*J22</f>
        <v>761.6</v>
      </c>
      <c r="P22" s="28">
        <f>F22+(S2-1)*K22</f>
        <v>658.8</v>
      </c>
      <c r="Q22" s="28">
        <f>G22+(S2-1)*L22</f>
        <v>1518.5</v>
      </c>
      <c r="R22" s="28">
        <f t="shared" si="5"/>
        <v>4257.6000000000004</v>
      </c>
    </row>
    <row r="23" spans="1:18" ht="15" customHeight="1">
      <c r="A23" s="23">
        <v>21</v>
      </c>
      <c r="B23" s="23" t="s">
        <v>292</v>
      </c>
      <c r="C23" s="23" t="s">
        <v>202</v>
      </c>
      <c r="D23" s="23">
        <v>260</v>
      </c>
      <c r="E23" s="23">
        <v>200</v>
      </c>
      <c r="F23" s="23">
        <v>180</v>
      </c>
      <c r="G23" s="23">
        <v>400</v>
      </c>
      <c r="H23" s="23">
        <f t="shared" si="3"/>
        <v>1040</v>
      </c>
      <c r="I23" s="26">
        <v>8</v>
      </c>
      <c r="J23" s="26">
        <v>6.6</v>
      </c>
      <c r="K23" s="26">
        <v>5.6</v>
      </c>
      <c r="L23" s="26">
        <v>15</v>
      </c>
      <c r="M23" s="26">
        <f t="shared" si="4"/>
        <v>35.200000000000003</v>
      </c>
      <c r="N23" s="28">
        <f>D23+(S2-1)*I23</f>
        <v>1052</v>
      </c>
      <c r="O23" s="28">
        <f>E23+(S2-1)*J23</f>
        <v>853.4</v>
      </c>
      <c r="P23" s="28">
        <f>F23+(S2-1)*K23</f>
        <v>734.4</v>
      </c>
      <c r="Q23" s="28">
        <f>G23+(S2-1)*L23</f>
        <v>1885</v>
      </c>
      <c r="R23" s="28">
        <f t="shared" si="5"/>
        <v>4524.8</v>
      </c>
    </row>
    <row r="24" spans="1:18" ht="15" customHeight="1">
      <c r="A24" s="23">
        <v>22</v>
      </c>
      <c r="B24" s="23" t="s">
        <v>292</v>
      </c>
      <c r="C24" s="23" t="s">
        <v>189</v>
      </c>
      <c r="D24" s="23"/>
      <c r="E24" s="23"/>
      <c r="F24" s="23"/>
      <c r="G24" s="23"/>
      <c r="H24" s="23">
        <f t="shared" si="3"/>
        <v>0</v>
      </c>
      <c r="I24" s="26"/>
      <c r="J24" s="26"/>
      <c r="K24" s="26"/>
      <c r="L24" s="26"/>
      <c r="M24" s="26">
        <f t="shared" si="4"/>
        <v>0</v>
      </c>
      <c r="N24" s="28">
        <f>D24+(S2-1)*I24</f>
        <v>0</v>
      </c>
      <c r="O24" s="28">
        <f>E24+(S2-1)*J24</f>
        <v>0</v>
      </c>
      <c r="P24" s="28">
        <f>F24+(S2-1)*K24</f>
        <v>0</v>
      </c>
      <c r="Q24" s="28">
        <f>G24+(S2-1)*L24</f>
        <v>0</v>
      </c>
      <c r="R24" s="28">
        <f t="shared" si="5"/>
        <v>0</v>
      </c>
    </row>
    <row r="25" spans="1:18" ht="15" customHeight="1">
      <c r="A25" s="23">
        <v>24</v>
      </c>
      <c r="B25" s="23" t="s">
        <v>292</v>
      </c>
      <c r="C25" s="23" t="s">
        <v>169</v>
      </c>
      <c r="D25" s="23"/>
      <c r="E25" s="23"/>
      <c r="F25" s="23"/>
      <c r="G25" s="23"/>
      <c r="H25" s="23">
        <f t="shared" si="3"/>
        <v>0</v>
      </c>
      <c r="I25" s="26"/>
      <c r="J25" s="26"/>
      <c r="K25" s="26"/>
      <c r="L25" s="26"/>
      <c r="M25" s="26">
        <f t="shared" si="4"/>
        <v>0</v>
      </c>
      <c r="N25" s="28">
        <f>D25+(S2-1)*I25</f>
        <v>0</v>
      </c>
      <c r="O25" s="28">
        <f>E25+(S2-1)*J25</f>
        <v>0</v>
      </c>
      <c r="P25" s="28">
        <f>F25+(S2-1)*K25</f>
        <v>0</v>
      </c>
      <c r="Q25" s="28">
        <f>G25+(S2-1)*L25</f>
        <v>0</v>
      </c>
      <c r="R25" s="28">
        <f t="shared" si="5"/>
        <v>0</v>
      </c>
    </row>
    <row r="26" spans="1:18" ht="15" customHeight="1">
      <c r="A26" s="23">
        <v>25</v>
      </c>
      <c r="B26" s="23" t="s">
        <v>292</v>
      </c>
      <c r="C26" s="23" t="s">
        <v>7</v>
      </c>
      <c r="D26" s="23"/>
      <c r="E26" s="23"/>
      <c r="F26" s="23"/>
      <c r="G26" s="23"/>
      <c r="H26" s="23">
        <f t="shared" si="3"/>
        <v>0</v>
      </c>
      <c r="I26" s="26"/>
      <c r="J26" s="26"/>
      <c r="K26" s="26"/>
      <c r="L26" s="26"/>
      <c r="M26" s="26">
        <f t="shared" si="4"/>
        <v>0</v>
      </c>
      <c r="N26" s="28">
        <f>D26+(S2-1)*I26</f>
        <v>0</v>
      </c>
      <c r="O26" s="28">
        <f>E26+(S2-1)*J26</f>
        <v>0</v>
      </c>
      <c r="P26" s="28">
        <f>F26+(S2-1)*K26</f>
        <v>0</v>
      </c>
      <c r="Q26" s="28">
        <f>G26+(S2-1)*L26</f>
        <v>0</v>
      </c>
      <c r="R26" s="28">
        <f t="shared" si="5"/>
        <v>0</v>
      </c>
    </row>
    <row r="27" spans="1:18" ht="15" customHeight="1">
      <c r="A27" s="23">
        <v>26</v>
      </c>
      <c r="B27" s="23" t="s">
        <v>292</v>
      </c>
      <c r="C27" s="23" t="s">
        <v>247</v>
      </c>
      <c r="D27" s="23"/>
      <c r="E27" s="23"/>
      <c r="F27" s="23"/>
      <c r="G27" s="23"/>
      <c r="H27" s="23">
        <f t="shared" si="3"/>
        <v>0</v>
      </c>
      <c r="I27" s="26"/>
      <c r="J27" s="26"/>
      <c r="K27" s="26"/>
      <c r="L27" s="26"/>
      <c r="M27" s="26">
        <f t="shared" si="4"/>
        <v>0</v>
      </c>
      <c r="N27" s="28">
        <f>D27+(S2-1)*I27</f>
        <v>0</v>
      </c>
      <c r="O27" s="28">
        <f>E27+(S2-1)*J27</f>
        <v>0</v>
      </c>
      <c r="P27" s="28">
        <f>F27+(S2-1)*K27</f>
        <v>0</v>
      </c>
      <c r="Q27" s="28">
        <f>G27+(S2-1)*L27</f>
        <v>0</v>
      </c>
      <c r="R27" s="28">
        <f t="shared" si="5"/>
        <v>0</v>
      </c>
    </row>
    <row r="28" spans="1:18" ht="15" customHeight="1">
      <c r="A28" s="23">
        <v>27</v>
      </c>
      <c r="B28" s="23" t="s">
        <v>292</v>
      </c>
      <c r="C28" s="23" t="s">
        <v>191</v>
      </c>
      <c r="D28" s="23"/>
      <c r="E28" s="23"/>
      <c r="F28" s="23"/>
      <c r="G28" s="23"/>
      <c r="H28" s="23">
        <f t="shared" si="3"/>
        <v>0</v>
      </c>
      <c r="I28" s="26"/>
      <c r="J28" s="26"/>
      <c r="K28" s="26"/>
      <c r="L28" s="26"/>
      <c r="M28" s="26">
        <f t="shared" si="4"/>
        <v>0</v>
      </c>
      <c r="N28" s="28">
        <f>D28+(S2-1)*I28</f>
        <v>0</v>
      </c>
      <c r="O28" s="28">
        <f>E28+(S2-1)*J28</f>
        <v>0</v>
      </c>
      <c r="P28" s="28">
        <f>F28+(S2-1)*K28</f>
        <v>0</v>
      </c>
      <c r="Q28" s="28">
        <f>G28+(S2-1)*L28</f>
        <v>0</v>
      </c>
      <c r="R28" s="28">
        <f t="shared" si="5"/>
        <v>0</v>
      </c>
    </row>
    <row r="29" spans="1:18" ht="15" customHeight="1">
      <c r="A29" s="23">
        <v>28</v>
      </c>
      <c r="B29" s="23" t="s">
        <v>292</v>
      </c>
      <c r="C29" s="23" t="s">
        <v>183</v>
      </c>
      <c r="D29" s="23"/>
      <c r="E29" s="23"/>
      <c r="F29" s="23"/>
      <c r="G29" s="23"/>
      <c r="H29" s="23">
        <f t="shared" si="3"/>
        <v>0</v>
      </c>
      <c r="I29" s="26"/>
      <c r="J29" s="26"/>
      <c r="K29" s="26"/>
      <c r="L29" s="26"/>
      <c r="M29" s="26">
        <f t="shared" si="4"/>
        <v>0</v>
      </c>
      <c r="N29" s="28">
        <f>D29+(S2-1)*I29</f>
        <v>0</v>
      </c>
      <c r="O29" s="28">
        <f>E29+(S2-1)*J29</f>
        <v>0</v>
      </c>
      <c r="P29" s="28">
        <f>F29+(S2-1)*K29</f>
        <v>0</v>
      </c>
      <c r="Q29" s="28">
        <f>G29+(S2-1)*L29</f>
        <v>0</v>
      </c>
      <c r="R29" s="28">
        <f t="shared" si="5"/>
        <v>0</v>
      </c>
    </row>
    <row r="30" spans="1:18" ht="15" customHeight="1">
      <c r="A30" s="23">
        <v>29</v>
      </c>
      <c r="B30" s="23" t="s">
        <v>292</v>
      </c>
      <c r="C30" s="23" t="s">
        <v>175</v>
      </c>
      <c r="D30" s="23">
        <v>300</v>
      </c>
      <c r="E30" s="23">
        <v>188</v>
      </c>
      <c r="F30" s="23">
        <v>70</v>
      </c>
      <c r="G30" s="23">
        <v>380</v>
      </c>
      <c r="H30" s="23">
        <f t="shared" si="3"/>
        <v>938</v>
      </c>
      <c r="I30" s="26">
        <v>9</v>
      </c>
      <c r="J30" s="26">
        <v>9.3000000000000007</v>
      </c>
      <c r="K30" s="26">
        <v>4.5999999999999996</v>
      </c>
      <c r="L30" s="26">
        <v>12</v>
      </c>
      <c r="M30" s="26">
        <f t="shared" si="4"/>
        <v>34.9</v>
      </c>
      <c r="N30" s="28">
        <f>D30+(S2-1)*I30</f>
        <v>1191</v>
      </c>
      <c r="O30" s="28">
        <f>E30+(S2-1)*J30</f>
        <v>1108.7</v>
      </c>
      <c r="P30" s="28">
        <f>F30+(S2-1)*K30</f>
        <v>525.4</v>
      </c>
      <c r="Q30" s="28">
        <f>G30+(S2-1)*L30</f>
        <v>1568</v>
      </c>
      <c r="R30" s="28">
        <f t="shared" si="5"/>
        <v>4393.1000000000004</v>
      </c>
    </row>
    <row r="31" spans="1:18" ht="15" customHeight="1">
      <c r="A31" s="23">
        <v>30</v>
      </c>
      <c r="B31" s="23" t="s">
        <v>292</v>
      </c>
      <c r="C31" s="23" t="s">
        <v>181</v>
      </c>
      <c r="D31" s="23">
        <v>500</v>
      </c>
      <c r="E31" s="23">
        <v>200</v>
      </c>
      <c r="F31" s="23">
        <v>180</v>
      </c>
      <c r="G31" s="23">
        <v>680</v>
      </c>
      <c r="H31" s="23">
        <f t="shared" si="3"/>
        <v>1560</v>
      </c>
      <c r="I31" s="26">
        <v>10</v>
      </c>
      <c r="J31" s="26">
        <v>5.0999999999999996</v>
      </c>
      <c r="K31" s="26">
        <v>3.5</v>
      </c>
      <c r="L31" s="26">
        <v>11.4</v>
      </c>
      <c r="M31" s="26">
        <f t="shared" si="4"/>
        <v>30</v>
      </c>
      <c r="N31" s="28">
        <f>D31+(S2-1)*I31</f>
        <v>1490</v>
      </c>
      <c r="O31" s="28">
        <f>E31+(S2-1)*J31</f>
        <v>704.9</v>
      </c>
      <c r="P31" s="28">
        <f>F31+(S2-1)*K31</f>
        <v>526.5</v>
      </c>
      <c r="Q31" s="28">
        <f>G31+(S2-1)*L31</f>
        <v>1808.6</v>
      </c>
      <c r="R31" s="28">
        <f t="shared" si="5"/>
        <v>4530</v>
      </c>
    </row>
    <row r="32" spans="1:18" ht="15" customHeight="1">
      <c r="A32" s="23">
        <v>31</v>
      </c>
      <c r="B32" s="23" t="s">
        <v>292</v>
      </c>
      <c r="C32" s="23" t="s">
        <v>10</v>
      </c>
      <c r="D32" s="23"/>
      <c r="E32" s="23"/>
      <c r="F32" s="23"/>
      <c r="G32" s="23"/>
      <c r="H32" s="23">
        <f t="shared" si="3"/>
        <v>0</v>
      </c>
      <c r="I32" s="26"/>
      <c r="J32" s="26"/>
      <c r="K32" s="26"/>
      <c r="L32" s="26"/>
      <c r="M32" s="26">
        <f t="shared" si="4"/>
        <v>0</v>
      </c>
      <c r="N32" s="28">
        <f>D32+(S2-1)*I32</f>
        <v>0</v>
      </c>
      <c r="O32" s="28">
        <f>E32+(S2-1)*J32</f>
        <v>0</v>
      </c>
      <c r="P32" s="28">
        <f>F32+(S2-1)*K32</f>
        <v>0</v>
      </c>
      <c r="Q32" s="28">
        <f>G32+(S2-1)*L32</f>
        <v>0</v>
      </c>
      <c r="R32" s="28">
        <f t="shared" si="5"/>
        <v>0</v>
      </c>
    </row>
    <row r="33" spans="1:18" ht="15" customHeight="1">
      <c r="A33" s="23">
        <v>32</v>
      </c>
      <c r="B33" s="23" t="s">
        <v>292</v>
      </c>
      <c r="C33" s="23" t="s">
        <v>164</v>
      </c>
      <c r="D33" s="23">
        <v>240</v>
      </c>
      <c r="E33" s="23">
        <v>300</v>
      </c>
      <c r="F33" s="23">
        <v>92</v>
      </c>
      <c r="G33" s="23">
        <v>420</v>
      </c>
      <c r="H33" s="23">
        <f t="shared" si="3"/>
        <v>1052</v>
      </c>
      <c r="I33" s="26">
        <v>11</v>
      </c>
      <c r="J33" s="26">
        <v>5.0999999999999996</v>
      </c>
      <c r="K33" s="26">
        <v>4.0999999999999996</v>
      </c>
      <c r="L33" s="26">
        <v>15</v>
      </c>
      <c r="M33" s="26">
        <f t="shared" si="4"/>
        <v>35.200000000000003</v>
      </c>
      <c r="N33" s="28">
        <f>D33+(S2-1)*I33</f>
        <v>1329</v>
      </c>
      <c r="O33" s="28">
        <f>E33+(S2-1)*J33</f>
        <v>804.9</v>
      </c>
      <c r="P33" s="28">
        <f>F33+(S2-1)*K33</f>
        <v>497.9</v>
      </c>
      <c r="Q33" s="28">
        <f>G33+(S2-1)*L33</f>
        <v>1905</v>
      </c>
      <c r="R33" s="28">
        <f t="shared" si="5"/>
        <v>4536.8</v>
      </c>
    </row>
    <row r="34" spans="1:18" ht="15" customHeight="1">
      <c r="A34" s="23">
        <v>33</v>
      </c>
      <c r="B34" s="23" t="s">
        <v>292</v>
      </c>
      <c r="C34" s="23" t="s">
        <v>31</v>
      </c>
      <c r="D34" s="23"/>
      <c r="E34" s="23"/>
      <c r="F34" s="23"/>
      <c r="G34" s="23"/>
      <c r="H34" s="23">
        <f t="shared" si="3"/>
        <v>0</v>
      </c>
      <c r="I34" s="26"/>
      <c r="J34" s="26"/>
      <c r="K34" s="26"/>
      <c r="L34" s="26"/>
      <c r="M34" s="26">
        <f t="shared" si="4"/>
        <v>0</v>
      </c>
      <c r="N34" s="28">
        <f>D34+(S2-1)*I34</f>
        <v>0</v>
      </c>
      <c r="O34" s="28">
        <f>E34+(S2-1)*J34</f>
        <v>0</v>
      </c>
      <c r="P34" s="28">
        <f>F34+(S2-1)*K34</f>
        <v>0</v>
      </c>
      <c r="Q34" s="28">
        <f>G34+(S2-1)*L34</f>
        <v>0</v>
      </c>
      <c r="R34" s="28">
        <f t="shared" si="5"/>
        <v>0</v>
      </c>
    </row>
    <row r="35" spans="1:18" ht="15" customHeight="1">
      <c r="A35" s="23">
        <v>34</v>
      </c>
      <c r="B35" s="23" t="s">
        <v>292</v>
      </c>
      <c r="C35" s="23" t="s">
        <v>178</v>
      </c>
      <c r="D35" s="23"/>
      <c r="E35" s="23"/>
      <c r="F35" s="23"/>
      <c r="G35" s="23"/>
      <c r="H35" s="23">
        <f t="shared" si="3"/>
        <v>0</v>
      </c>
      <c r="I35" s="26"/>
      <c r="J35" s="26"/>
      <c r="K35" s="26"/>
      <c r="L35" s="26"/>
      <c r="M35" s="26">
        <f t="shared" si="4"/>
        <v>0</v>
      </c>
      <c r="N35" s="28">
        <f>D35+(S2-1)*I35</f>
        <v>0</v>
      </c>
      <c r="O35" s="28">
        <f>E35+(S2-1)*J35</f>
        <v>0</v>
      </c>
      <c r="P35" s="28">
        <f>F35+(S2-1)*K35</f>
        <v>0</v>
      </c>
      <c r="Q35" s="28">
        <f>G35+(S2-1)*L35</f>
        <v>0</v>
      </c>
      <c r="R35" s="28">
        <f t="shared" si="5"/>
        <v>0</v>
      </c>
    </row>
    <row r="36" spans="1:18" ht="15" customHeight="1">
      <c r="A36" s="23">
        <v>35</v>
      </c>
      <c r="B36" s="23" t="s">
        <v>292</v>
      </c>
      <c r="C36" s="23" t="s">
        <v>644</v>
      </c>
      <c r="D36" s="23"/>
      <c r="E36" s="23"/>
      <c r="F36" s="23"/>
      <c r="G36" s="23"/>
      <c r="H36" s="23">
        <f t="shared" si="3"/>
        <v>0</v>
      </c>
      <c r="I36" s="26"/>
      <c r="J36" s="26"/>
      <c r="K36" s="26"/>
      <c r="L36" s="26"/>
      <c r="M36" s="26">
        <f t="shared" si="4"/>
        <v>0</v>
      </c>
      <c r="N36" s="28">
        <f>D36+(S2-1)*I36</f>
        <v>0</v>
      </c>
      <c r="O36" s="28">
        <f>E36+(S2-1)*J36</f>
        <v>0</v>
      </c>
      <c r="P36" s="28">
        <f>F36+(S2-1)*K36</f>
        <v>0</v>
      </c>
      <c r="Q36" s="28">
        <f>G36+(S2-1)*L36</f>
        <v>0</v>
      </c>
      <c r="R36" s="28">
        <f t="shared" si="5"/>
        <v>0</v>
      </c>
    </row>
    <row r="37" spans="1:18" ht="15" customHeight="1">
      <c r="A37" s="23">
        <v>36</v>
      </c>
      <c r="B37" s="23" t="s">
        <v>292</v>
      </c>
      <c r="C37" s="23" t="s">
        <v>4</v>
      </c>
      <c r="D37" s="23"/>
      <c r="E37" s="23"/>
      <c r="F37" s="23"/>
      <c r="G37" s="23"/>
      <c r="H37" s="23">
        <f t="shared" ref="H37:H67" si="6">D37+E37+F37+G37</f>
        <v>0</v>
      </c>
      <c r="I37" s="26"/>
      <c r="J37" s="26"/>
      <c r="K37" s="26"/>
      <c r="L37" s="26"/>
      <c r="M37" s="26">
        <f t="shared" ref="M37:M67" si="7">I37+J37+K37+L37</f>
        <v>0</v>
      </c>
      <c r="N37" s="28">
        <f>D37+(S2-1)*I37</f>
        <v>0</v>
      </c>
      <c r="O37" s="28">
        <f>E37+(S2-1)*J37</f>
        <v>0</v>
      </c>
      <c r="P37" s="28">
        <f>F37+(S2-1)*K37</f>
        <v>0</v>
      </c>
      <c r="Q37" s="28">
        <f>G37+(S2-1)*L37</f>
        <v>0</v>
      </c>
      <c r="R37" s="28">
        <f t="shared" ref="R37:R67" si="8">N37+O37+P37+Q37</f>
        <v>0</v>
      </c>
    </row>
    <row r="38" spans="1:18" ht="15" customHeight="1">
      <c r="A38" s="23">
        <v>37</v>
      </c>
      <c r="B38" s="23" t="s">
        <v>292</v>
      </c>
      <c r="C38" s="23" t="s">
        <v>184</v>
      </c>
      <c r="D38" s="23">
        <v>160</v>
      </c>
      <c r="E38" s="23">
        <v>96</v>
      </c>
      <c r="F38" s="23">
        <v>153</v>
      </c>
      <c r="G38" s="23">
        <v>480</v>
      </c>
      <c r="H38" s="23">
        <f t="shared" si="6"/>
        <v>889</v>
      </c>
      <c r="I38" s="26">
        <v>11</v>
      </c>
      <c r="J38" s="26">
        <v>4.5</v>
      </c>
      <c r="K38" s="26">
        <v>7.1</v>
      </c>
      <c r="L38" s="26">
        <v>12</v>
      </c>
      <c r="M38" s="26">
        <f t="shared" si="7"/>
        <v>34.6</v>
      </c>
      <c r="N38" s="28">
        <f>D38+(S2-1)*I38</f>
        <v>1249</v>
      </c>
      <c r="O38" s="28">
        <f>E38+(S2-1)*J38</f>
        <v>541.5</v>
      </c>
      <c r="P38" s="28">
        <f>F38+(S2-1)*K38</f>
        <v>855.9</v>
      </c>
      <c r="Q38" s="28">
        <f>G38+(S2-1)*L38</f>
        <v>1668</v>
      </c>
      <c r="R38" s="28">
        <f t="shared" si="8"/>
        <v>4314.3999999999996</v>
      </c>
    </row>
    <row r="39" spans="1:18" ht="15" customHeight="1">
      <c r="A39" s="23">
        <v>38</v>
      </c>
      <c r="B39" s="23" t="s">
        <v>292</v>
      </c>
      <c r="C39" s="23" t="s">
        <v>166</v>
      </c>
      <c r="D39" s="23">
        <v>180</v>
      </c>
      <c r="E39" s="23">
        <v>242</v>
      </c>
      <c r="F39" s="23">
        <v>218</v>
      </c>
      <c r="G39" s="23">
        <v>360</v>
      </c>
      <c r="H39" s="23">
        <f t="shared" si="6"/>
        <v>1000</v>
      </c>
      <c r="I39" s="26">
        <v>10</v>
      </c>
      <c r="J39" s="26">
        <v>7.1</v>
      </c>
      <c r="K39" s="26">
        <v>5.9</v>
      </c>
      <c r="L39" s="26">
        <v>12</v>
      </c>
      <c r="M39" s="26">
        <f t="shared" si="7"/>
        <v>35</v>
      </c>
      <c r="N39" s="28">
        <f>D39+(S2-1)*I39</f>
        <v>1170</v>
      </c>
      <c r="O39" s="28">
        <f>E39+(S2-1)*J39</f>
        <v>944.9</v>
      </c>
      <c r="P39" s="28">
        <f>F39+(S2-1)*K39</f>
        <v>802.1</v>
      </c>
      <c r="Q39" s="28">
        <f>G39+(S2-1)*L39</f>
        <v>1548</v>
      </c>
      <c r="R39" s="28">
        <f t="shared" si="8"/>
        <v>4465</v>
      </c>
    </row>
    <row r="40" spans="1:18" ht="15" customHeight="1">
      <c r="A40" s="23">
        <v>39</v>
      </c>
      <c r="B40" s="23" t="s">
        <v>292</v>
      </c>
      <c r="C40" s="23" t="s">
        <v>179</v>
      </c>
      <c r="D40" s="23"/>
      <c r="E40" s="23"/>
      <c r="F40" s="23"/>
      <c r="G40" s="23"/>
      <c r="H40" s="23">
        <f t="shared" si="6"/>
        <v>0</v>
      </c>
      <c r="I40" s="26"/>
      <c r="J40" s="26"/>
      <c r="K40" s="26"/>
      <c r="L40" s="26"/>
      <c r="M40" s="26">
        <f t="shared" si="7"/>
        <v>0</v>
      </c>
      <c r="N40" s="28">
        <f>D40+(S2-1)*I40</f>
        <v>0</v>
      </c>
      <c r="O40" s="28">
        <f>E40+(S2-1)*J40</f>
        <v>0</v>
      </c>
      <c r="P40" s="28">
        <f>F40+(S2-1)*K40</f>
        <v>0</v>
      </c>
      <c r="Q40" s="28">
        <f>G40+(S2-1)*L40</f>
        <v>0</v>
      </c>
      <c r="R40" s="28">
        <f t="shared" si="8"/>
        <v>0</v>
      </c>
    </row>
    <row r="41" spans="1:18" ht="15" customHeight="1">
      <c r="A41" s="23">
        <v>40</v>
      </c>
      <c r="B41" s="23" t="s">
        <v>292</v>
      </c>
      <c r="C41" s="23" t="s">
        <v>168</v>
      </c>
      <c r="D41" s="23"/>
      <c r="E41" s="23"/>
      <c r="F41" s="23"/>
      <c r="G41" s="23"/>
      <c r="H41" s="23">
        <f t="shared" si="6"/>
        <v>0</v>
      </c>
      <c r="I41" s="26"/>
      <c r="J41" s="26"/>
      <c r="K41" s="26"/>
      <c r="L41" s="26"/>
      <c r="M41" s="26">
        <f t="shared" si="7"/>
        <v>0</v>
      </c>
      <c r="N41" s="28">
        <f>D41+(S2-1)*I41</f>
        <v>0</v>
      </c>
      <c r="O41" s="28">
        <f>E41+(S2-1)*J41</f>
        <v>0</v>
      </c>
      <c r="P41" s="28">
        <f>F41+(S2-1)*K41</f>
        <v>0</v>
      </c>
      <c r="Q41" s="28">
        <f>G41+(S2-1)*L41</f>
        <v>0</v>
      </c>
      <c r="R41" s="28">
        <f t="shared" si="8"/>
        <v>0</v>
      </c>
    </row>
    <row r="42" spans="1:18" ht="15" customHeight="1">
      <c r="A42" s="23">
        <v>41</v>
      </c>
      <c r="B42" s="23" t="s">
        <v>292</v>
      </c>
      <c r="C42" s="23" t="s">
        <v>199</v>
      </c>
      <c r="D42" s="23">
        <v>288</v>
      </c>
      <c r="E42" s="23">
        <v>220</v>
      </c>
      <c r="F42" s="23">
        <v>100</v>
      </c>
      <c r="G42" s="23">
        <v>235</v>
      </c>
      <c r="H42" s="23">
        <f t="shared" si="6"/>
        <v>843</v>
      </c>
      <c r="I42" s="26">
        <v>14.9</v>
      </c>
      <c r="J42" s="26">
        <v>10</v>
      </c>
      <c r="K42" s="26">
        <v>4.5999999999999996</v>
      </c>
      <c r="L42" s="26">
        <v>5</v>
      </c>
      <c r="M42" s="26">
        <f t="shared" si="7"/>
        <v>34.5</v>
      </c>
      <c r="N42" s="28">
        <f>D42+(S2-1)*I42</f>
        <v>1763.1</v>
      </c>
      <c r="O42" s="28">
        <f>E42+(S2-1)*J42</f>
        <v>1210</v>
      </c>
      <c r="P42" s="28">
        <f>F42+(S2-1)*K42</f>
        <v>555.4</v>
      </c>
      <c r="Q42" s="28">
        <f>G42+(S2-1)*L42</f>
        <v>730</v>
      </c>
      <c r="R42" s="28">
        <f t="shared" si="8"/>
        <v>4258.5</v>
      </c>
    </row>
    <row r="43" spans="1:18" ht="15" customHeight="1">
      <c r="A43" s="23">
        <v>42</v>
      </c>
      <c r="B43" s="23" t="s">
        <v>292</v>
      </c>
      <c r="C43" s="23" t="s">
        <v>176</v>
      </c>
      <c r="D43" s="23"/>
      <c r="E43" s="23"/>
      <c r="F43" s="23"/>
      <c r="G43" s="23"/>
      <c r="H43" s="23">
        <f t="shared" si="6"/>
        <v>0</v>
      </c>
      <c r="I43" s="26"/>
      <c r="J43" s="26"/>
      <c r="K43" s="26"/>
      <c r="L43" s="26"/>
      <c r="M43" s="26">
        <f t="shared" si="7"/>
        <v>0</v>
      </c>
      <c r="N43" s="28">
        <f>D43+(S2-1)*I43</f>
        <v>0</v>
      </c>
      <c r="O43" s="28">
        <f>E43+(S2-1)*J43</f>
        <v>0</v>
      </c>
      <c r="P43" s="28">
        <f>F43+(S2-1)*K43</f>
        <v>0</v>
      </c>
      <c r="Q43" s="28">
        <f>G43+(S2-1)*L43</f>
        <v>0</v>
      </c>
      <c r="R43" s="28">
        <f t="shared" si="8"/>
        <v>0</v>
      </c>
    </row>
    <row r="44" spans="1:18" ht="15" customHeight="1">
      <c r="A44" s="23">
        <v>43</v>
      </c>
      <c r="B44" s="23" t="s">
        <v>292</v>
      </c>
      <c r="C44" s="23" t="s">
        <v>646</v>
      </c>
      <c r="D44" s="23"/>
      <c r="E44" s="23"/>
      <c r="F44" s="23"/>
      <c r="G44" s="23"/>
      <c r="H44" s="23">
        <f t="shared" si="6"/>
        <v>0</v>
      </c>
      <c r="I44" s="26"/>
      <c r="J44" s="26"/>
      <c r="K44" s="26"/>
      <c r="L44" s="26"/>
      <c r="M44" s="26">
        <f t="shared" si="7"/>
        <v>0</v>
      </c>
      <c r="N44" s="28">
        <f>D44+(S2-1)*I44</f>
        <v>0</v>
      </c>
      <c r="O44" s="28">
        <f>E44+(S2-1)*J44</f>
        <v>0</v>
      </c>
      <c r="P44" s="28">
        <f>F44+(S2-1)*K44</f>
        <v>0</v>
      </c>
      <c r="Q44" s="28">
        <f>G44+(S2-1)*L44</f>
        <v>0</v>
      </c>
      <c r="R44" s="28">
        <f t="shared" si="8"/>
        <v>0</v>
      </c>
    </row>
    <row r="45" spans="1:18" ht="15" customHeight="1">
      <c r="A45" s="23">
        <v>44</v>
      </c>
      <c r="B45" s="23" t="s">
        <v>292</v>
      </c>
      <c r="C45" s="23" t="s">
        <v>180</v>
      </c>
      <c r="D45" s="23"/>
      <c r="E45" s="23"/>
      <c r="F45" s="23"/>
      <c r="G45" s="23"/>
      <c r="H45" s="23">
        <f t="shared" si="6"/>
        <v>0</v>
      </c>
      <c r="I45" s="26"/>
      <c r="J45" s="26"/>
      <c r="K45" s="26"/>
      <c r="L45" s="26"/>
      <c r="M45" s="26">
        <f t="shared" si="7"/>
        <v>0</v>
      </c>
      <c r="N45" s="28">
        <f>D45+(S2-1)*I45</f>
        <v>0</v>
      </c>
      <c r="O45" s="28">
        <f>E45+(S2-1)*J45</f>
        <v>0</v>
      </c>
      <c r="P45" s="28">
        <f>F45+(S2-1)*K45</f>
        <v>0</v>
      </c>
      <c r="Q45" s="28">
        <f>G45+(S2-1)*L45</f>
        <v>0</v>
      </c>
      <c r="R45" s="28">
        <f t="shared" si="8"/>
        <v>0</v>
      </c>
    </row>
    <row r="46" spans="1:18" ht="15" customHeight="1">
      <c r="A46" s="23">
        <v>45</v>
      </c>
      <c r="B46" s="23" t="s">
        <v>292</v>
      </c>
      <c r="C46" s="23" t="s">
        <v>167</v>
      </c>
      <c r="D46" s="23"/>
      <c r="E46" s="23"/>
      <c r="F46" s="23"/>
      <c r="G46" s="23"/>
      <c r="H46" s="23">
        <f t="shared" si="6"/>
        <v>0</v>
      </c>
      <c r="I46" s="26"/>
      <c r="J46" s="26"/>
      <c r="K46" s="26"/>
      <c r="L46" s="26"/>
      <c r="M46" s="26">
        <f t="shared" si="7"/>
        <v>0</v>
      </c>
      <c r="N46" s="28">
        <f>D46+(S2-1)*I46</f>
        <v>0</v>
      </c>
      <c r="O46" s="28">
        <f>E46+(S2-1)*J46</f>
        <v>0</v>
      </c>
      <c r="P46" s="28">
        <f>F46+(S2-1)*K46</f>
        <v>0</v>
      </c>
      <c r="Q46" s="28">
        <f>G46+(S2-1)*L46</f>
        <v>0</v>
      </c>
      <c r="R46" s="28">
        <f t="shared" si="8"/>
        <v>0</v>
      </c>
    </row>
    <row r="47" spans="1:18" ht="15" customHeight="1">
      <c r="A47" s="23">
        <v>46</v>
      </c>
      <c r="B47" s="23" t="s">
        <v>292</v>
      </c>
      <c r="C47" s="23" t="s">
        <v>187</v>
      </c>
      <c r="D47" s="23"/>
      <c r="E47" s="23"/>
      <c r="F47" s="23"/>
      <c r="G47" s="23"/>
      <c r="H47" s="23">
        <f t="shared" si="6"/>
        <v>0</v>
      </c>
      <c r="I47" s="26"/>
      <c r="J47" s="26"/>
      <c r="K47" s="26"/>
      <c r="L47" s="26"/>
      <c r="M47" s="26">
        <f t="shared" si="7"/>
        <v>0</v>
      </c>
      <c r="N47" s="28">
        <f>D47+(S2-1)*I47</f>
        <v>0</v>
      </c>
      <c r="O47" s="28">
        <f>E47+(S2-1)*J47</f>
        <v>0</v>
      </c>
      <c r="P47" s="28">
        <f>F47+(S2-1)*K47</f>
        <v>0</v>
      </c>
      <c r="Q47" s="28">
        <f>G47+(S2-1)*L47</f>
        <v>0</v>
      </c>
      <c r="R47" s="28">
        <f t="shared" si="8"/>
        <v>0</v>
      </c>
    </row>
    <row r="48" spans="1:18" ht="15" customHeight="1">
      <c r="A48" s="23">
        <v>47</v>
      </c>
      <c r="B48" s="23" t="s">
        <v>292</v>
      </c>
      <c r="C48" s="23" t="s">
        <v>261</v>
      </c>
      <c r="D48" s="23">
        <v>300</v>
      </c>
      <c r="E48" s="23">
        <v>240</v>
      </c>
      <c r="F48" s="23">
        <v>120</v>
      </c>
      <c r="G48" s="23">
        <v>180</v>
      </c>
      <c r="H48" s="23">
        <f t="shared" si="6"/>
        <v>840</v>
      </c>
      <c r="I48" s="26">
        <v>10.9</v>
      </c>
      <c r="J48" s="26">
        <v>9.1</v>
      </c>
      <c r="K48" s="26">
        <v>3</v>
      </c>
      <c r="L48" s="26">
        <v>9.6</v>
      </c>
      <c r="M48" s="26">
        <f t="shared" si="7"/>
        <v>32.6</v>
      </c>
      <c r="N48" s="28">
        <f>D48+(S2-1)*I48</f>
        <v>1379.1</v>
      </c>
      <c r="O48" s="28">
        <f>E48+(S2-1)*J48</f>
        <v>1140.9000000000001</v>
      </c>
      <c r="P48" s="28">
        <f>F48+(S2-1)*K48</f>
        <v>417</v>
      </c>
      <c r="Q48" s="28">
        <f>G48+(S2-1)*L48</f>
        <v>1130.4000000000001</v>
      </c>
      <c r="R48" s="28">
        <f t="shared" si="8"/>
        <v>4067.4</v>
      </c>
    </row>
    <row r="49" spans="1:18" ht="15" customHeight="1">
      <c r="A49" s="23">
        <v>48</v>
      </c>
      <c r="B49" s="25" t="s">
        <v>292</v>
      </c>
      <c r="C49" s="25" t="s">
        <v>240</v>
      </c>
      <c r="D49" s="23"/>
      <c r="E49" s="23"/>
      <c r="F49" s="23"/>
      <c r="G49" s="23"/>
      <c r="H49" s="23">
        <f t="shared" si="6"/>
        <v>0</v>
      </c>
      <c r="I49" s="26"/>
      <c r="J49" s="26"/>
      <c r="K49" s="26"/>
      <c r="L49" s="26"/>
      <c r="M49" s="26">
        <f t="shared" si="7"/>
        <v>0</v>
      </c>
      <c r="N49" s="28">
        <f>D49+(S2-1)*I49</f>
        <v>0</v>
      </c>
      <c r="O49" s="28">
        <f>E49+(S2-1)*J49</f>
        <v>0</v>
      </c>
      <c r="P49" s="28">
        <f>F49+(S2-1)*K49</f>
        <v>0</v>
      </c>
      <c r="Q49" s="28">
        <f>G49+(S2-1)*L49</f>
        <v>0</v>
      </c>
      <c r="R49" s="28">
        <f t="shared" si="8"/>
        <v>0</v>
      </c>
    </row>
    <row r="50" spans="1:18" ht="15" customHeight="1">
      <c r="A50" s="23">
        <v>49</v>
      </c>
      <c r="B50" s="25" t="s">
        <v>292</v>
      </c>
      <c r="C50" s="25" t="s">
        <v>201</v>
      </c>
      <c r="D50" s="23"/>
      <c r="E50" s="23"/>
      <c r="F50" s="23"/>
      <c r="G50" s="23"/>
      <c r="H50" s="23">
        <f t="shared" si="6"/>
        <v>0</v>
      </c>
      <c r="I50" s="26"/>
      <c r="J50" s="26"/>
      <c r="K50" s="26"/>
      <c r="L50" s="26"/>
      <c r="M50" s="26">
        <f t="shared" si="7"/>
        <v>0</v>
      </c>
      <c r="N50" s="28">
        <f>D50+(S2-1)*I50</f>
        <v>0</v>
      </c>
      <c r="O50" s="28">
        <f>E50+(S2-1)*J50</f>
        <v>0</v>
      </c>
      <c r="P50" s="28">
        <f>F50+(S2-1)*K50</f>
        <v>0</v>
      </c>
      <c r="Q50" s="28">
        <f>G50+(S2-1)*L50</f>
        <v>0</v>
      </c>
      <c r="R50" s="28">
        <f t="shared" si="8"/>
        <v>0</v>
      </c>
    </row>
    <row r="51" spans="1:18" ht="15" customHeight="1">
      <c r="A51" s="23">
        <v>48</v>
      </c>
      <c r="B51" s="25" t="s">
        <v>292</v>
      </c>
      <c r="C51" s="25" t="s">
        <v>252</v>
      </c>
      <c r="D51" s="23"/>
      <c r="E51" s="23"/>
      <c r="F51" s="23"/>
      <c r="G51" s="23"/>
      <c r="H51" s="23">
        <f t="shared" si="6"/>
        <v>0</v>
      </c>
      <c r="I51" s="26"/>
      <c r="J51" s="26"/>
      <c r="K51" s="26"/>
      <c r="L51" s="26"/>
      <c r="M51" s="26">
        <f t="shared" si="7"/>
        <v>0</v>
      </c>
      <c r="N51" s="28">
        <f>D51+(S2-1)*I51</f>
        <v>0</v>
      </c>
      <c r="O51" s="28">
        <f>E51+(S2-1)*J51</f>
        <v>0</v>
      </c>
      <c r="P51" s="28">
        <f>F51+(S2-1)*K51</f>
        <v>0</v>
      </c>
      <c r="Q51" s="28">
        <f>G51+(S2-1)*L51</f>
        <v>0</v>
      </c>
      <c r="R51" s="28">
        <f t="shared" si="8"/>
        <v>0</v>
      </c>
    </row>
    <row r="52" spans="1:18" ht="15.75" customHeight="1">
      <c r="A52" s="23">
        <v>23</v>
      </c>
      <c r="B52" s="23" t="s">
        <v>292</v>
      </c>
      <c r="C52" s="23" t="s">
        <v>220</v>
      </c>
      <c r="D52" s="23"/>
      <c r="E52" s="23"/>
      <c r="F52" s="23"/>
      <c r="G52" s="23"/>
      <c r="H52" s="23">
        <f t="shared" si="6"/>
        <v>0</v>
      </c>
      <c r="I52" s="26"/>
      <c r="J52" s="26"/>
      <c r="K52" s="26"/>
      <c r="L52" s="26"/>
      <c r="M52" s="26">
        <f t="shared" si="7"/>
        <v>0</v>
      </c>
      <c r="N52" s="28">
        <f>D52+(S2-1)*I52</f>
        <v>0</v>
      </c>
      <c r="O52" s="28">
        <f>E52+(S2-1)*J52</f>
        <v>0</v>
      </c>
      <c r="P52" s="28">
        <f>F52+(S2-1)*K52</f>
        <v>0</v>
      </c>
      <c r="Q52" s="28">
        <f>G52+(S2-1)*L52</f>
        <v>0</v>
      </c>
      <c r="R52" s="28">
        <f t="shared" si="8"/>
        <v>0</v>
      </c>
    </row>
    <row r="53" spans="1:18" ht="15.75" customHeight="1">
      <c r="A53" s="23">
        <v>23</v>
      </c>
      <c r="B53" s="23" t="s">
        <v>292</v>
      </c>
      <c r="C53" s="25" t="s">
        <v>233</v>
      </c>
      <c r="D53" s="23"/>
      <c r="E53" s="23"/>
      <c r="F53" s="23"/>
      <c r="G53" s="23"/>
      <c r="H53" s="23">
        <f t="shared" si="6"/>
        <v>0</v>
      </c>
      <c r="I53" s="26"/>
      <c r="J53" s="26"/>
      <c r="K53" s="26"/>
      <c r="L53" s="26"/>
      <c r="M53" s="26">
        <f t="shared" si="7"/>
        <v>0</v>
      </c>
      <c r="N53" s="28">
        <f>D53+(S2-1)*I53</f>
        <v>0</v>
      </c>
      <c r="O53" s="28">
        <f>E53+(S2-1)*J53</f>
        <v>0</v>
      </c>
      <c r="P53" s="28">
        <f>F53+(S2-1)*K53</f>
        <v>0</v>
      </c>
      <c r="Q53" s="28">
        <f>G53+(S2-1)*L53</f>
        <v>0</v>
      </c>
      <c r="R53" s="28">
        <f t="shared" si="8"/>
        <v>0</v>
      </c>
    </row>
    <row r="54" spans="1:18" ht="15.75" customHeight="1">
      <c r="A54" s="23">
        <v>23</v>
      </c>
      <c r="B54" s="23" t="s">
        <v>292</v>
      </c>
      <c r="C54" s="25" t="s">
        <v>239</v>
      </c>
      <c r="D54" s="23"/>
      <c r="E54" s="23"/>
      <c r="F54" s="23"/>
      <c r="G54" s="23"/>
      <c r="H54" s="23">
        <f t="shared" si="6"/>
        <v>0</v>
      </c>
      <c r="I54" s="26"/>
      <c r="J54" s="26"/>
      <c r="K54" s="26"/>
      <c r="L54" s="26"/>
      <c r="M54" s="26">
        <f t="shared" si="7"/>
        <v>0</v>
      </c>
      <c r="N54" s="28">
        <f>D54+(S2-1)*I54</f>
        <v>0</v>
      </c>
      <c r="O54" s="28">
        <f>E54+(S2-1)*J54</f>
        <v>0</v>
      </c>
      <c r="P54" s="28">
        <f>F54+(S2-1)*K54</f>
        <v>0</v>
      </c>
      <c r="Q54" s="28">
        <f>G54+(S2-1)*L54</f>
        <v>0</v>
      </c>
      <c r="R54" s="28">
        <f t="shared" si="8"/>
        <v>0</v>
      </c>
    </row>
    <row r="55" spans="1:18" ht="15.75" customHeight="1">
      <c r="A55" s="23">
        <v>23</v>
      </c>
      <c r="B55" s="23" t="s">
        <v>292</v>
      </c>
      <c r="C55" s="25" t="s">
        <v>243</v>
      </c>
      <c r="D55" s="23"/>
      <c r="E55" s="23"/>
      <c r="F55" s="23"/>
      <c r="G55" s="23"/>
      <c r="H55" s="23">
        <f t="shared" si="6"/>
        <v>0</v>
      </c>
      <c r="I55" s="26"/>
      <c r="J55" s="26"/>
      <c r="K55" s="26"/>
      <c r="L55" s="26"/>
      <c r="M55" s="26">
        <f t="shared" si="7"/>
        <v>0</v>
      </c>
      <c r="N55" s="28">
        <f>D55+(S2-1)*I55</f>
        <v>0</v>
      </c>
      <c r="O55" s="28">
        <f>E55+(S2-1)*J55</f>
        <v>0</v>
      </c>
      <c r="P55" s="28">
        <f>F55+(S2-1)*K55</f>
        <v>0</v>
      </c>
      <c r="Q55" s="28">
        <f>G55+(S2-1)*L55</f>
        <v>0</v>
      </c>
      <c r="R55" s="28">
        <f t="shared" si="8"/>
        <v>0</v>
      </c>
    </row>
    <row r="56" spans="1:18" ht="15" customHeight="1">
      <c r="A56" s="23">
        <v>55</v>
      </c>
      <c r="B56" s="25" t="s">
        <v>292</v>
      </c>
      <c r="C56" s="25" t="s">
        <v>262</v>
      </c>
      <c r="D56" s="23"/>
      <c r="E56" s="23"/>
      <c r="F56" s="23"/>
      <c r="G56" s="23"/>
      <c r="H56" s="23">
        <f t="shared" si="6"/>
        <v>0</v>
      </c>
      <c r="I56" s="26"/>
      <c r="J56" s="26"/>
      <c r="K56" s="26"/>
      <c r="L56" s="26"/>
      <c r="M56" s="26">
        <f t="shared" si="7"/>
        <v>0</v>
      </c>
      <c r="N56" s="28">
        <f>D56+(S2-1)*I56</f>
        <v>0</v>
      </c>
      <c r="O56" s="28">
        <f>E56+(S2-1)*J56</f>
        <v>0</v>
      </c>
      <c r="P56" s="28">
        <f>F56+(S2-1)*K56</f>
        <v>0</v>
      </c>
      <c r="Q56" s="28">
        <f>G56+(S2-1)*L56</f>
        <v>0</v>
      </c>
      <c r="R56" s="28">
        <f t="shared" si="8"/>
        <v>0</v>
      </c>
    </row>
    <row r="57" spans="1:18" ht="15" customHeight="1">
      <c r="A57" s="23">
        <v>56</v>
      </c>
      <c r="B57" s="25" t="s">
        <v>292</v>
      </c>
      <c r="C57" s="25" t="s">
        <v>206</v>
      </c>
      <c r="D57" s="23"/>
      <c r="E57" s="23"/>
      <c r="F57" s="23"/>
      <c r="G57" s="23"/>
      <c r="H57" s="23">
        <f t="shared" si="6"/>
        <v>0</v>
      </c>
      <c r="I57" s="26"/>
      <c r="J57" s="26"/>
      <c r="K57" s="26"/>
      <c r="L57" s="26"/>
      <c r="M57" s="26">
        <f t="shared" si="7"/>
        <v>0</v>
      </c>
      <c r="N57" s="28">
        <f>D57+(S2-1)*I57</f>
        <v>0</v>
      </c>
      <c r="O57" s="28">
        <f>E57+(S2-1)*J57</f>
        <v>0</v>
      </c>
      <c r="P57" s="28">
        <f>F57+(S2-1)*K57</f>
        <v>0</v>
      </c>
      <c r="Q57" s="28">
        <f>G57+(S2-1)*L57</f>
        <v>0</v>
      </c>
      <c r="R57" s="28">
        <f t="shared" si="8"/>
        <v>0</v>
      </c>
    </row>
    <row r="58" spans="1:18" ht="15" customHeight="1">
      <c r="A58" s="23">
        <v>57</v>
      </c>
      <c r="B58" s="25" t="s">
        <v>292</v>
      </c>
      <c r="C58" s="25" t="s">
        <v>171</v>
      </c>
      <c r="D58" s="23"/>
      <c r="E58" s="23"/>
      <c r="F58" s="23"/>
      <c r="G58" s="23"/>
      <c r="H58" s="23">
        <f t="shared" si="6"/>
        <v>0</v>
      </c>
      <c r="I58" s="26"/>
      <c r="J58" s="26"/>
      <c r="K58" s="26"/>
      <c r="L58" s="26"/>
      <c r="M58" s="26">
        <f t="shared" si="7"/>
        <v>0</v>
      </c>
      <c r="N58" s="28">
        <f>D58+(S2-1)*I58</f>
        <v>0</v>
      </c>
      <c r="O58" s="28">
        <f>E58+(S2-1)*J58</f>
        <v>0</v>
      </c>
      <c r="P58" s="28">
        <f>F58+(S2-1)*K58</f>
        <v>0</v>
      </c>
      <c r="Q58" s="28">
        <f>G58+(S2-1)*L58</f>
        <v>0</v>
      </c>
      <c r="R58" s="28">
        <f t="shared" si="8"/>
        <v>0</v>
      </c>
    </row>
    <row r="59" spans="1:18" ht="15" customHeight="1">
      <c r="A59" s="23">
        <v>58</v>
      </c>
      <c r="B59" s="25" t="s">
        <v>292</v>
      </c>
      <c r="C59" s="25" t="s">
        <v>246</v>
      </c>
      <c r="D59" s="23"/>
      <c r="E59" s="23"/>
      <c r="F59" s="23"/>
      <c r="G59" s="23"/>
      <c r="H59" s="23">
        <f t="shared" si="6"/>
        <v>0</v>
      </c>
      <c r="I59" s="26"/>
      <c r="J59" s="26"/>
      <c r="K59" s="26"/>
      <c r="L59" s="26"/>
      <c r="M59" s="26">
        <f t="shared" si="7"/>
        <v>0</v>
      </c>
      <c r="N59" s="28">
        <f>D59+(S2-1)*I59</f>
        <v>0</v>
      </c>
      <c r="O59" s="28">
        <f>E59+(S2-1)*J59</f>
        <v>0</v>
      </c>
      <c r="P59" s="28">
        <f>F59+(S2-1)*K59</f>
        <v>0</v>
      </c>
      <c r="Q59" s="28">
        <f>G59+(S2-1)*L59</f>
        <v>0</v>
      </c>
      <c r="R59" s="28">
        <f t="shared" si="8"/>
        <v>0</v>
      </c>
    </row>
    <row r="60" spans="1:18" ht="15" customHeight="1">
      <c r="A60" s="23">
        <v>59</v>
      </c>
      <c r="B60" s="25" t="s">
        <v>292</v>
      </c>
      <c r="C60" s="25" t="s">
        <v>224</v>
      </c>
      <c r="D60" s="23"/>
      <c r="E60" s="23"/>
      <c r="F60" s="23"/>
      <c r="G60" s="23"/>
      <c r="H60" s="23">
        <f t="shared" si="6"/>
        <v>0</v>
      </c>
      <c r="I60" s="26"/>
      <c r="J60" s="26"/>
      <c r="K60" s="26"/>
      <c r="L60" s="26"/>
      <c r="M60" s="26">
        <f t="shared" si="7"/>
        <v>0</v>
      </c>
      <c r="N60" s="28">
        <f>D60+(S2-1)*I60</f>
        <v>0</v>
      </c>
      <c r="O60" s="28">
        <f>E60+(S2-1)*J60</f>
        <v>0</v>
      </c>
      <c r="P60" s="28">
        <f>F60+(S2-1)*K60</f>
        <v>0</v>
      </c>
      <c r="Q60" s="28">
        <f>G60+(S2-1)*L60</f>
        <v>0</v>
      </c>
      <c r="R60" s="28">
        <f t="shared" si="8"/>
        <v>0</v>
      </c>
    </row>
    <row r="61" spans="1:18" ht="15" customHeight="1">
      <c r="A61" s="23">
        <v>60</v>
      </c>
      <c r="B61" s="25" t="s">
        <v>292</v>
      </c>
      <c r="C61" s="25" t="s">
        <v>8</v>
      </c>
      <c r="D61" s="23"/>
      <c r="E61" s="23"/>
      <c r="F61" s="23"/>
      <c r="G61" s="23"/>
      <c r="H61" s="23">
        <f t="shared" si="6"/>
        <v>0</v>
      </c>
      <c r="I61" s="26"/>
      <c r="J61" s="26"/>
      <c r="K61" s="26"/>
      <c r="L61" s="26"/>
      <c r="M61" s="26">
        <f t="shared" si="7"/>
        <v>0</v>
      </c>
      <c r="N61" s="28">
        <f>D61+(S2-1)*I61</f>
        <v>0</v>
      </c>
      <c r="O61" s="28">
        <f>E61+(S2-1)*J61</f>
        <v>0</v>
      </c>
      <c r="P61" s="28">
        <f>F61+(S2-1)*K61</f>
        <v>0</v>
      </c>
      <c r="Q61" s="28">
        <f>G61+(S2-1)*L61</f>
        <v>0</v>
      </c>
      <c r="R61" s="28">
        <f t="shared" si="8"/>
        <v>0</v>
      </c>
    </row>
    <row r="62" spans="1:18" ht="15" customHeight="1">
      <c r="A62" s="23"/>
      <c r="B62" s="25" t="s">
        <v>292</v>
      </c>
      <c r="C62" s="25" t="s">
        <v>649</v>
      </c>
      <c r="D62" s="23"/>
      <c r="E62" s="23"/>
      <c r="F62" s="23"/>
      <c r="G62" s="23"/>
      <c r="H62" s="23">
        <f t="shared" si="6"/>
        <v>0</v>
      </c>
      <c r="I62" s="26"/>
      <c r="J62" s="26"/>
      <c r="K62" s="26"/>
      <c r="L62" s="26"/>
      <c r="M62" s="26">
        <f t="shared" si="7"/>
        <v>0</v>
      </c>
      <c r="N62" s="28">
        <f>D62+(S2-1)*I62</f>
        <v>0</v>
      </c>
      <c r="O62" s="28">
        <f>E62+(S2-1)*J62</f>
        <v>0</v>
      </c>
      <c r="P62" s="28">
        <f>F62+(S2-1)*K62</f>
        <v>0</v>
      </c>
      <c r="Q62" s="28">
        <f>G62+(S2-1)*L62</f>
        <v>0</v>
      </c>
      <c r="R62" s="28">
        <f t="shared" si="8"/>
        <v>0</v>
      </c>
    </row>
    <row r="63" spans="1:18" ht="15" customHeight="1">
      <c r="A63" s="23"/>
      <c r="B63" s="25" t="s">
        <v>292</v>
      </c>
      <c r="C63" s="25" t="s">
        <v>6</v>
      </c>
      <c r="D63" s="23"/>
      <c r="E63" s="23"/>
      <c r="F63" s="23"/>
      <c r="G63" s="23"/>
      <c r="H63" s="23">
        <f t="shared" si="6"/>
        <v>0</v>
      </c>
      <c r="I63" s="26"/>
      <c r="J63" s="26"/>
      <c r="K63" s="26"/>
      <c r="L63" s="26"/>
      <c r="M63" s="26">
        <f t="shared" si="7"/>
        <v>0</v>
      </c>
      <c r="N63" s="28">
        <f>D63+(S2-1)*I63</f>
        <v>0</v>
      </c>
      <c r="O63" s="28">
        <f>E63+(S2-1)*J63</f>
        <v>0</v>
      </c>
      <c r="P63" s="28">
        <f>F63+(S2-1)*K63</f>
        <v>0</v>
      </c>
      <c r="Q63" s="28">
        <f>G63+(S2-1)*L63</f>
        <v>0</v>
      </c>
      <c r="R63" s="28">
        <f t="shared" si="8"/>
        <v>0</v>
      </c>
    </row>
    <row r="64" spans="1:18" ht="15" customHeight="1">
      <c r="A64" s="23"/>
      <c r="B64" s="25" t="s">
        <v>292</v>
      </c>
      <c r="C64" s="25" t="s">
        <v>651</v>
      </c>
      <c r="D64" s="23"/>
      <c r="E64" s="23"/>
      <c r="F64" s="23"/>
      <c r="G64" s="23"/>
      <c r="H64" s="23">
        <f t="shared" si="6"/>
        <v>0</v>
      </c>
      <c r="I64" s="26"/>
      <c r="J64" s="26"/>
      <c r="K64" s="26"/>
      <c r="L64" s="26"/>
      <c r="M64" s="26">
        <f t="shared" si="7"/>
        <v>0</v>
      </c>
      <c r="N64" s="28">
        <f>D64+(S2-1)*I64</f>
        <v>0</v>
      </c>
      <c r="O64" s="28">
        <f>E64+(S2-1)*J64</f>
        <v>0</v>
      </c>
      <c r="P64" s="28">
        <f>F64+(S2-1)*K64</f>
        <v>0</v>
      </c>
      <c r="Q64" s="28">
        <f>G64+(S2-1)*L64</f>
        <v>0</v>
      </c>
      <c r="R64" s="28">
        <f t="shared" si="8"/>
        <v>0</v>
      </c>
    </row>
    <row r="65" spans="1:18" ht="15" customHeight="1">
      <c r="A65" s="23">
        <v>61</v>
      </c>
      <c r="B65" s="23" t="s">
        <v>292</v>
      </c>
      <c r="C65" s="23" t="s">
        <v>653</v>
      </c>
      <c r="D65" s="23"/>
      <c r="E65" s="23"/>
      <c r="F65" s="23"/>
      <c r="G65" s="23"/>
      <c r="H65" s="23">
        <f t="shared" si="6"/>
        <v>0</v>
      </c>
      <c r="I65" s="26"/>
      <c r="J65" s="26"/>
      <c r="K65" s="26"/>
      <c r="L65" s="26"/>
      <c r="M65" s="26">
        <f t="shared" si="7"/>
        <v>0</v>
      </c>
      <c r="N65" s="28">
        <f>D65+(S2-1)*I65</f>
        <v>0</v>
      </c>
      <c r="O65" s="28">
        <f>E65+(S2-1)*J65</f>
        <v>0</v>
      </c>
      <c r="P65" s="28">
        <f>F65+(S2-1)*K65</f>
        <v>0</v>
      </c>
      <c r="Q65" s="28">
        <f>G65+(S2-1)*L65</f>
        <v>0</v>
      </c>
      <c r="R65" s="28">
        <f t="shared" si="8"/>
        <v>0</v>
      </c>
    </row>
    <row r="66" spans="1:18" ht="15" customHeight="1">
      <c r="A66" s="23"/>
      <c r="B66" s="23" t="s">
        <v>292</v>
      </c>
      <c r="C66" s="23" t="s">
        <v>655</v>
      </c>
      <c r="D66" s="23"/>
      <c r="E66" s="23"/>
      <c r="F66" s="23"/>
      <c r="G66" s="23"/>
      <c r="H66" s="23">
        <f t="shared" si="6"/>
        <v>0</v>
      </c>
      <c r="I66" s="26"/>
      <c r="J66" s="26"/>
      <c r="K66" s="26"/>
      <c r="L66" s="26"/>
      <c r="M66" s="26">
        <f t="shared" si="7"/>
        <v>0</v>
      </c>
      <c r="N66" s="28">
        <f>D66+(S2-1)*I66</f>
        <v>0</v>
      </c>
      <c r="O66" s="28">
        <f>E66+(S2-1)*J66</f>
        <v>0</v>
      </c>
      <c r="P66" s="28">
        <f>F66+(S2-1)*K66</f>
        <v>0</v>
      </c>
      <c r="Q66" s="28">
        <f>G66+(S2-1)*L66</f>
        <v>0</v>
      </c>
      <c r="R66" s="28">
        <f t="shared" si="8"/>
        <v>0</v>
      </c>
    </row>
    <row r="67" spans="1:18" ht="15" customHeight="1">
      <c r="A67" s="23">
        <v>62</v>
      </c>
      <c r="B67" s="23"/>
      <c r="C67" s="23"/>
      <c r="D67" s="23"/>
      <c r="E67" s="23"/>
      <c r="F67" s="23"/>
      <c r="G67" s="23"/>
      <c r="H67" s="23">
        <f t="shared" si="6"/>
        <v>0</v>
      </c>
      <c r="I67" s="26"/>
      <c r="J67" s="26"/>
      <c r="K67" s="26"/>
      <c r="L67" s="26"/>
      <c r="M67" s="26">
        <f t="shared" si="7"/>
        <v>0</v>
      </c>
      <c r="N67" s="28">
        <f>D67+(S2-1)*I67</f>
        <v>0</v>
      </c>
      <c r="O67" s="28">
        <f>E67+(S2-1)*J67</f>
        <v>0</v>
      </c>
      <c r="P67" s="28">
        <f>F67+(S2-1)*K67</f>
        <v>0</v>
      </c>
      <c r="Q67" s="28">
        <f>G67+(S2-1)*L67</f>
        <v>0</v>
      </c>
      <c r="R67" s="28">
        <f t="shared" si="8"/>
        <v>0</v>
      </c>
    </row>
    <row r="68" spans="1:18" ht="15" customHeight="1">
      <c r="B68" s="31" t="s">
        <v>684</v>
      </c>
      <c r="D68" s="813"/>
      <c r="E68" s="813"/>
      <c r="F68" s="813"/>
      <c r="G68" s="813"/>
      <c r="H68" s="813"/>
      <c r="I68" s="813"/>
      <c r="J68" s="813"/>
      <c r="K68" s="813"/>
      <c r="L68" s="813"/>
      <c r="M68" s="813"/>
      <c r="N68" s="813"/>
      <c r="O68" s="813"/>
      <c r="P68" s="20"/>
    </row>
    <row r="69" spans="1:18" ht="15" customHeight="1">
      <c r="I69" s="20"/>
      <c r="J69" s="20"/>
      <c r="K69" s="20"/>
      <c r="L69" s="20"/>
      <c r="M69" s="20"/>
    </row>
  </sheetData>
  <mergeCells count="5">
    <mergeCell ref="B1:C1"/>
    <mergeCell ref="D1:H1"/>
    <mergeCell ref="I1:M1"/>
    <mergeCell ref="N1:R1"/>
    <mergeCell ref="D68:O68"/>
  </mergeCells>
  <phoneticPr fontId="57" type="noConversion"/>
  <conditionalFormatting sqref="L3:L67 I3:I67 I70:I65450 L70:L65450">
    <cfRule type="cellIs" dxfId="3" priority="1" stopIfTrue="1" operator="greaterThan">
      <formula>10</formula>
    </cfRule>
  </conditionalFormatting>
  <conditionalFormatting sqref="K70:K65450 K3:K67">
    <cfRule type="cellIs" dxfId="2" priority="2" stopIfTrue="1" operator="greaterThanOrEqual">
      <formula>4</formula>
    </cfRule>
  </conditionalFormatting>
  <conditionalFormatting sqref="J70:J65450 J3:J67">
    <cfRule type="cellIs" dxfId="1" priority="3" stopIfTrue="1" operator="greaterThanOrEqual">
      <formula>6</formula>
    </cfRule>
  </conditionalFormatting>
  <conditionalFormatting sqref="M3:M67">
    <cfRule type="cellIs" dxfId="0" priority="4" stopIfTrue="1" operator="greaterThan">
      <formula>30</formula>
    </cfRule>
  </conditionalFormatting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21"/>
  <sheetViews>
    <sheetView workbookViewId="0">
      <pane ySplit="1" topLeftCell="A60" activePane="bottomLeft" state="frozen"/>
      <selection pane="bottomLeft" activeCell="B11" sqref="B11"/>
    </sheetView>
  </sheetViews>
  <sheetFormatPr defaultColWidth="8.875" defaultRowHeight="15" customHeight="1"/>
  <cols>
    <col min="1" max="1" width="9.625" style="3" customWidth="1"/>
    <col min="2" max="5" width="16.875" style="4" customWidth="1"/>
    <col min="6" max="9" width="16.875" style="5" customWidth="1"/>
    <col min="10" max="10" width="8.875" style="6" customWidth="1"/>
    <col min="11" max="11" width="8.875" style="6"/>
    <col min="12" max="12" width="10.25" style="6" customWidth="1"/>
    <col min="13" max="16384" width="8.875" style="6"/>
  </cols>
  <sheetData>
    <row r="1" spans="1:14" ht="15" customHeight="1">
      <c r="A1" s="7" t="s">
        <v>685</v>
      </c>
      <c r="B1" s="8" t="s">
        <v>686</v>
      </c>
      <c r="C1" s="8" t="s">
        <v>687</v>
      </c>
      <c r="D1" s="8" t="s">
        <v>688</v>
      </c>
      <c r="E1" s="9" t="s">
        <v>689</v>
      </c>
      <c r="F1" s="8" t="s">
        <v>690</v>
      </c>
      <c r="G1" s="8" t="s">
        <v>691</v>
      </c>
      <c r="H1" s="8" t="s">
        <v>692</v>
      </c>
      <c r="I1" s="8" t="s">
        <v>693</v>
      </c>
      <c r="L1" s="11"/>
      <c r="M1" s="12"/>
    </row>
    <row r="2" spans="1:14" ht="15" customHeight="1">
      <c r="A2" s="7">
        <v>1</v>
      </c>
      <c r="B2" s="7">
        <v>20</v>
      </c>
      <c r="C2" s="7">
        <v>40</v>
      </c>
      <c r="D2" s="7">
        <v>60</v>
      </c>
      <c r="E2" s="10">
        <v>80</v>
      </c>
      <c r="F2" s="7">
        <v>930</v>
      </c>
      <c r="G2" s="7">
        <v>1130</v>
      </c>
      <c r="H2" s="7">
        <v>1470</v>
      </c>
      <c r="I2" s="7">
        <v>3780</v>
      </c>
      <c r="L2" s="815" t="s">
        <v>694</v>
      </c>
      <c r="M2" s="816"/>
    </row>
    <row r="3" spans="1:14" ht="15" customHeight="1">
      <c r="A3" s="7">
        <v>2</v>
      </c>
      <c r="B3" s="7">
        <v>20</v>
      </c>
      <c r="C3" s="7">
        <v>41</v>
      </c>
      <c r="D3" s="7">
        <v>61</v>
      </c>
      <c r="E3" s="10">
        <v>82</v>
      </c>
      <c r="F3" s="7">
        <v>990</v>
      </c>
      <c r="G3" s="7">
        <v>1210</v>
      </c>
      <c r="H3" s="7">
        <v>1550</v>
      </c>
      <c r="I3" s="7">
        <v>3900</v>
      </c>
    </row>
    <row r="4" spans="1:14" ht="15" customHeight="1">
      <c r="A4" s="7">
        <v>3</v>
      </c>
      <c r="B4" s="7">
        <v>21</v>
      </c>
      <c r="C4" s="7">
        <v>42</v>
      </c>
      <c r="D4" s="7">
        <v>63</v>
      </c>
      <c r="E4" s="10">
        <v>84</v>
      </c>
      <c r="F4" s="7">
        <v>1057</v>
      </c>
      <c r="G4" s="7">
        <v>1297</v>
      </c>
      <c r="H4" s="7">
        <v>1636</v>
      </c>
      <c r="I4" s="7">
        <v>4033</v>
      </c>
      <c r="M4" s="13">
        <f>IF(血战计算器!A16=1,M5,M6)</f>
        <v>28546</v>
      </c>
    </row>
    <row r="5" spans="1:14" ht="15" customHeight="1">
      <c r="A5" s="7">
        <v>4</v>
      </c>
      <c r="B5" s="7">
        <v>22</v>
      </c>
      <c r="C5" s="7">
        <v>43</v>
      </c>
      <c r="D5" s="7">
        <v>64</v>
      </c>
      <c r="E5" s="10">
        <v>86</v>
      </c>
      <c r="F5" s="7">
        <v>1083</v>
      </c>
      <c r="G5" s="7">
        <v>1329</v>
      </c>
      <c r="H5" s="7">
        <v>1676</v>
      </c>
      <c r="I5" s="7">
        <v>4133</v>
      </c>
      <c r="K5" s="14" t="s">
        <v>695</v>
      </c>
      <c r="L5" s="15" t="s">
        <v>696</v>
      </c>
      <c r="M5" s="16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spans="1:14" ht="15" customHeight="1">
      <c r="A6" s="7">
        <v>5</v>
      </c>
      <c r="B6" s="7">
        <v>23</v>
      </c>
      <c r="C6" s="7">
        <v>45</v>
      </c>
      <c r="D6" s="7">
        <v>67</v>
      </c>
      <c r="E6" s="10">
        <v>89</v>
      </c>
      <c r="F6" s="7">
        <v>1109</v>
      </c>
      <c r="G6" s="7">
        <v>1361</v>
      </c>
      <c r="H6" s="7">
        <v>1716</v>
      </c>
      <c r="I6" s="7">
        <v>4233</v>
      </c>
      <c r="K6" s="14" t="s">
        <v>697</v>
      </c>
      <c r="L6" s="17" t="s">
        <v>696</v>
      </c>
      <c r="M6" s="13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spans="1:14" ht="15" customHeight="1">
      <c r="A7" s="7">
        <v>6</v>
      </c>
      <c r="B7" s="7">
        <v>24</v>
      </c>
      <c r="C7" s="7">
        <v>46</v>
      </c>
      <c r="D7" s="7">
        <v>69</v>
      </c>
      <c r="E7" s="10">
        <v>92</v>
      </c>
      <c r="F7" s="7">
        <v>1135</v>
      </c>
      <c r="G7" s="7">
        <v>1393</v>
      </c>
      <c r="H7" s="7">
        <f>H6+40</f>
        <v>1756</v>
      </c>
      <c r="I7" s="7">
        <v>4333</v>
      </c>
    </row>
    <row r="8" spans="1:14" ht="15" customHeight="1">
      <c r="A8" s="7">
        <v>7</v>
      </c>
      <c r="B8" s="7">
        <v>25</v>
      </c>
      <c r="C8" s="7">
        <v>48</v>
      </c>
      <c r="D8" s="7">
        <v>72</v>
      </c>
      <c r="E8" s="10">
        <v>95</v>
      </c>
      <c r="F8" s="7">
        <v>1161</v>
      </c>
      <c r="G8" s="7">
        <v>1425</v>
      </c>
      <c r="H8" s="7">
        <f t="shared" ref="H8" si="0">H7+40</f>
        <v>1796</v>
      </c>
      <c r="I8" s="7">
        <v>4433</v>
      </c>
    </row>
    <row r="9" spans="1:14" ht="15" customHeight="1">
      <c r="A9" s="7">
        <v>8</v>
      </c>
      <c r="B9" s="7">
        <v>26</v>
      </c>
      <c r="C9" s="7">
        <v>51</v>
      </c>
      <c r="D9" s="7">
        <v>75</v>
      </c>
      <c r="E9" s="10">
        <v>99</v>
      </c>
      <c r="F9" s="7">
        <v>1187</v>
      </c>
      <c r="G9" s="7">
        <v>1457</v>
      </c>
      <c r="H9" s="7">
        <f t="shared" ref="H9:H31" si="1">H8+40</f>
        <v>1836</v>
      </c>
      <c r="I9" s="7">
        <v>4533</v>
      </c>
    </row>
    <row r="10" spans="1:14" ht="15" customHeight="1">
      <c r="A10" s="7">
        <v>9</v>
      </c>
      <c r="B10" s="7">
        <v>28</v>
      </c>
      <c r="C10" s="7">
        <v>53</v>
      </c>
      <c r="D10" s="7">
        <v>78</v>
      </c>
      <c r="E10" s="10">
        <v>104</v>
      </c>
      <c r="F10" s="7">
        <v>1213</v>
      </c>
      <c r="G10" s="7">
        <v>1489</v>
      </c>
      <c r="H10" s="7">
        <f t="shared" si="1"/>
        <v>1876</v>
      </c>
      <c r="I10" s="7">
        <v>4633</v>
      </c>
    </row>
    <row r="11" spans="1:14" ht="15" customHeight="1">
      <c r="A11" s="7">
        <v>10</v>
      </c>
      <c r="B11" s="7">
        <v>29</v>
      </c>
      <c r="C11" s="7">
        <v>56</v>
      </c>
      <c r="D11" s="7">
        <v>82</v>
      </c>
      <c r="E11" s="10">
        <v>109</v>
      </c>
      <c r="F11" s="7">
        <v>1239</v>
      </c>
      <c r="G11" s="7">
        <v>1521</v>
      </c>
      <c r="H11" s="7">
        <f t="shared" si="1"/>
        <v>1916</v>
      </c>
      <c r="I11" s="7">
        <v>4733</v>
      </c>
    </row>
    <row r="12" spans="1:14" ht="15" customHeight="1">
      <c r="A12" s="7">
        <v>11</v>
      </c>
      <c r="B12" s="7">
        <v>31</v>
      </c>
      <c r="C12" s="7">
        <v>59</v>
      </c>
      <c r="D12" s="7">
        <v>86</v>
      </c>
      <c r="E12" s="10">
        <v>118</v>
      </c>
      <c r="F12" s="7">
        <v>1265</v>
      </c>
      <c r="G12" s="7">
        <v>1553</v>
      </c>
      <c r="H12" s="7">
        <f t="shared" si="1"/>
        <v>1956</v>
      </c>
      <c r="I12" s="7">
        <v>4833</v>
      </c>
    </row>
    <row r="13" spans="1:14" ht="15" customHeight="1">
      <c r="A13" s="7">
        <v>12</v>
      </c>
      <c r="B13" s="7">
        <v>33</v>
      </c>
      <c r="C13" s="7">
        <v>62</v>
      </c>
      <c r="D13" s="7">
        <v>91</v>
      </c>
      <c r="E13" s="10">
        <v>127</v>
      </c>
      <c r="F13" s="7">
        <v>1291</v>
      </c>
      <c r="G13" s="7">
        <v>1585</v>
      </c>
      <c r="H13" s="7">
        <f t="shared" si="1"/>
        <v>1996</v>
      </c>
      <c r="I13" s="7">
        <v>4933</v>
      </c>
      <c r="K13" s="11"/>
    </row>
    <row r="14" spans="1:14" ht="15" customHeight="1">
      <c r="A14" s="7">
        <v>13</v>
      </c>
      <c r="B14" s="7">
        <v>35</v>
      </c>
      <c r="C14" s="7">
        <v>66</v>
      </c>
      <c r="D14" s="7">
        <v>96</v>
      </c>
      <c r="E14" s="10">
        <v>138</v>
      </c>
      <c r="F14" s="7">
        <v>1317</v>
      </c>
      <c r="G14" s="7">
        <v>1617</v>
      </c>
      <c r="H14" s="7">
        <f t="shared" si="1"/>
        <v>2036</v>
      </c>
      <c r="I14" s="7">
        <v>5033</v>
      </c>
      <c r="K14" s="18"/>
      <c r="L14" s="18"/>
      <c r="M14" s="18"/>
      <c r="N14" s="18"/>
    </row>
    <row r="15" spans="1:14" ht="15" customHeight="1">
      <c r="A15" s="7">
        <v>14</v>
      </c>
      <c r="B15" s="7">
        <v>37</v>
      </c>
      <c r="C15" s="7">
        <v>69</v>
      </c>
      <c r="D15" s="7">
        <v>101</v>
      </c>
      <c r="E15" s="10">
        <v>149</v>
      </c>
      <c r="F15" s="7">
        <v>1343</v>
      </c>
      <c r="G15" s="7">
        <v>1649</v>
      </c>
      <c r="H15" s="7">
        <f t="shared" si="1"/>
        <v>2076</v>
      </c>
      <c r="I15" s="7">
        <v>5133</v>
      </c>
      <c r="K15" s="18"/>
      <c r="L15" s="18"/>
      <c r="M15" s="18"/>
      <c r="N15" s="18"/>
    </row>
    <row r="16" spans="1:14" ht="15" customHeight="1">
      <c r="A16" s="7">
        <v>15</v>
      </c>
      <c r="B16" s="7">
        <v>40</v>
      </c>
      <c r="C16" s="7">
        <v>73</v>
      </c>
      <c r="D16" s="7">
        <v>107</v>
      </c>
      <c r="E16" s="10">
        <v>160</v>
      </c>
      <c r="F16" s="7">
        <v>1369</v>
      </c>
      <c r="G16" s="7">
        <v>1681</v>
      </c>
      <c r="H16" s="7">
        <f t="shared" si="1"/>
        <v>2116</v>
      </c>
      <c r="I16" s="7">
        <v>5233</v>
      </c>
      <c r="K16" s="18"/>
      <c r="L16" s="18"/>
      <c r="M16" s="18"/>
      <c r="N16" s="18"/>
    </row>
    <row r="17" spans="1:14" ht="15" customHeight="1">
      <c r="A17" s="7">
        <v>16</v>
      </c>
      <c r="B17" s="7">
        <v>42</v>
      </c>
      <c r="C17" s="7">
        <v>78</v>
      </c>
      <c r="D17" s="7">
        <v>113</v>
      </c>
      <c r="E17" s="10">
        <v>173</v>
      </c>
      <c r="F17" s="7">
        <v>1395</v>
      </c>
      <c r="G17" s="7">
        <v>1713</v>
      </c>
      <c r="H17" s="7">
        <f t="shared" si="1"/>
        <v>2156</v>
      </c>
      <c r="I17" s="7">
        <v>5333</v>
      </c>
      <c r="K17" s="18"/>
      <c r="L17" s="18"/>
      <c r="M17" s="18"/>
      <c r="N17" s="18"/>
    </row>
    <row r="18" spans="1:14" ht="15" customHeight="1">
      <c r="A18" s="7">
        <v>17</v>
      </c>
      <c r="B18" s="7">
        <v>45</v>
      </c>
      <c r="C18" s="7">
        <v>82</v>
      </c>
      <c r="D18" s="7">
        <v>119</v>
      </c>
      <c r="E18" s="10">
        <v>186</v>
      </c>
      <c r="F18" s="7">
        <v>1421</v>
      </c>
      <c r="G18" s="7">
        <v>1745</v>
      </c>
      <c r="H18" s="7">
        <f t="shared" si="1"/>
        <v>2196</v>
      </c>
      <c r="I18" s="7">
        <v>5433</v>
      </c>
      <c r="K18" s="18"/>
      <c r="L18" s="18"/>
      <c r="M18" s="18"/>
      <c r="N18" s="18"/>
    </row>
    <row r="19" spans="1:14" ht="15" customHeight="1">
      <c r="A19" s="7">
        <v>18</v>
      </c>
      <c r="B19" s="7">
        <v>48</v>
      </c>
      <c r="C19" s="7">
        <v>87</v>
      </c>
      <c r="D19" s="7">
        <v>126</v>
      </c>
      <c r="E19" s="10">
        <v>199</v>
      </c>
      <c r="F19" s="7">
        <f>F18+26</f>
        <v>1447</v>
      </c>
      <c r="G19" s="7">
        <v>1777</v>
      </c>
      <c r="H19" s="7">
        <f t="shared" si="1"/>
        <v>2236</v>
      </c>
      <c r="I19" s="7">
        <v>5533</v>
      </c>
      <c r="K19" s="18"/>
      <c r="L19" s="18"/>
      <c r="M19" s="18"/>
      <c r="N19" s="18"/>
    </row>
    <row r="20" spans="1:14" ht="15" customHeight="1">
      <c r="A20" s="7">
        <v>19</v>
      </c>
      <c r="B20" s="7">
        <v>51</v>
      </c>
      <c r="C20" s="7">
        <v>92</v>
      </c>
      <c r="D20" s="7">
        <v>133</v>
      </c>
      <c r="E20" s="10">
        <v>214</v>
      </c>
      <c r="F20" s="7">
        <f t="shared" ref="F20" si="2">F19+26</f>
        <v>1473</v>
      </c>
      <c r="G20" s="7">
        <v>1809</v>
      </c>
      <c r="H20" s="7">
        <f t="shared" si="1"/>
        <v>2276</v>
      </c>
      <c r="I20" s="7">
        <v>5633</v>
      </c>
    </row>
    <row r="21" spans="1:14" ht="15" customHeight="1">
      <c r="A21" s="7">
        <v>20</v>
      </c>
      <c r="B21" s="7">
        <v>54</v>
      </c>
      <c r="C21" s="7">
        <v>97</v>
      </c>
      <c r="D21" s="7">
        <v>140</v>
      </c>
      <c r="E21" s="10">
        <v>229</v>
      </c>
      <c r="F21" s="7">
        <f t="shared" ref="F21:F31" si="3">F20+26</f>
        <v>1499</v>
      </c>
      <c r="G21" s="7">
        <v>1841</v>
      </c>
      <c r="H21" s="7">
        <f t="shared" si="1"/>
        <v>2316</v>
      </c>
      <c r="I21" s="7">
        <v>5733</v>
      </c>
    </row>
    <row r="22" spans="1:14" ht="15" customHeight="1">
      <c r="A22" s="7">
        <v>21</v>
      </c>
      <c r="B22" s="7">
        <v>57</v>
      </c>
      <c r="C22" s="7">
        <v>103</v>
      </c>
      <c r="D22" s="7">
        <v>149</v>
      </c>
      <c r="E22" s="10">
        <v>245</v>
      </c>
      <c r="F22" s="7">
        <f t="shared" si="3"/>
        <v>1525</v>
      </c>
      <c r="G22" s="7">
        <v>1873</v>
      </c>
      <c r="H22" s="7">
        <f t="shared" si="1"/>
        <v>2356</v>
      </c>
      <c r="I22" s="7">
        <v>5833</v>
      </c>
    </row>
    <row r="23" spans="1:14" ht="15" customHeight="1">
      <c r="A23" s="7">
        <v>22</v>
      </c>
      <c r="B23" s="7">
        <v>61</v>
      </c>
      <c r="C23" s="7">
        <v>108</v>
      </c>
      <c r="D23" s="7">
        <v>159</v>
      </c>
      <c r="E23" s="10">
        <v>263</v>
      </c>
      <c r="F23" s="7">
        <f t="shared" si="3"/>
        <v>1551</v>
      </c>
      <c r="G23" s="7">
        <v>1905</v>
      </c>
      <c r="H23" s="7">
        <f t="shared" si="1"/>
        <v>2396</v>
      </c>
      <c r="I23" s="7">
        <v>5933</v>
      </c>
    </row>
    <row r="24" spans="1:14" ht="15" customHeight="1">
      <c r="A24" s="7">
        <v>23</v>
      </c>
      <c r="B24" s="7">
        <v>64</v>
      </c>
      <c r="C24" s="7">
        <v>114</v>
      </c>
      <c r="D24" s="7">
        <v>169</v>
      </c>
      <c r="E24" s="10">
        <v>281</v>
      </c>
      <c r="F24" s="7">
        <f t="shared" si="3"/>
        <v>1577</v>
      </c>
      <c r="G24" s="7">
        <f>G23+32</f>
        <v>1937</v>
      </c>
      <c r="H24" s="7">
        <f t="shared" si="1"/>
        <v>2436</v>
      </c>
      <c r="I24" s="7">
        <v>6033</v>
      </c>
    </row>
    <row r="25" spans="1:14" ht="15" customHeight="1">
      <c r="A25" s="7">
        <v>24</v>
      </c>
      <c r="B25" s="7">
        <v>68</v>
      </c>
      <c r="C25" s="7">
        <v>121</v>
      </c>
      <c r="D25" s="7">
        <v>179</v>
      </c>
      <c r="E25" s="10">
        <v>300</v>
      </c>
      <c r="F25" s="7">
        <f t="shared" si="3"/>
        <v>1603</v>
      </c>
      <c r="G25" s="7">
        <f t="shared" ref="G25" si="4">G24+32</f>
        <v>1969</v>
      </c>
      <c r="H25" s="7">
        <f t="shared" si="1"/>
        <v>2476</v>
      </c>
      <c r="I25" s="7">
        <v>6133</v>
      </c>
    </row>
    <row r="26" spans="1:14" ht="15" customHeight="1">
      <c r="A26" s="7">
        <v>25</v>
      </c>
      <c r="B26" s="7">
        <v>72</v>
      </c>
      <c r="C26" s="7">
        <v>127</v>
      </c>
      <c r="D26" s="7">
        <v>190</v>
      </c>
      <c r="E26" s="10">
        <v>322</v>
      </c>
      <c r="F26" s="7">
        <f t="shared" si="3"/>
        <v>1629</v>
      </c>
      <c r="G26" s="7">
        <f t="shared" ref="G26:G31" si="5">G25+32</f>
        <v>2001</v>
      </c>
      <c r="H26" s="7">
        <f t="shared" si="1"/>
        <v>2516</v>
      </c>
      <c r="I26" s="7">
        <v>6233</v>
      </c>
    </row>
    <row r="27" spans="1:14" ht="15" customHeight="1">
      <c r="A27" s="7">
        <v>26</v>
      </c>
      <c r="B27" s="7">
        <v>76</v>
      </c>
      <c r="C27" s="7">
        <v>134</v>
      </c>
      <c r="D27" s="7">
        <v>201</v>
      </c>
      <c r="E27" s="10">
        <v>344</v>
      </c>
      <c r="F27" s="7">
        <f t="shared" si="3"/>
        <v>1655</v>
      </c>
      <c r="G27" s="7">
        <f t="shared" si="5"/>
        <v>2033</v>
      </c>
      <c r="H27" s="7">
        <f t="shared" si="1"/>
        <v>2556</v>
      </c>
      <c r="I27" s="7">
        <v>6333</v>
      </c>
    </row>
    <row r="28" spans="1:14" ht="15" customHeight="1">
      <c r="A28" s="7">
        <v>27</v>
      </c>
      <c r="B28" s="7">
        <v>80</v>
      </c>
      <c r="C28" s="7">
        <v>141</v>
      </c>
      <c r="D28" s="7">
        <v>212</v>
      </c>
      <c r="E28" s="10">
        <v>366</v>
      </c>
      <c r="F28" s="7">
        <f t="shared" si="3"/>
        <v>1681</v>
      </c>
      <c r="G28" s="7">
        <f t="shared" si="5"/>
        <v>2065</v>
      </c>
      <c r="H28" s="7">
        <f t="shared" si="1"/>
        <v>2596</v>
      </c>
      <c r="I28" s="7">
        <v>6433</v>
      </c>
    </row>
    <row r="29" spans="1:14" ht="15" customHeight="1">
      <c r="A29" s="7">
        <v>28</v>
      </c>
      <c r="B29" s="7">
        <v>85</v>
      </c>
      <c r="C29" s="7">
        <v>148</v>
      </c>
      <c r="D29" s="7">
        <v>224</v>
      </c>
      <c r="E29" s="10">
        <v>391</v>
      </c>
      <c r="F29" s="7">
        <f t="shared" si="3"/>
        <v>1707</v>
      </c>
      <c r="G29" s="7">
        <f t="shared" si="5"/>
        <v>2097</v>
      </c>
      <c r="H29" s="7">
        <f t="shared" si="1"/>
        <v>2636</v>
      </c>
      <c r="I29" s="7">
        <v>6533</v>
      </c>
    </row>
    <row r="30" spans="1:14" ht="15" customHeight="1">
      <c r="A30" s="7">
        <v>29</v>
      </c>
      <c r="B30" s="7">
        <v>89</v>
      </c>
      <c r="C30" s="7">
        <v>156</v>
      </c>
      <c r="D30" s="7">
        <v>236</v>
      </c>
      <c r="E30" s="10">
        <v>416</v>
      </c>
      <c r="F30" s="7">
        <f t="shared" si="3"/>
        <v>1733</v>
      </c>
      <c r="G30" s="7">
        <f t="shared" si="5"/>
        <v>2129</v>
      </c>
      <c r="H30" s="7">
        <f t="shared" si="1"/>
        <v>2676</v>
      </c>
      <c r="I30" s="7">
        <v>6633</v>
      </c>
    </row>
    <row r="31" spans="1:14" ht="15" customHeight="1">
      <c r="A31" s="7">
        <v>30</v>
      </c>
      <c r="B31" s="7">
        <v>94</v>
      </c>
      <c r="C31" s="7">
        <v>163</v>
      </c>
      <c r="D31" s="7">
        <v>248</v>
      </c>
      <c r="E31" s="10">
        <v>441</v>
      </c>
      <c r="F31" s="7">
        <f t="shared" si="3"/>
        <v>1759</v>
      </c>
      <c r="G31" s="7">
        <f t="shared" si="5"/>
        <v>2161</v>
      </c>
      <c r="H31" s="7">
        <f t="shared" si="1"/>
        <v>2716</v>
      </c>
      <c r="I31" s="7">
        <v>6733</v>
      </c>
    </row>
    <row r="32" spans="1:14" ht="15" customHeight="1">
      <c r="A32" s="7">
        <v>31</v>
      </c>
      <c r="B32" s="7">
        <v>100</v>
      </c>
      <c r="C32" s="7">
        <v>177</v>
      </c>
      <c r="D32" s="7">
        <v>261</v>
      </c>
      <c r="E32" s="10">
        <v>469</v>
      </c>
      <c r="F32" s="7"/>
      <c r="G32" s="7">
        <v>2193</v>
      </c>
      <c r="H32" s="7">
        <v>2756</v>
      </c>
      <c r="I32" s="7">
        <v>6833</v>
      </c>
    </row>
    <row r="33" spans="1:9" ht="15" customHeight="1">
      <c r="A33" s="7">
        <v>32</v>
      </c>
      <c r="B33" s="7">
        <v>106</v>
      </c>
      <c r="C33" s="7">
        <v>191</v>
      </c>
      <c r="D33" s="7">
        <v>274</v>
      </c>
      <c r="E33" s="10">
        <v>497</v>
      </c>
      <c r="F33" s="7"/>
      <c r="G33" s="7">
        <v>2229</v>
      </c>
      <c r="H33" s="7">
        <v>2809</v>
      </c>
      <c r="I33" s="7">
        <v>6933</v>
      </c>
    </row>
    <row r="34" spans="1:9" ht="15" customHeight="1">
      <c r="A34" s="7">
        <v>33</v>
      </c>
      <c r="B34" s="7">
        <v>112</v>
      </c>
      <c r="C34" s="7">
        <v>205</v>
      </c>
      <c r="D34" s="7">
        <v>287</v>
      </c>
      <c r="E34" s="10">
        <v>526</v>
      </c>
      <c r="F34" s="7"/>
      <c r="G34" s="7">
        <v>2408</v>
      </c>
      <c r="H34" s="7">
        <f>H33+223</f>
        <v>3032</v>
      </c>
      <c r="I34" s="7">
        <v>7516</v>
      </c>
    </row>
    <row r="35" spans="1:9" ht="15" customHeight="1">
      <c r="A35" s="7">
        <v>34</v>
      </c>
      <c r="B35" s="7">
        <v>119</v>
      </c>
      <c r="C35" s="7">
        <v>220</v>
      </c>
      <c r="D35" s="7">
        <v>301</v>
      </c>
      <c r="E35" s="10">
        <v>558</v>
      </c>
      <c r="F35" s="7"/>
      <c r="G35" s="7">
        <v>2587</v>
      </c>
      <c r="H35" s="7">
        <v>3255</v>
      </c>
      <c r="I35" s="7">
        <v>8099</v>
      </c>
    </row>
    <row r="36" spans="1:9" ht="15" customHeight="1">
      <c r="A36" s="7">
        <v>35</v>
      </c>
      <c r="B36" s="7">
        <v>126</v>
      </c>
      <c r="C36" s="7">
        <v>235</v>
      </c>
      <c r="D36" s="7">
        <v>315</v>
      </c>
      <c r="E36" s="10">
        <v>590</v>
      </c>
      <c r="F36" s="7"/>
      <c r="G36" s="7">
        <v>2766</v>
      </c>
      <c r="H36" s="7">
        <v>3478</v>
      </c>
      <c r="I36" s="7">
        <v>8682</v>
      </c>
    </row>
    <row r="37" spans="1:9" ht="15" customHeight="1">
      <c r="A37" s="7">
        <v>36</v>
      </c>
      <c r="B37" s="7">
        <v>133</v>
      </c>
      <c r="C37" s="7">
        <v>250</v>
      </c>
      <c r="D37" s="7">
        <v>329</v>
      </c>
      <c r="E37" s="10">
        <v>623</v>
      </c>
      <c r="F37" s="7"/>
      <c r="G37" s="7">
        <v>2945</v>
      </c>
      <c r="H37" s="7">
        <f>H36+223</f>
        <v>3701</v>
      </c>
      <c r="I37" s="7">
        <v>9265</v>
      </c>
    </row>
    <row r="38" spans="1:9" ht="15" customHeight="1">
      <c r="A38" s="7">
        <v>37</v>
      </c>
      <c r="B38" s="7">
        <v>141</v>
      </c>
      <c r="C38" s="7">
        <v>266</v>
      </c>
      <c r="D38" s="7">
        <v>344</v>
      </c>
      <c r="E38" s="10">
        <v>660</v>
      </c>
      <c r="F38" s="7"/>
      <c r="G38" s="7">
        <v>3124</v>
      </c>
      <c r="H38" s="7">
        <f t="shared" ref="H38" si="6">H37+223</f>
        <v>3924</v>
      </c>
      <c r="I38" s="7">
        <v>9848</v>
      </c>
    </row>
    <row r="39" spans="1:9" ht="15" customHeight="1">
      <c r="A39" s="7">
        <v>38</v>
      </c>
      <c r="B39" s="7">
        <v>149</v>
      </c>
      <c r="C39" s="7">
        <v>282</v>
      </c>
      <c r="D39" s="7">
        <v>359</v>
      </c>
      <c r="E39" s="10">
        <v>697</v>
      </c>
      <c r="F39" s="7"/>
      <c r="G39" s="7">
        <v>3303</v>
      </c>
      <c r="H39" s="7">
        <f t="shared" ref="H39:H51" si="7">H38+223</f>
        <v>4147</v>
      </c>
      <c r="I39" s="7">
        <v>10431</v>
      </c>
    </row>
    <row r="40" spans="1:9" ht="15" customHeight="1">
      <c r="A40" s="7">
        <v>39</v>
      </c>
      <c r="B40" s="7">
        <v>157</v>
      </c>
      <c r="C40" s="7">
        <v>298</v>
      </c>
      <c r="D40" s="7">
        <v>374</v>
      </c>
      <c r="E40" s="10">
        <v>734</v>
      </c>
      <c r="F40" s="7"/>
      <c r="G40" s="7">
        <v>3482</v>
      </c>
      <c r="H40" s="7">
        <f t="shared" si="7"/>
        <v>4370</v>
      </c>
      <c r="I40" s="7">
        <v>11014</v>
      </c>
    </row>
    <row r="41" spans="1:9" ht="15" customHeight="1">
      <c r="A41" s="7">
        <v>40</v>
      </c>
      <c r="B41" s="7">
        <v>166</v>
      </c>
      <c r="C41" s="7">
        <v>315</v>
      </c>
      <c r="D41" s="7">
        <v>390</v>
      </c>
      <c r="E41" s="10">
        <v>775</v>
      </c>
      <c r="F41" s="7"/>
      <c r="G41" s="7">
        <v>3661</v>
      </c>
      <c r="H41" s="7">
        <f t="shared" si="7"/>
        <v>4593</v>
      </c>
      <c r="I41" s="7">
        <v>11597</v>
      </c>
    </row>
    <row r="42" spans="1:9" ht="15" customHeight="1">
      <c r="A42" s="7">
        <v>41</v>
      </c>
      <c r="B42" s="7">
        <v>175</v>
      </c>
      <c r="C42" s="7">
        <v>332</v>
      </c>
      <c r="D42" s="7">
        <v>406</v>
      </c>
      <c r="E42" s="10">
        <v>816</v>
      </c>
      <c r="F42" s="7"/>
      <c r="G42" s="7">
        <v>3840</v>
      </c>
      <c r="H42" s="7">
        <f t="shared" si="7"/>
        <v>4816</v>
      </c>
      <c r="I42" s="7">
        <v>12180</v>
      </c>
    </row>
    <row r="43" spans="1:9" ht="15" customHeight="1">
      <c r="A43" s="7">
        <v>42</v>
      </c>
      <c r="B43" s="7">
        <v>184</v>
      </c>
      <c r="C43" s="7">
        <v>349</v>
      </c>
      <c r="D43" s="7">
        <v>422</v>
      </c>
      <c r="E43" s="10">
        <v>857</v>
      </c>
      <c r="F43" s="7"/>
      <c r="G43" s="7">
        <v>4019</v>
      </c>
      <c r="H43" s="7">
        <f t="shared" si="7"/>
        <v>5039</v>
      </c>
      <c r="I43" s="7">
        <v>12763</v>
      </c>
    </row>
    <row r="44" spans="1:9" ht="15" customHeight="1">
      <c r="A44" s="7">
        <v>43</v>
      </c>
      <c r="B44" s="7">
        <v>194</v>
      </c>
      <c r="C44" s="7">
        <v>367</v>
      </c>
      <c r="D44" s="7">
        <v>439</v>
      </c>
      <c r="E44" s="10">
        <v>902</v>
      </c>
      <c r="F44" s="7"/>
      <c r="G44" s="7"/>
      <c r="H44" s="7">
        <f t="shared" si="7"/>
        <v>5262</v>
      </c>
      <c r="I44" s="7">
        <v>13346</v>
      </c>
    </row>
    <row r="45" spans="1:9" ht="15" customHeight="1">
      <c r="A45" s="7">
        <v>44</v>
      </c>
      <c r="B45" s="7">
        <v>204</v>
      </c>
      <c r="C45" s="7">
        <v>385</v>
      </c>
      <c r="D45" s="7">
        <v>456</v>
      </c>
      <c r="E45" s="10">
        <v>947</v>
      </c>
      <c r="F45" s="7"/>
      <c r="G45" s="7"/>
      <c r="H45" s="7">
        <f t="shared" si="7"/>
        <v>5485</v>
      </c>
      <c r="I45" s="7">
        <v>13929</v>
      </c>
    </row>
    <row r="46" spans="1:9" ht="15" customHeight="1">
      <c r="A46" s="7">
        <v>45</v>
      </c>
      <c r="B46" s="7">
        <v>214</v>
      </c>
      <c r="C46" s="7">
        <v>403</v>
      </c>
      <c r="D46" s="7">
        <v>474</v>
      </c>
      <c r="E46" s="10">
        <v>992</v>
      </c>
      <c r="F46" s="7"/>
      <c r="G46" s="7"/>
      <c r="H46" s="7">
        <f t="shared" si="7"/>
        <v>5708</v>
      </c>
      <c r="I46" s="7">
        <v>14512</v>
      </c>
    </row>
    <row r="47" spans="1:9" ht="15" customHeight="1">
      <c r="A47" s="7">
        <v>46</v>
      </c>
      <c r="B47" s="7">
        <v>225</v>
      </c>
      <c r="C47" s="7">
        <v>422</v>
      </c>
      <c r="D47" s="7">
        <v>493</v>
      </c>
      <c r="E47" s="10">
        <v>1041</v>
      </c>
      <c r="F47" s="7"/>
      <c r="G47" s="7"/>
      <c r="H47" s="7">
        <f t="shared" si="7"/>
        <v>5931</v>
      </c>
      <c r="I47" s="7">
        <v>15095</v>
      </c>
    </row>
    <row r="48" spans="1:9" ht="15" customHeight="1">
      <c r="A48" s="7">
        <v>47</v>
      </c>
      <c r="B48" s="7">
        <v>236</v>
      </c>
      <c r="C48" s="7">
        <v>441</v>
      </c>
      <c r="D48" s="7">
        <v>512</v>
      </c>
      <c r="E48" s="10">
        <v>1090</v>
      </c>
      <c r="F48" s="7"/>
      <c r="G48" s="7"/>
      <c r="H48" s="7">
        <f t="shared" si="7"/>
        <v>6154</v>
      </c>
      <c r="I48" s="7">
        <v>15678</v>
      </c>
    </row>
    <row r="49" spans="1:9" ht="15" customHeight="1">
      <c r="A49" s="7">
        <v>48</v>
      </c>
      <c r="B49" s="7">
        <v>247</v>
      </c>
      <c r="C49" s="7">
        <v>460</v>
      </c>
      <c r="D49" s="7">
        <v>532</v>
      </c>
      <c r="E49" s="10">
        <v>1139</v>
      </c>
      <c r="F49" s="7"/>
      <c r="G49" s="7"/>
      <c r="H49" s="7">
        <f t="shared" si="7"/>
        <v>6377</v>
      </c>
      <c r="I49" s="7">
        <v>16261</v>
      </c>
    </row>
    <row r="50" spans="1:9" ht="15" customHeight="1">
      <c r="A50" s="7">
        <v>49</v>
      </c>
      <c r="B50" s="7">
        <v>259</v>
      </c>
      <c r="C50" s="7">
        <v>480</v>
      </c>
      <c r="D50" s="7">
        <v>553</v>
      </c>
      <c r="E50" s="10">
        <v>1192</v>
      </c>
      <c r="F50" s="7"/>
      <c r="G50" s="7"/>
      <c r="H50" s="7">
        <f t="shared" si="7"/>
        <v>6600</v>
      </c>
      <c r="I50" s="7">
        <v>16844</v>
      </c>
    </row>
    <row r="51" spans="1:9" ht="15" customHeight="1">
      <c r="A51" s="7">
        <v>50</v>
      </c>
      <c r="B51" s="7">
        <v>271</v>
      </c>
      <c r="C51" s="7">
        <v>500</v>
      </c>
      <c r="D51" s="7">
        <v>574</v>
      </c>
      <c r="E51" s="10">
        <v>1245</v>
      </c>
      <c r="F51" s="7"/>
      <c r="G51" s="7"/>
      <c r="H51" s="7">
        <f t="shared" si="7"/>
        <v>6823</v>
      </c>
      <c r="I51" s="7">
        <v>17427</v>
      </c>
    </row>
    <row r="52" spans="1:9" ht="15" customHeight="1">
      <c r="A52" s="7">
        <v>51</v>
      </c>
      <c r="B52" s="7">
        <v>283</v>
      </c>
      <c r="C52" s="7">
        <v>520</v>
      </c>
      <c r="D52" s="7">
        <v>596</v>
      </c>
      <c r="E52" s="10">
        <v>1299</v>
      </c>
      <c r="F52" s="7"/>
      <c r="G52" s="7"/>
      <c r="H52" s="7">
        <v>7046</v>
      </c>
      <c r="I52" s="7">
        <v>18010</v>
      </c>
    </row>
    <row r="53" spans="1:9" ht="15" customHeight="1">
      <c r="A53" s="7">
        <v>52</v>
      </c>
      <c r="B53" s="7">
        <v>296</v>
      </c>
      <c r="C53" s="7">
        <v>541</v>
      </c>
      <c r="D53" s="7">
        <v>619</v>
      </c>
      <c r="E53" s="10">
        <v>1358</v>
      </c>
      <c r="F53" s="7"/>
      <c r="G53" s="7"/>
      <c r="H53" s="7">
        <v>7262</v>
      </c>
      <c r="I53" s="7">
        <v>18587</v>
      </c>
    </row>
    <row r="54" spans="1:9" ht="15" customHeight="1">
      <c r="A54" s="7">
        <v>53</v>
      </c>
      <c r="B54" s="7">
        <v>309</v>
      </c>
      <c r="C54" s="7">
        <v>562</v>
      </c>
      <c r="D54" s="7">
        <v>642</v>
      </c>
      <c r="E54" s="10">
        <v>1417</v>
      </c>
      <c r="F54" s="7"/>
      <c r="G54" s="7"/>
      <c r="H54" s="7">
        <v>7496</v>
      </c>
      <c r="I54" s="7">
        <v>19186</v>
      </c>
    </row>
    <row r="55" spans="1:9" ht="15" customHeight="1">
      <c r="A55" s="7">
        <v>54</v>
      </c>
      <c r="B55" s="7">
        <v>322</v>
      </c>
      <c r="C55" s="7">
        <v>583</v>
      </c>
      <c r="D55" s="7">
        <v>666</v>
      </c>
      <c r="E55" s="10">
        <v>1477</v>
      </c>
      <c r="F55" s="7"/>
      <c r="G55" s="7"/>
      <c r="H55" s="7">
        <v>7730</v>
      </c>
      <c r="I55" s="7">
        <v>19785</v>
      </c>
    </row>
    <row r="56" spans="1:9" ht="15" customHeight="1">
      <c r="A56" s="7">
        <v>55</v>
      </c>
      <c r="B56" s="7">
        <v>336</v>
      </c>
      <c r="C56" s="7">
        <v>605</v>
      </c>
      <c r="D56" s="7">
        <v>691</v>
      </c>
      <c r="E56" s="10">
        <v>1543</v>
      </c>
      <c r="F56" s="7"/>
      <c r="G56" s="7"/>
      <c r="H56" s="7">
        <v>7964</v>
      </c>
      <c r="I56" s="7">
        <v>20384</v>
      </c>
    </row>
    <row r="57" spans="1:9" ht="15" customHeight="1">
      <c r="A57" s="7">
        <v>56</v>
      </c>
      <c r="B57" s="7">
        <v>350</v>
      </c>
      <c r="C57" s="7">
        <v>627</v>
      </c>
      <c r="D57" s="7">
        <v>716</v>
      </c>
      <c r="E57" s="10">
        <v>1609</v>
      </c>
      <c r="F57" s="7"/>
      <c r="G57" s="7"/>
      <c r="H57" s="7">
        <f>H56+234</f>
        <v>8198</v>
      </c>
      <c r="I57" s="7">
        <v>20983</v>
      </c>
    </row>
    <row r="58" spans="1:9" ht="15" customHeight="1">
      <c r="A58" s="7">
        <v>57</v>
      </c>
      <c r="B58" s="7">
        <v>364</v>
      </c>
      <c r="C58" s="7">
        <v>649</v>
      </c>
      <c r="D58" s="7">
        <v>742</v>
      </c>
      <c r="E58" s="10">
        <v>1675</v>
      </c>
      <c r="F58" s="7"/>
      <c r="G58" s="7"/>
      <c r="H58" s="7">
        <f t="shared" ref="H58" si="8">H57+234</f>
        <v>8432</v>
      </c>
      <c r="I58" s="7">
        <v>21582</v>
      </c>
    </row>
    <row r="59" spans="1:9" ht="15" customHeight="1">
      <c r="A59" s="7">
        <v>58</v>
      </c>
      <c r="B59" s="7">
        <v>379</v>
      </c>
      <c r="C59" s="7">
        <v>673</v>
      </c>
      <c r="D59" s="7">
        <v>769</v>
      </c>
      <c r="E59" s="10">
        <v>1747</v>
      </c>
      <c r="F59" s="7"/>
      <c r="G59" s="7"/>
      <c r="H59" s="7">
        <f t="shared" ref="H59:H80" si="9">H58+234</f>
        <v>8666</v>
      </c>
      <c r="I59" s="7">
        <v>22181</v>
      </c>
    </row>
    <row r="60" spans="1:9" ht="15" customHeight="1">
      <c r="A60" s="7">
        <v>59</v>
      </c>
      <c r="B60" s="7">
        <v>394</v>
      </c>
      <c r="C60" s="7">
        <v>697</v>
      </c>
      <c r="D60" s="7">
        <v>796</v>
      </c>
      <c r="E60" s="10">
        <v>1819</v>
      </c>
      <c r="F60" s="7"/>
      <c r="G60" s="7"/>
      <c r="H60" s="7">
        <f t="shared" si="9"/>
        <v>8900</v>
      </c>
      <c r="I60" s="7">
        <v>22780</v>
      </c>
    </row>
    <row r="61" spans="1:9" ht="15" customHeight="1">
      <c r="A61" s="7">
        <v>60</v>
      </c>
      <c r="B61" s="7">
        <v>409</v>
      </c>
      <c r="C61" s="7">
        <v>721</v>
      </c>
      <c r="D61" s="7">
        <v>824</v>
      </c>
      <c r="E61" s="10">
        <v>1892</v>
      </c>
      <c r="F61" s="7"/>
      <c r="G61" s="7"/>
      <c r="H61" s="7">
        <f t="shared" si="9"/>
        <v>9134</v>
      </c>
      <c r="I61" s="7">
        <v>23379</v>
      </c>
    </row>
    <row r="62" spans="1:9" ht="15" customHeight="1">
      <c r="A62" s="7">
        <v>61</v>
      </c>
      <c r="B62" s="7">
        <v>425</v>
      </c>
      <c r="C62" s="7">
        <v>747</v>
      </c>
      <c r="D62" s="7">
        <v>854</v>
      </c>
      <c r="E62" s="10">
        <v>1972</v>
      </c>
      <c r="F62" s="7"/>
      <c r="G62" s="7"/>
      <c r="H62" s="7">
        <f t="shared" si="9"/>
        <v>9368</v>
      </c>
      <c r="I62" s="7">
        <v>23978</v>
      </c>
    </row>
    <row r="63" spans="1:9" ht="15" customHeight="1">
      <c r="A63" s="7">
        <v>62</v>
      </c>
      <c r="B63" s="7">
        <v>441</v>
      </c>
      <c r="C63" s="7">
        <v>773</v>
      </c>
      <c r="D63" s="7">
        <v>884</v>
      </c>
      <c r="E63" s="10">
        <v>2060</v>
      </c>
      <c r="F63" s="7"/>
      <c r="G63" s="7"/>
      <c r="H63" s="7">
        <f t="shared" si="9"/>
        <v>9602</v>
      </c>
      <c r="I63" s="7">
        <v>24577</v>
      </c>
    </row>
    <row r="64" spans="1:9" ht="15" customHeight="1">
      <c r="A64" s="7">
        <v>63</v>
      </c>
      <c r="B64" s="7">
        <v>457</v>
      </c>
      <c r="C64" s="7">
        <v>799</v>
      </c>
      <c r="D64" s="7">
        <v>914</v>
      </c>
      <c r="E64" s="10">
        <v>2133</v>
      </c>
      <c r="F64" s="7"/>
      <c r="G64" s="7"/>
      <c r="H64" s="7">
        <f t="shared" si="9"/>
        <v>9836</v>
      </c>
      <c r="I64" s="7">
        <v>25176</v>
      </c>
    </row>
    <row r="65" spans="1:9" ht="15" customHeight="1">
      <c r="A65" s="7">
        <v>64</v>
      </c>
      <c r="B65" s="7">
        <v>474</v>
      </c>
      <c r="C65" s="7">
        <v>827</v>
      </c>
      <c r="D65" s="7">
        <v>946</v>
      </c>
      <c r="E65" s="10">
        <v>2221</v>
      </c>
      <c r="F65" s="7"/>
      <c r="G65" s="7"/>
      <c r="H65" s="7">
        <f t="shared" si="9"/>
        <v>10070</v>
      </c>
      <c r="I65" s="7">
        <v>25775</v>
      </c>
    </row>
    <row r="66" spans="1:9" ht="15" customHeight="1">
      <c r="A66" s="7">
        <v>65</v>
      </c>
      <c r="B66" s="7">
        <v>491</v>
      </c>
      <c r="C66" s="7">
        <v>855</v>
      </c>
      <c r="D66" s="7">
        <v>978</v>
      </c>
      <c r="E66" s="10">
        <v>2309</v>
      </c>
      <c r="F66" s="7"/>
      <c r="G66" s="7"/>
      <c r="H66" s="7">
        <f t="shared" si="9"/>
        <v>10304</v>
      </c>
      <c r="I66" s="7">
        <v>26374</v>
      </c>
    </row>
    <row r="67" spans="1:9" ht="15" customHeight="1">
      <c r="A67" s="7">
        <v>66</v>
      </c>
      <c r="B67" s="7">
        <v>509</v>
      </c>
      <c r="C67" s="7">
        <v>883</v>
      </c>
      <c r="D67" s="7">
        <v>1010</v>
      </c>
      <c r="E67" s="10">
        <v>2398</v>
      </c>
      <c r="F67" s="7"/>
      <c r="G67" s="7"/>
      <c r="H67" s="7">
        <f t="shared" si="9"/>
        <v>10538</v>
      </c>
      <c r="I67" s="7">
        <v>26973</v>
      </c>
    </row>
    <row r="68" spans="1:9" ht="15" customHeight="1">
      <c r="A68" s="7">
        <v>67</v>
      </c>
      <c r="B68" s="7">
        <v>526</v>
      </c>
      <c r="C68" s="7">
        <v>913</v>
      </c>
      <c r="D68" s="7">
        <v>1044</v>
      </c>
      <c r="E68" s="10">
        <v>2495</v>
      </c>
      <c r="F68" s="7"/>
      <c r="G68" s="7"/>
      <c r="H68" s="7">
        <f t="shared" si="9"/>
        <v>10772</v>
      </c>
      <c r="I68" s="7">
        <v>27572</v>
      </c>
    </row>
    <row r="69" spans="1:9" ht="15" customHeight="1">
      <c r="A69" s="7">
        <v>68</v>
      </c>
      <c r="B69" s="7">
        <v>544</v>
      </c>
      <c r="C69" s="7">
        <v>943</v>
      </c>
      <c r="D69" s="7">
        <v>1078</v>
      </c>
      <c r="E69" s="10">
        <v>2592</v>
      </c>
      <c r="F69" s="7"/>
      <c r="G69" s="7"/>
      <c r="H69" s="7">
        <f t="shared" si="9"/>
        <v>11006</v>
      </c>
      <c r="I69" s="7">
        <v>28171</v>
      </c>
    </row>
    <row r="70" spans="1:9" ht="15" customHeight="1">
      <c r="A70" s="7">
        <v>69</v>
      </c>
      <c r="B70" s="7">
        <v>562</v>
      </c>
      <c r="C70" s="7">
        <v>973</v>
      </c>
      <c r="D70" s="7">
        <v>1112</v>
      </c>
      <c r="E70" s="10">
        <v>2690</v>
      </c>
      <c r="F70" s="7"/>
      <c r="G70" s="7"/>
      <c r="H70" s="7">
        <f t="shared" si="9"/>
        <v>11240</v>
      </c>
      <c r="I70" s="7">
        <v>28770</v>
      </c>
    </row>
    <row r="71" spans="1:9" ht="15" customHeight="1">
      <c r="A71" s="7">
        <v>70</v>
      </c>
      <c r="B71" s="7">
        <v>581</v>
      </c>
      <c r="C71" s="7">
        <v>1005</v>
      </c>
      <c r="D71" s="7">
        <v>1148</v>
      </c>
      <c r="E71" s="10">
        <v>2797</v>
      </c>
      <c r="F71" s="7"/>
      <c r="G71" s="7"/>
      <c r="H71" s="7">
        <f t="shared" si="9"/>
        <v>11474</v>
      </c>
      <c r="I71" s="7">
        <v>29369</v>
      </c>
    </row>
    <row r="72" spans="1:9" ht="15" customHeight="1">
      <c r="A72" s="7">
        <v>71</v>
      </c>
      <c r="B72" s="7">
        <v>600</v>
      </c>
      <c r="C72" s="7">
        <v>1037</v>
      </c>
      <c r="D72" s="7">
        <v>1184</v>
      </c>
      <c r="E72" s="10">
        <v>2904</v>
      </c>
      <c r="F72" s="7"/>
      <c r="G72" s="7"/>
      <c r="H72" s="7">
        <f t="shared" si="9"/>
        <v>11708</v>
      </c>
      <c r="I72" s="7">
        <v>29968</v>
      </c>
    </row>
    <row r="73" spans="1:9" ht="15" customHeight="1">
      <c r="A73" s="7">
        <v>72</v>
      </c>
      <c r="B73" s="7">
        <v>619</v>
      </c>
      <c r="C73" s="7">
        <v>1069</v>
      </c>
      <c r="D73" s="7">
        <v>1220</v>
      </c>
      <c r="E73" s="10">
        <v>3011</v>
      </c>
      <c r="F73" s="7"/>
      <c r="G73" s="7"/>
      <c r="H73" s="7">
        <f t="shared" si="9"/>
        <v>11942</v>
      </c>
      <c r="I73" s="7">
        <v>30567</v>
      </c>
    </row>
    <row r="74" spans="1:9" ht="15" customHeight="1">
      <c r="A74" s="7">
        <v>73</v>
      </c>
      <c r="B74" s="7">
        <v>639</v>
      </c>
      <c r="C74" s="7">
        <v>1103</v>
      </c>
      <c r="D74" s="7">
        <v>1258</v>
      </c>
      <c r="E74" s="10">
        <v>3128</v>
      </c>
      <c r="F74" s="7"/>
      <c r="G74" s="7"/>
      <c r="H74" s="7">
        <f t="shared" si="9"/>
        <v>12176</v>
      </c>
      <c r="I74" s="7">
        <v>31166</v>
      </c>
    </row>
    <row r="75" spans="1:9" ht="15" customHeight="1">
      <c r="A75" s="7">
        <v>74</v>
      </c>
      <c r="B75" s="7">
        <v>659</v>
      </c>
      <c r="C75" s="7">
        <v>1137</v>
      </c>
      <c r="D75" s="7">
        <v>1296</v>
      </c>
      <c r="E75" s="10">
        <v>3245</v>
      </c>
      <c r="F75" s="7"/>
      <c r="G75" s="7"/>
      <c r="H75" s="7">
        <f t="shared" si="9"/>
        <v>12410</v>
      </c>
      <c r="I75" s="7">
        <v>31765</v>
      </c>
    </row>
    <row r="76" spans="1:9" ht="15" customHeight="1">
      <c r="A76" s="7">
        <v>75</v>
      </c>
      <c r="B76" s="7">
        <v>679</v>
      </c>
      <c r="C76" s="7">
        <v>1171</v>
      </c>
      <c r="D76" s="7">
        <v>1335</v>
      </c>
      <c r="E76" s="10">
        <v>3362</v>
      </c>
      <c r="F76" s="7"/>
      <c r="G76" s="7"/>
      <c r="H76" s="7">
        <f t="shared" si="9"/>
        <v>12644</v>
      </c>
      <c r="I76" s="7">
        <f>I75+599</f>
        <v>32364</v>
      </c>
    </row>
    <row r="77" spans="1:9" ht="15" customHeight="1">
      <c r="A77" s="7">
        <v>76</v>
      </c>
      <c r="B77" s="7">
        <v>700</v>
      </c>
      <c r="C77" s="7">
        <v>1207</v>
      </c>
      <c r="D77" s="7">
        <v>1376</v>
      </c>
      <c r="E77" s="10">
        <v>3489</v>
      </c>
      <c r="F77" s="7"/>
      <c r="G77" s="7"/>
      <c r="H77" s="7">
        <f t="shared" si="9"/>
        <v>12878</v>
      </c>
      <c r="I77" s="7">
        <f t="shared" ref="I77:I82" si="10">I76+599</f>
        <v>32963</v>
      </c>
    </row>
    <row r="78" spans="1:9" ht="15" customHeight="1">
      <c r="A78" s="7">
        <v>77</v>
      </c>
      <c r="B78" s="7">
        <v>721</v>
      </c>
      <c r="C78" s="7">
        <v>1243</v>
      </c>
      <c r="D78" s="7">
        <v>1417</v>
      </c>
      <c r="E78" s="10">
        <v>3616</v>
      </c>
      <c r="F78" s="7"/>
      <c r="G78" s="7"/>
      <c r="H78" s="7">
        <f t="shared" si="9"/>
        <v>13112</v>
      </c>
      <c r="I78" s="7">
        <f t="shared" si="10"/>
        <v>33562</v>
      </c>
    </row>
    <row r="79" spans="1:9" ht="15" customHeight="1">
      <c r="A79" s="7">
        <v>78</v>
      </c>
      <c r="B79" s="7">
        <v>742</v>
      </c>
      <c r="C79" s="7">
        <v>1279</v>
      </c>
      <c r="D79" s="7">
        <v>1459</v>
      </c>
      <c r="E79" s="10">
        <v>3743</v>
      </c>
      <c r="F79" s="7"/>
      <c r="G79" s="7"/>
      <c r="H79" s="7">
        <f t="shared" si="9"/>
        <v>13346</v>
      </c>
      <c r="I79" s="7">
        <f t="shared" si="10"/>
        <v>34161</v>
      </c>
    </row>
    <row r="80" spans="1:9" ht="15" customHeight="1">
      <c r="A80" s="7">
        <v>79</v>
      </c>
      <c r="B80" s="7">
        <v>764</v>
      </c>
      <c r="C80" s="7">
        <v>1317</v>
      </c>
      <c r="D80" s="7">
        <v>1503</v>
      </c>
      <c r="E80" s="10">
        <v>3880</v>
      </c>
      <c r="F80" s="7"/>
      <c r="G80" s="7"/>
      <c r="H80" s="7">
        <f t="shared" si="9"/>
        <v>13580</v>
      </c>
      <c r="I80" s="7">
        <f t="shared" si="10"/>
        <v>34760</v>
      </c>
    </row>
    <row r="81" spans="1:9" ht="15" customHeight="1">
      <c r="A81" s="7">
        <v>80</v>
      </c>
      <c r="B81" s="7">
        <v>786</v>
      </c>
      <c r="C81" s="7">
        <v>1355</v>
      </c>
      <c r="D81" s="7">
        <v>1547</v>
      </c>
      <c r="E81" s="10">
        <v>4017</v>
      </c>
      <c r="F81" s="7"/>
      <c r="G81" s="7"/>
      <c r="H81" s="7">
        <v>13814</v>
      </c>
      <c r="I81" s="7">
        <f t="shared" si="10"/>
        <v>35359</v>
      </c>
    </row>
    <row r="82" spans="1:9" ht="15" customHeight="1">
      <c r="A82" s="7">
        <v>81</v>
      </c>
      <c r="B82" s="7">
        <v>809</v>
      </c>
      <c r="C82" s="7">
        <v>1393</v>
      </c>
      <c r="D82" s="7">
        <v>1592</v>
      </c>
      <c r="E82" s="10">
        <v>4154</v>
      </c>
      <c r="F82" s="7"/>
      <c r="G82" s="7"/>
      <c r="H82" s="7">
        <v>14048</v>
      </c>
      <c r="I82" s="7">
        <f t="shared" si="10"/>
        <v>35958</v>
      </c>
    </row>
    <row r="83" spans="1:9" ht="15" customHeight="1">
      <c r="A83" s="7">
        <v>82</v>
      </c>
      <c r="B83" s="7">
        <v>833</v>
      </c>
      <c r="C83" s="7">
        <v>1433</v>
      </c>
      <c r="D83" s="7">
        <v>1639</v>
      </c>
      <c r="E83" s="10">
        <v>4301</v>
      </c>
      <c r="F83" s="7"/>
      <c r="G83" s="7"/>
      <c r="H83" s="7">
        <v>14277</v>
      </c>
      <c r="I83" s="7">
        <v>36542</v>
      </c>
    </row>
    <row r="84" spans="1:9" ht="15" customHeight="1">
      <c r="A84" s="7">
        <v>83</v>
      </c>
      <c r="B84" s="7">
        <v>857</v>
      </c>
      <c r="C84" s="7">
        <v>1473</v>
      </c>
      <c r="D84" s="7">
        <v>1686</v>
      </c>
      <c r="E84" s="10">
        <v>4448</v>
      </c>
      <c r="F84" s="7"/>
      <c r="G84" s="7"/>
      <c r="H84" s="7">
        <v>14499</v>
      </c>
      <c r="I84" s="7">
        <v>37110</v>
      </c>
    </row>
    <row r="85" spans="1:9" ht="15" customHeight="1">
      <c r="A85" s="7">
        <v>84</v>
      </c>
      <c r="B85" s="7">
        <v>882</v>
      </c>
      <c r="C85" s="7">
        <v>1513</v>
      </c>
      <c r="D85" s="7">
        <v>1734</v>
      </c>
      <c r="E85" s="10">
        <v>4596</v>
      </c>
      <c r="F85" s="7"/>
      <c r="G85" s="7"/>
      <c r="H85" s="7">
        <v>14721</v>
      </c>
      <c r="I85" s="7">
        <v>37678</v>
      </c>
    </row>
    <row r="86" spans="1:9" ht="15" customHeight="1">
      <c r="A86" s="7">
        <v>85</v>
      </c>
      <c r="B86" s="7">
        <v>908</v>
      </c>
      <c r="C86" s="7">
        <v>1555</v>
      </c>
      <c r="D86" s="7">
        <v>1784</v>
      </c>
      <c r="E86" s="10">
        <v>4754</v>
      </c>
      <c r="F86" s="7"/>
      <c r="G86" s="7"/>
      <c r="H86" s="7">
        <v>14943</v>
      </c>
      <c r="I86" s="7">
        <v>38246</v>
      </c>
    </row>
    <row r="87" spans="1:9" ht="15" customHeight="1">
      <c r="A87" s="7">
        <v>86</v>
      </c>
      <c r="B87" s="7">
        <v>934</v>
      </c>
      <c r="C87" s="7">
        <v>1597</v>
      </c>
      <c r="D87" s="7">
        <v>1834</v>
      </c>
      <c r="E87" s="10">
        <v>4912</v>
      </c>
      <c r="F87" s="7"/>
      <c r="G87" s="7"/>
      <c r="H87" s="7">
        <v>15165</v>
      </c>
      <c r="I87" s="7">
        <v>38814</v>
      </c>
    </row>
    <row r="88" spans="1:9" ht="15" customHeight="1">
      <c r="A88" s="7">
        <v>87</v>
      </c>
      <c r="B88" s="7">
        <v>961</v>
      </c>
      <c r="C88" s="7">
        <v>1639</v>
      </c>
      <c r="D88" s="7">
        <v>1885</v>
      </c>
      <c r="E88" s="10">
        <v>5071</v>
      </c>
      <c r="F88" s="7"/>
      <c r="G88" s="7"/>
      <c r="H88" s="7">
        <v>15387</v>
      </c>
      <c r="I88" s="7">
        <v>39382</v>
      </c>
    </row>
    <row r="89" spans="1:9" ht="15" customHeight="1">
      <c r="A89" s="7">
        <v>88</v>
      </c>
      <c r="B89" s="7">
        <v>989</v>
      </c>
      <c r="C89" s="7">
        <v>1683</v>
      </c>
      <c r="D89" s="7">
        <v>1938</v>
      </c>
      <c r="E89" s="10">
        <v>5231</v>
      </c>
      <c r="F89" s="7"/>
      <c r="G89" s="7"/>
      <c r="H89" s="7">
        <v>15609</v>
      </c>
      <c r="I89" s="7">
        <v>39950</v>
      </c>
    </row>
    <row r="90" spans="1:9" ht="15" customHeight="1">
      <c r="A90" s="7">
        <v>89</v>
      </c>
      <c r="B90" s="7">
        <v>1017</v>
      </c>
      <c r="C90" s="7">
        <v>1727</v>
      </c>
      <c r="D90" s="7">
        <v>1991</v>
      </c>
      <c r="E90" s="10">
        <v>5391</v>
      </c>
      <c r="F90" s="7"/>
      <c r="G90" s="7"/>
      <c r="H90" s="7">
        <v>15831</v>
      </c>
      <c r="I90" s="7">
        <v>40518</v>
      </c>
    </row>
    <row r="91" spans="1:9" ht="15" customHeight="1">
      <c r="A91" s="7">
        <v>90</v>
      </c>
      <c r="B91" s="7">
        <v>1046</v>
      </c>
      <c r="C91" s="7">
        <v>1771</v>
      </c>
      <c r="D91" s="7">
        <v>2045</v>
      </c>
      <c r="E91" s="10">
        <v>5552</v>
      </c>
      <c r="F91" s="7"/>
      <c r="G91" s="7"/>
      <c r="H91" s="7">
        <v>16053</v>
      </c>
      <c r="I91" s="7">
        <v>41086</v>
      </c>
    </row>
    <row r="92" spans="1:9" ht="15" customHeight="1">
      <c r="A92" s="7">
        <v>91</v>
      </c>
      <c r="B92" s="7">
        <v>1077</v>
      </c>
      <c r="C92" s="7">
        <v>1817</v>
      </c>
      <c r="D92" s="7">
        <v>2102</v>
      </c>
      <c r="E92" s="10">
        <v>5720</v>
      </c>
      <c r="F92" s="7"/>
      <c r="G92" s="7"/>
      <c r="H92" s="7">
        <v>16275</v>
      </c>
      <c r="I92" s="7">
        <v>41654</v>
      </c>
    </row>
    <row r="93" spans="1:9" ht="15" customHeight="1">
      <c r="A93" s="7">
        <v>92</v>
      </c>
      <c r="B93" s="7">
        <v>1108</v>
      </c>
      <c r="C93" s="7">
        <v>1863</v>
      </c>
      <c r="D93" s="7">
        <v>2159</v>
      </c>
      <c r="E93" s="10">
        <v>5888</v>
      </c>
      <c r="F93" s="7"/>
      <c r="G93" s="7"/>
      <c r="H93" s="7">
        <v>16497</v>
      </c>
      <c r="I93" s="7">
        <v>42222</v>
      </c>
    </row>
    <row r="94" spans="1:9" ht="15" customHeight="1">
      <c r="A94" s="7">
        <v>93</v>
      </c>
      <c r="B94" s="7">
        <v>1140</v>
      </c>
      <c r="C94" s="7">
        <v>1909</v>
      </c>
      <c r="D94" s="7">
        <v>2217</v>
      </c>
      <c r="E94" s="10">
        <v>6056</v>
      </c>
      <c r="F94" s="7"/>
      <c r="G94" s="7"/>
      <c r="H94" s="7">
        <v>16719</v>
      </c>
      <c r="I94" s="7">
        <v>42790</v>
      </c>
    </row>
    <row r="95" spans="1:9" ht="15" customHeight="1">
      <c r="A95" s="7">
        <v>94</v>
      </c>
      <c r="B95" s="7">
        <v>1175</v>
      </c>
      <c r="C95" s="7">
        <v>1957</v>
      </c>
      <c r="D95" s="7">
        <v>2279</v>
      </c>
      <c r="E95" s="10">
        <v>6231</v>
      </c>
      <c r="F95" s="7"/>
      <c r="G95" s="7"/>
      <c r="H95" s="7">
        <v>16941</v>
      </c>
      <c r="I95" s="7">
        <f>I94+568</f>
        <v>43358</v>
      </c>
    </row>
    <row r="96" spans="1:9" ht="15" customHeight="1">
      <c r="A96" s="7">
        <v>95</v>
      </c>
      <c r="B96" s="7">
        <v>1210</v>
      </c>
      <c r="C96" s="7">
        <v>2005</v>
      </c>
      <c r="D96" s="7">
        <v>2341</v>
      </c>
      <c r="E96" s="10">
        <v>6406</v>
      </c>
      <c r="F96" s="7"/>
      <c r="G96" s="7"/>
      <c r="H96" s="7">
        <v>17163</v>
      </c>
      <c r="I96" s="7">
        <f t="shared" ref="I96:I98" si="11">I95+568</f>
        <v>43926</v>
      </c>
    </row>
    <row r="97" spans="1:9" ht="15" customHeight="1">
      <c r="A97" s="7">
        <v>96</v>
      </c>
      <c r="B97" s="7">
        <v>1246</v>
      </c>
      <c r="C97" s="7">
        <v>2053</v>
      </c>
      <c r="D97" s="7">
        <v>2404</v>
      </c>
      <c r="E97" s="10">
        <v>6581</v>
      </c>
      <c r="F97" s="7"/>
      <c r="G97" s="7"/>
      <c r="H97" s="7">
        <v>17385</v>
      </c>
      <c r="I97" s="7">
        <f t="shared" si="11"/>
        <v>44494</v>
      </c>
    </row>
    <row r="98" spans="1:9" ht="15" customHeight="1">
      <c r="A98" s="7">
        <v>97</v>
      </c>
      <c r="B98" s="7">
        <v>1285</v>
      </c>
      <c r="C98" s="7">
        <v>2103</v>
      </c>
      <c r="D98" s="7">
        <v>2472</v>
      </c>
      <c r="E98" s="10">
        <v>6763</v>
      </c>
      <c r="F98" s="7"/>
      <c r="G98" s="7"/>
      <c r="H98" s="7">
        <v>17607</v>
      </c>
      <c r="I98" s="7">
        <f t="shared" si="11"/>
        <v>45062</v>
      </c>
    </row>
    <row r="99" spans="1:9" ht="15" customHeight="1">
      <c r="A99" s="7">
        <v>98</v>
      </c>
      <c r="B99" s="7">
        <v>1324</v>
      </c>
      <c r="C99" s="7">
        <v>2153</v>
      </c>
      <c r="D99" s="7">
        <v>2540</v>
      </c>
      <c r="E99" s="10">
        <v>6945</v>
      </c>
      <c r="F99" s="7"/>
      <c r="G99" s="7"/>
      <c r="H99" s="7">
        <v>17829</v>
      </c>
      <c r="I99" s="7">
        <v>45630</v>
      </c>
    </row>
    <row r="100" spans="1:9" ht="15" customHeight="1">
      <c r="A100" s="7">
        <v>99</v>
      </c>
      <c r="B100" s="7">
        <v>1364</v>
      </c>
      <c r="C100" s="7">
        <v>2203</v>
      </c>
      <c r="D100" s="7">
        <v>2609</v>
      </c>
      <c r="E100" s="10">
        <v>7127</v>
      </c>
      <c r="F100" s="7"/>
      <c r="G100" s="7"/>
      <c r="H100" s="7">
        <v>18051</v>
      </c>
      <c r="I100" s="7">
        <v>46198</v>
      </c>
    </row>
    <row r="101" spans="1:9" ht="15" customHeight="1">
      <c r="A101" s="7">
        <v>100</v>
      </c>
      <c r="B101" s="7">
        <v>1408</v>
      </c>
      <c r="C101" s="7">
        <v>2255</v>
      </c>
      <c r="D101" s="7">
        <v>2684</v>
      </c>
      <c r="E101" s="10">
        <v>7316</v>
      </c>
      <c r="F101" s="7"/>
      <c r="G101" s="7"/>
      <c r="H101" s="7">
        <v>18273</v>
      </c>
      <c r="I101" s="7">
        <v>46766</v>
      </c>
    </row>
    <row r="102" spans="1:9" ht="15" customHeight="1">
      <c r="A102" s="7">
        <v>101</v>
      </c>
      <c r="B102" s="7">
        <v>1452</v>
      </c>
      <c r="C102" s="7">
        <v>2307</v>
      </c>
      <c r="D102" s="7">
        <v>2759</v>
      </c>
      <c r="E102" s="10">
        <v>7505</v>
      </c>
      <c r="F102" s="7"/>
      <c r="G102" s="7"/>
      <c r="H102" s="7">
        <v>18495</v>
      </c>
      <c r="I102" s="7">
        <v>47344</v>
      </c>
    </row>
    <row r="103" spans="1:9" ht="15" customHeight="1">
      <c r="A103" s="7">
        <v>102</v>
      </c>
      <c r="B103" s="7">
        <v>1497</v>
      </c>
      <c r="C103" s="7">
        <v>2359</v>
      </c>
      <c r="D103" s="7">
        <v>2835</v>
      </c>
      <c r="E103" s="10">
        <v>7694</v>
      </c>
      <c r="F103" s="7"/>
      <c r="G103" s="7"/>
      <c r="H103" s="7">
        <v>18717</v>
      </c>
      <c r="I103" s="7">
        <v>47902</v>
      </c>
    </row>
    <row r="104" spans="1:9" ht="15" customHeight="1">
      <c r="A104" s="7">
        <v>103</v>
      </c>
      <c r="B104" s="7">
        <v>1546</v>
      </c>
      <c r="C104" s="7">
        <v>2413</v>
      </c>
      <c r="D104" s="7">
        <v>2916</v>
      </c>
      <c r="E104" s="10">
        <v>7883</v>
      </c>
      <c r="F104" s="7"/>
      <c r="G104" s="7"/>
      <c r="H104" s="7">
        <v>18939</v>
      </c>
      <c r="I104" s="7">
        <v>48470</v>
      </c>
    </row>
    <row r="105" spans="1:9" ht="15" customHeight="1">
      <c r="A105" s="7">
        <v>104</v>
      </c>
      <c r="B105" s="7">
        <v>1595</v>
      </c>
      <c r="C105" s="7">
        <v>2469</v>
      </c>
      <c r="D105" s="7">
        <v>2997</v>
      </c>
      <c r="E105" s="10">
        <v>8072</v>
      </c>
      <c r="F105" s="7"/>
      <c r="G105" s="7"/>
      <c r="H105" s="7">
        <v>19161</v>
      </c>
      <c r="I105" s="7">
        <v>49038</v>
      </c>
    </row>
    <row r="106" spans="1:9" ht="15" customHeight="1">
      <c r="A106" s="7">
        <v>105</v>
      </c>
      <c r="B106" s="7">
        <v>1645</v>
      </c>
      <c r="C106" s="7">
        <v>2524</v>
      </c>
      <c r="D106" s="7">
        <v>3079</v>
      </c>
      <c r="E106" s="10">
        <v>8262</v>
      </c>
      <c r="F106" s="7"/>
      <c r="G106" s="7"/>
      <c r="H106" s="7">
        <v>19383</v>
      </c>
      <c r="I106" s="7">
        <v>49606</v>
      </c>
    </row>
    <row r="107" spans="1:9" ht="15" customHeight="1">
      <c r="A107" s="7">
        <v>106</v>
      </c>
      <c r="B107" s="7">
        <v>1699</v>
      </c>
      <c r="C107" s="7">
        <v>2582</v>
      </c>
      <c r="D107" s="7">
        <v>3167</v>
      </c>
      <c r="E107" s="10">
        <v>8461</v>
      </c>
      <c r="F107" s="7"/>
      <c r="G107" s="7"/>
      <c r="H107" s="7"/>
      <c r="I107" s="7">
        <v>50174</v>
      </c>
    </row>
    <row r="108" spans="1:9" ht="15" customHeight="1">
      <c r="A108" s="7">
        <v>107</v>
      </c>
      <c r="B108" s="7">
        <v>1753</v>
      </c>
      <c r="C108" s="7">
        <v>2640</v>
      </c>
      <c r="D108" s="7">
        <v>3255</v>
      </c>
      <c r="E108" s="10">
        <v>8660</v>
      </c>
      <c r="F108" s="7"/>
      <c r="G108" s="7"/>
      <c r="H108" s="7"/>
      <c r="I108" s="7">
        <v>50742</v>
      </c>
    </row>
    <row r="109" spans="1:9" ht="15" customHeight="1">
      <c r="A109" s="7">
        <v>108</v>
      </c>
      <c r="B109" s="7">
        <v>1808</v>
      </c>
      <c r="C109" s="7">
        <v>2698</v>
      </c>
      <c r="D109" s="7">
        <v>3344</v>
      </c>
      <c r="E109" s="10">
        <v>8860</v>
      </c>
      <c r="F109" s="7"/>
      <c r="G109" s="7"/>
      <c r="H109" s="7"/>
      <c r="I109" s="7">
        <v>51310</v>
      </c>
    </row>
    <row r="110" spans="1:9" ht="15" customHeight="1">
      <c r="A110" s="7">
        <v>109</v>
      </c>
      <c r="B110" s="7">
        <v>1868</v>
      </c>
      <c r="C110" s="7">
        <v>2760</v>
      </c>
      <c r="D110" s="7">
        <v>3439</v>
      </c>
      <c r="E110" s="10">
        <v>9069</v>
      </c>
      <c r="F110" s="7"/>
      <c r="G110" s="7"/>
      <c r="H110" s="7"/>
      <c r="I110" s="7">
        <v>51878</v>
      </c>
    </row>
    <row r="111" spans="1:9" ht="15" customHeight="1">
      <c r="A111" s="7">
        <v>110</v>
      </c>
      <c r="B111" s="7">
        <v>1928</v>
      </c>
      <c r="C111" s="7">
        <v>2822</v>
      </c>
      <c r="D111" s="7">
        <v>3534</v>
      </c>
      <c r="E111" s="10">
        <v>9278</v>
      </c>
      <c r="F111" s="7"/>
      <c r="G111" s="7"/>
      <c r="H111" s="7"/>
      <c r="I111" s="7">
        <v>52446</v>
      </c>
    </row>
    <row r="112" spans="1:9" ht="15" customHeight="1">
      <c r="A112" s="7">
        <v>111</v>
      </c>
      <c r="B112" s="7">
        <v>1989</v>
      </c>
      <c r="C112" s="7">
        <v>2884</v>
      </c>
      <c r="D112" s="7">
        <v>3630</v>
      </c>
      <c r="E112" s="10">
        <v>9491</v>
      </c>
      <c r="F112" s="7"/>
      <c r="G112" s="7"/>
      <c r="H112" s="7"/>
      <c r="I112" s="7">
        <v>53014</v>
      </c>
    </row>
    <row r="113" spans="1:9" ht="15" customHeight="1">
      <c r="A113" s="7">
        <v>112</v>
      </c>
      <c r="B113" s="7">
        <v>2054</v>
      </c>
      <c r="C113" s="7">
        <v>2950</v>
      </c>
      <c r="D113" s="7">
        <v>3731</v>
      </c>
      <c r="E113" s="10">
        <v>9707</v>
      </c>
      <c r="F113" s="7"/>
      <c r="G113" s="7"/>
      <c r="H113" s="7"/>
      <c r="I113" s="7">
        <v>53582</v>
      </c>
    </row>
    <row r="114" spans="1:9" ht="15" customHeight="1">
      <c r="A114" s="7">
        <v>113</v>
      </c>
      <c r="B114" s="7">
        <v>2119</v>
      </c>
      <c r="C114" s="7">
        <v>3016</v>
      </c>
      <c r="D114" s="7">
        <v>3832</v>
      </c>
      <c r="E114" s="10">
        <v>9926</v>
      </c>
      <c r="F114" s="7"/>
      <c r="G114" s="7"/>
      <c r="H114" s="7"/>
      <c r="I114" s="7">
        <v>54150</v>
      </c>
    </row>
    <row r="115" spans="1:9" ht="15" customHeight="1">
      <c r="A115" s="7">
        <v>114</v>
      </c>
      <c r="B115" s="7">
        <v>2185</v>
      </c>
      <c r="C115" s="7">
        <v>3082</v>
      </c>
      <c r="D115" s="7">
        <v>3934</v>
      </c>
      <c r="E115" s="10">
        <v>10136</v>
      </c>
      <c r="F115" s="7"/>
      <c r="G115" s="7"/>
      <c r="H115" s="7"/>
      <c r="I115" s="7">
        <v>54718</v>
      </c>
    </row>
    <row r="116" spans="1:9" ht="15" customHeight="1">
      <c r="A116" s="7">
        <v>115</v>
      </c>
      <c r="B116" s="7">
        <v>2255</v>
      </c>
      <c r="C116" s="7">
        <v>3152</v>
      </c>
      <c r="D116" s="7">
        <v>4042</v>
      </c>
      <c r="E116" s="10">
        <v>10355</v>
      </c>
      <c r="F116" s="7"/>
      <c r="G116" s="7"/>
      <c r="H116" s="7"/>
      <c r="I116" s="7">
        <v>56518</v>
      </c>
    </row>
    <row r="117" spans="1:9" ht="15" customHeight="1">
      <c r="A117" s="7">
        <v>116</v>
      </c>
      <c r="B117" s="7">
        <v>2325</v>
      </c>
      <c r="C117" s="7">
        <v>3222</v>
      </c>
      <c r="D117" s="7">
        <v>4150</v>
      </c>
      <c r="E117" s="10">
        <v>10574</v>
      </c>
      <c r="F117" s="7"/>
      <c r="G117" s="7"/>
      <c r="H117" s="7"/>
      <c r="I117" s="7">
        <v>57492</v>
      </c>
    </row>
    <row r="118" spans="1:9" ht="15" customHeight="1">
      <c r="A118" s="7">
        <v>117</v>
      </c>
      <c r="B118" s="7">
        <v>2396</v>
      </c>
      <c r="C118" s="7">
        <v>3292</v>
      </c>
      <c r="D118" s="7">
        <v>4259</v>
      </c>
      <c r="E118" s="10">
        <v>10794</v>
      </c>
      <c r="F118" s="7"/>
      <c r="G118" s="7"/>
      <c r="H118" s="7"/>
      <c r="I118" s="7">
        <v>58466</v>
      </c>
    </row>
    <row r="119" spans="1:9" ht="15" customHeight="1">
      <c r="A119" s="7">
        <v>118</v>
      </c>
      <c r="B119" s="7">
        <v>2471</v>
      </c>
      <c r="C119" s="7">
        <v>3367</v>
      </c>
      <c r="D119" s="7">
        <v>4374</v>
      </c>
      <c r="E119" s="10">
        <v>11023</v>
      </c>
      <c r="F119" s="7"/>
      <c r="G119" s="7"/>
      <c r="H119" s="7"/>
      <c r="I119" s="7">
        <v>59440</v>
      </c>
    </row>
    <row r="120" spans="1:9" ht="15" customHeight="1">
      <c r="A120" s="7">
        <v>119</v>
      </c>
      <c r="B120" s="7">
        <v>2546</v>
      </c>
      <c r="C120" s="7">
        <v>3442</v>
      </c>
      <c r="D120" s="7">
        <v>4489</v>
      </c>
      <c r="E120" s="10">
        <v>11252</v>
      </c>
      <c r="F120" s="7"/>
      <c r="G120" s="7"/>
      <c r="H120" s="7"/>
      <c r="I120" s="7">
        <v>60414</v>
      </c>
    </row>
    <row r="121" spans="1:9" ht="15" customHeight="1">
      <c r="A121" s="7">
        <v>120</v>
      </c>
      <c r="B121" s="7">
        <v>2622</v>
      </c>
      <c r="C121" s="7">
        <v>3517</v>
      </c>
      <c r="D121" s="7">
        <v>4605</v>
      </c>
      <c r="E121" s="10">
        <v>11482</v>
      </c>
      <c r="F121" s="7"/>
      <c r="G121" s="7"/>
      <c r="H121" s="7"/>
      <c r="I121" s="7">
        <v>61388</v>
      </c>
    </row>
    <row r="122" spans="1:9" ht="15" customHeight="1">
      <c r="A122" s="7">
        <v>121</v>
      </c>
      <c r="B122" s="7">
        <v>2701</v>
      </c>
      <c r="C122" s="7">
        <v>3597</v>
      </c>
      <c r="D122" s="7">
        <v>4721</v>
      </c>
      <c r="E122" s="10">
        <v>11721</v>
      </c>
      <c r="F122" s="7"/>
      <c r="G122" s="7"/>
      <c r="H122" s="7"/>
      <c r="I122" s="7">
        <v>62362</v>
      </c>
    </row>
    <row r="123" spans="1:9" ht="15" customHeight="1">
      <c r="A123" s="7">
        <v>122</v>
      </c>
      <c r="B123" s="7">
        <v>2782</v>
      </c>
      <c r="C123" s="7">
        <v>3677</v>
      </c>
      <c r="D123" s="7">
        <v>4837</v>
      </c>
      <c r="E123" s="10">
        <v>11960</v>
      </c>
      <c r="F123" s="7"/>
      <c r="G123" s="7"/>
      <c r="H123" s="7"/>
      <c r="I123" s="7">
        <f>I122+974</f>
        <v>63336</v>
      </c>
    </row>
    <row r="124" spans="1:9" ht="15" customHeight="1">
      <c r="A124" s="7">
        <v>123</v>
      </c>
      <c r="B124" s="7">
        <v>2863</v>
      </c>
      <c r="C124" s="7">
        <v>3757</v>
      </c>
      <c r="D124" s="7">
        <v>4953</v>
      </c>
      <c r="E124" s="10">
        <v>12200</v>
      </c>
      <c r="F124" s="7"/>
      <c r="G124" s="7"/>
      <c r="H124" s="7"/>
      <c r="I124" s="7">
        <f t="shared" ref="I124" si="12">I123+974</f>
        <v>64310</v>
      </c>
    </row>
    <row r="125" spans="1:9" ht="15" customHeight="1">
      <c r="A125" s="7">
        <v>124</v>
      </c>
      <c r="B125" s="7">
        <v>2944</v>
      </c>
      <c r="C125" s="7">
        <v>3842</v>
      </c>
      <c r="D125" s="7">
        <v>5069</v>
      </c>
      <c r="E125" s="10">
        <v>12449</v>
      </c>
      <c r="F125" s="7"/>
      <c r="G125" s="7"/>
      <c r="H125" s="7"/>
      <c r="I125" s="7">
        <f t="shared" ref="I125:I132" si="13">I124+974</f>
        <v>65284</v>
      </c>
    </row>
    <row r="126" spans="1:9" ht="15" customHeight="1">
      <c r="A126" s="7">
        <v>125</v>
      </c>
      <c r="B126" s="7">
        <v>3025</v>
      </c>
      <c r="C126" s="7">
        <v>3927</v>
      </c>
      <c r="D126" s="7">
        <v>5185</v>
      </c>
      <c r="E126" s="10">
        <v>12698</v>
      </c>
      <c r="F126" s="7"/>
      <c r="G126" s="7"/>
      <c r="H126" s="7"/>
      <c r="I126" s="7">
        <f t="shared" si="13"/>
        <v>66258</v>
      </c>
    </row>
    <row r="127" spans="1:9" ht="15" customHeight="1">
      <c r="A127" s="7">
        <v>126</v>
      </c>
      <c r="B127" s="7">
        <v>3106</v>
      </c>
      <c r="C127" s="7">
        <v>4012</v>
      </c>
      <c r="D127" s="7">
        <v>5301</v>
      </c>
      <c r="E127" s="10">
        <v>12948</v>
      </c>
      <c r="F127" s="7"/>
      <c r="G127" s="7"/>
      <c r="H127" s="7"/>
      <c r="I127" s="7">
        <f t="shared" si="13"/>
        <v>67232</v>
      </c>
    </row>
    <row r="128" spans="1:9" ht="15" customHeight="1">
      <c r="A128" s="7">
        <v>127</v>
      </c>
      <c r="B128" s="7">
        <v>3187</v>
      </c>
      <c r="C128" s="7">
        <v>4102</v>
      </c>
      <c r="D128" s="7">
        <v>5417</v>
      </c>
      <c r="E128" s="10">
        <v>13207</v>
      </c>
      <c r="F128" s="7"/>
      <c r="G128" s="7"/>
      <c r="H128" s="7"/>
      <c r="I128" s="7">
        <f t="shared" si="13"/>
        <v>68206</v>
      </c>
    </row>
    <row r="129" spans="1:9" ht="15" customHeight="1">
      <c r="A129" s="7">
        <v>128</v>
      </c>
      <c r="B129" s="7">
        <v>3268</v>
      </c>
      <c r="C129" s="7">
        <v>4192</v>
      </c>
      <c r="D129" s="7">
        <v>5533</v>
      </c>
      <c r="E129" s="10">
        <v>13466</v>
      </c>
      <c r="F129" s="7"/>
      <c r="G129" s="7"/>
      <c r="H129" s="7"/>
      <c r="I129" s="7">
        <f t="shared" si="13"/>
        <v>69180</v>
      </c>
    </row>
    <row r="130" spans="1:9" ht="15" customHeight="1">
      <c r="A130" s="7">
        <v>129</v>
      </c>
      <c r="B130" s="7">
        <v>3349</v>
      </c>
      <c r="C130" s="7">
        <v>4282</v>
      </c>
      <c r="D130" s="7">
        <v>5649</v>
      </c>
      <c r="E130" s="10">
        <v>13726</v>
      </c>
      <c r="F130" s="7"/>
      <c r="G130" s="7"/>
      <c r="H130" s="7"/>
      <c r="I130" s="7">
        <f t="shared" si="13"/>
        <v>70154</v>
      </c>
    </row>
    <row r="131" spans="1:9" ht="15" customHeight="1">
      <c r="A131" s="7">
        <v>130</v>
      </c>
      <c r="B131" s="7">
        <v>3430</v>
      </c>
      <c r="C131" s="7">
        <v>4377</v>
      </c>
      <c r="D131" s="7">
        <v>5765</v>
      </c>
      <c r="E131" s="10">
        <v>13986</v>
      </c>
      <c r="F131" s="7"/>
      <c r="G131" s="7"/>
      <c r="H131" s="7"/>
      <c r="I131" s="7">
        <f t="shared" si="13"/>
        <v>71128</v>
      </c>
    </row>
    <row r="132" spans="1:9" ht="15" customHeight="1">
      <c r="A132" s="7">
        <v>131</v>
      </c>
      <c r="B132" s="7">
        <v>3511</v>
      </c>
      <c r="C132" s="7">
        <v>4472</v>
      </c>
      <c r="D132" s="7">
        <v>5881</v>
      </c>
      <c r="E132" s="10">
        <v>14246</v>
      </c>
      <c r="F132" s="7"/>
      <c r="G132" s="7"/>
      <c r="H132" s="7"/>
      <c r="I132" s="7">
        <f t="shared" si="13"/>
        <v>72102</v>
      </c>
    </row>
    <row r="133" spans="1:9" ht="15" customHeight="1">
      <c r="A133" s="7">
        <v>132</v>
      </c>
      <c r="B133" s="7">
        <v>3592</v>
      </c>
      <c r="C133" s="7">
        <v>4567</v>
      </c>
      <c r="D133" s="7">
        <v>5997</v>
      </c>
      <c r="E133" s="10">
        <v>14506</v>
      </c>
      <c r="F133" s="7"/>
      <c r="G133" s="7"/>
      <c r="H133" s="7"/>
      <c r="I133" s="7">
        <v>73076</v>
      </c>
    </row>
    <row r="134" spans="1:9" ht="15" customHeight="1">
      <c r="A134" s="7">
        <v>133</v>
      </c>
      <c r="B134" s="7">
        <v>3673</v>
      </c>
      <c r="C134" s="7">
        <v>4663</v>
      </c>
      <c r="D134" s="7">
        <v>6113</v>
      </c>
      <c r="E134" s="10">
        <v>14766</v>
      </c>
      <c r="F134" s="7"/>
      <c r="G134" s="7"/>
      <c r="H134" s="7"/>
      <c r="I134" s="7"/>
    </row>
    <row r="135" spans="1:9" ht="15" customHeight="1">
      <c r="A135" s="7">
        <v>134</v>
      </c>
      <c r="B135" s="7">
        <v>3754</v>
      </c>
      <c r="C135" s="7">
        <v>4759</v>
      </c>
      <c r="D135" s="7">
        <v>6229</v>
      </c>
      <c r="E135" s="10">
        <v>15031</v>
      </c>
      <c r="F135" s="7"/>
      <c r="G135" s="7"/>
      <c r="H135" s="7"/>
      <c r="I135" s="7"/>
    </row>
    <row r="136" spans="1:9" ht="15" customHeight="1">
      <c r="A136" s="7">
        <v>135</v>
      </c>
      <c r="B136" s="7">
        <v>3835</v>
      </c>
      <c r="C136" s="7">
        <v>4855</v>
      </c>
      <c r="D136" s="7">
        <v>6345</v>
      </c>
      <c r="E136" s="10">
        <v>15286</v>
      </c>
      <c r="F136" s="7"/>
      <c r="G136" s="7"/>
      <c r="H136" s="7"/>
      <c r="I136" s="7"/>
    </row>
    <row r="137" spans="1:9" ht="15" customHeight="1">
      <c r="A137" s="7">
        <v>136</v>
      </c>
      <c r="B137" s="7">
        <v>3916</v>
      </c>
      <c r="C137" s="7">
        <v>4951</v>
      </c>
      <c r="D137" s="7">
        <v>6461</v>
      </c>
      <c r="E137" s="10">
        <v>15546</v>
      </c>
      <c r="F137" s="7"/>
      <c r="G137" s="7"/>
      <c r="H137" s="7"/>
      <c r="I137" s="7"/>
    </row>
    <row r="138" spans="1:9" ht="15" customHeight="1">
      <c r="A138" s="7">
        <v>137</v>
      </c>
      <c r="B138" s="7">
        <v>3997</v>
      </c>
      <c r="C138" s="7">
        <v>5047</v>
      </c>
      <c r="D138" s="7">
        <v>6577</v>
      </c>
      <c r="E138" s="10">
        <v>15806</v>
      </c>
      <c r="F138" s="7"/>
      <c r="G138" s="7"/>
      <c r="H138" s="7"/>
      <c r="I138" s="7"/>
    </row>
    <row r="139" spans="1:9" ht="15" customHeight="1">
      <c r="A139" s="7">
        <v>138</v>
      </c>
      <c r="B139" s="7">
        <v>4078</v>
      </c>
      <c r="C139" s="7">
        <v>5143</v>
      </c>
      <c r="D139" s="7">
        <v>6693</v>
      </c>
      <c r="E139" s="10">
        <v>16066</v>
      </c>
      <c r="F139" s="7"/>
      <c r="G139" s="7"/>
      <c r="H139" s="7"/>
      <c r="I139" s="7"/>
    </row>
    <row r="140" spans="1:9" ht="15" customHeight="1">
      <c r="A140" s="7">
        <v>139</v>
      </c>
      <c r="B140" s="7">
        <v>4159</v>
      </c>
      <c r="C140" s="7">
        <v>5239</v>
      </c>
      <c r="D140" s="7">
        <v>6809</v>
      </c>
      <c r="E140" s="10">
        <v>16326</v>
      </c>
      <c r="F140" s="7"/>
      <c r="G140" s="7"/>
      <c r="H140" s="7"/>
      <c r="I140" s="7"/>
    </row>
    <row r="141" spans="1:9" ht="15" customHeight="1">
      <c r="A141" s="7">
        <v>140</v>
      </c>
      <c r="B141" s="7">
        <v>4240</v>
      </c>
      <c r="C141" s="7">
        <v>5335</v>
      </c>
      <c r="D141" s="7">
        <v>6925</v>
      </c>
      <c r="E141" s="10">
        <v>16586</v>
      </c>
      <c r="F141" s="7"/>
      <c r="G141" s="7"/>
      <c r="H141" s="7"/>
      <c r="I141" s="7"/>
    </row>
    <row r="142" spans="1:9" ht="15" customHeight="1">
      <c r="A142" s="7">
        <v>141</v>
      </c>
      <c r="B142" s="7">
        <v>4321</v>
      </c>
      <c r="C142" s="7">
        <v>5431</v>
      </c>
      <c r="D142" s="7">
        <v>7041</v>
      </c>
      <c r="E142" s="10">
        <v>16846</v>
      </c>
      <c r="F142" s="7"/>
      <c r="G142" s="7"/>
      <c r="H142" s="7"/>
      <c r="I142" s="7"/>
    </row>
    <row r="143" spans="1:9" ht="15" customHeight="1">
      <c r="A143" s="7">
        <v>142</v>
      </c>
      <c r="B143" s="7">
        <v>4402</v>
      </c>
      <c r="C143" s="7">
        <v>5527</v>
      </c>
      <c r="D143" s="7">
        <v>7157</v>
      </c>
      <c r="E143" s="10">
        <v>17126</v>
      </c>
      <c r="F143" s="7"/>
      <c r="G143" s="7"/>
      <c r="H143" s="7"/>
      <c r="I143" s="7"/>
    </row>
    <row r="144" spans="1:9" ht="15" customHeight="1">
      <c r="A144" s="7">
        <v>143</v>
      </c>
      <c r="B144" s="7">
        <v>4483</v>
      </c>
      <c r="C144" s="7">
        <v>5623</v>
      </c>
      <c r="D144" s="7">
        <v>7273</v>
      </c>
      <c r="E144" s="10">
        <v>17406</v>
      </c>
      <c r="F144" s="7"/>
      <c r="G144" s="7"/>
      <c r="H144" s="7"/>
      <c r="I144" s="7"/>
    </row>
    <row r="145" spans="1:9" ht="15" customHeight="1">
      <c r="A145" s="7">
        <v>144</v>
      </c>
      <c r="B145" s="7">
        <v>4564</v>
      </c>
      <c r="C145" s="7">
        <v>5719</v>
      </c>
      <c r="D145" s="7">
        <v>7389</v>
      </c>
      <c r="E145" s="10">
        <v>17686</v>
      </c>
      <c r="F145" s="7"/>
      <c r="G145" s="7"/>
      <c r="H145" s="7"/>
      <c r="I145" s="7"/>
    </row>
    <row r="146" spans="1:9" ht="15" customHeight="1">
      <c r="A146" s="7">
        <v>145</v>
      </c>
      <c r="B146" s="7">
        <v>4645</v>
      </c>
      <c r="C146" s="7">
        <v>5815</v>
      </c>
      <c r="D146" s="7">
        <v>7505</v>
      </c>
      <c r="E146" s="10">
        <v>17966</v>
      </c>
      <c r="F146" s="7"/>
      <c r="G146" s="7"/>
      <c r="H146" s="7"/>
      <c r="I146" s="7"/>
    </row>
    <row r="147" spans="1:9" ht="15" customHeight="1">
      <c r="A147" s="7">
        <v>146</v>
      </c>
      <c r="B147" s="7">
        <v>4726</v>
      </c>
      <c r="C147" s="7">
        <v>5911</v>
      </c>
      <c r="D147" s="7">
        <v>7621</v>
      </c>
      <c r="E147" s="10">
        <v>18246</v>
      </c>
      <c r="F147" s="7"/>
      <c r="G147" s="7"/>
      <c r="H147" s="7"/>
      <c r="I147" s="7"/>
    </row>
    <row r="148" spans="1:9" ht="15" customHeight="1">
      <c r="A148" s="7">
        <v>147</v>
      </c>
      <c r="B148" s="7">
        <v>4807</v>
      </c>
      <c r="C148" s="7">
        <v>6007</v>
      </c>
      <c r="D148" s="7">
        <v>7737</v>
      </c>
      <c r="E148" s="10">
        <v>18526</v>
      </c>
      <c r="F148" s="7"/>
      <c r="G148" s="7"/>
      <c r="H148" s="7"/>
      <c r="I148" s="7"/>
    </row>
    <row r="149" spans="1:9" ht="15" customHeight="1">
      <c r="A149" s="7">
        <v>148</v>
      </c>
      <c r="B149" s="7">
        <v>4888</v>
      </c>
      <c r="C149" s="7">
        <v>6103</v>
      </c>
      <c r="D149" s="7">
        <v>7853</v>
      </c>
      <c r="E149" s="10">
        <v>18806</v>
      </c>
      <c r="F149" s="7"/>
      <c r="G149" s="7"/>
      <c r="H149" s="7"/>
      <c r="I149" s="7"/>
    </row>
    <row r="150" spans="1:9" ht="15" customHeight="1">
      <c r="A150" s="7">
        <v>149</v>
      </c>
      <c r="B150" s="7">
        <v>4969</v>
      </c>
      <c r="C150" s="7">
        <v>6199</v>
      </c>
      <c r="D150" s="7">
        <v>7969</v>
      </c>
      <c r="E150" s="10">
        <v>19086</v>
      </c>
      <c r="F150" s="7"/>
      <c r="G150" s="7"/>
      <c r="H150" s="7"/>
      <c r="I150" s="7"/>
    </row>
    <row r="151" spans="1:9" ht="15" customHeight="1">
      <c r="A151" s="7">
        <v>150</v>
      </c>
      <c r="B151" s="7">
        <v>5050</v>
      </c>
      <c r="C151" s="7">
        <v>6295</v>
      </c>
      <c r="D151" s="7">
        <v>8085</v>
      </c>
      <c r="E151" s="10">
        <v>19366</v>
      </c>
      <c r="F151" s="7"/>
      <c r="G151" s="7"/>
      <c r="H151" s="7"/>
      <c r="I151" s="7"/>
    </row>
    <row r="152" spans="1:9" ht="15" customHeight="1">
      <c r="A152" s="7">
        <v>151</v>
      </c>
      <c r="B152" s="7">
        <v>5131</v>
      </c>
      <c r="C152" s="7">
        <v>6391</v>
      </c>
      <c r="D152" s="7">
        <v>8201</v>
      </c>
      <c r="E152" s="10">
        <v>19646</v>
      </c>
      <c r="F152" s="7"/>
      <c r="G152" s="7"/>
      <c r="H152" s="7"/>
      <c r="I152" s="7"/>
    </row>
    <row r="153" spans="1:9" ht="15" customHeight="1">
      <c r="A153" s="7">
        <v>152</v>
      </c>
      <c r="B153" s="7">
        <v>5212</v>
      </c>
      <c r="C153" s="7">
        <v>6487</v>
      </c>
      <c r="D153" s="7">
        <v>8317</v>
      </c>
      <c r="E153" s="10">
        <v>19926</v>
      </c>
      <c r="F153" s="7"/>
      <c r="G153" s="7"/>
      <c r="H153" s="7"/>
      <c r="I153" s="7"/>
    </row>
    <row r="154" spans="1:9" ht="15" customHeight="1">
      <c r="A154" s="7">
        <v>153</v>
      </c>
      <c r="B154" s="7">
        <v>5293</v>
      </c>
      <c r="C154" s="7">
        <v>6583</v>
      </c>
      <c r="D154" s="7">
        <v>8433</v>
      </c>
      <c r="E154" s="10">
        <v>20206</v>
      </c>
      <c r="F154" s="7"/>
      <c r="G154" s="7"/>
      <c r="H154" s="7"/>
      <c r="I154" s="7"/>
    </row>
    <row r="155" spans="1:9" ht="15" customHeight="1">
      <c r="A155" s="7">
        <v>154</v>
      </c>
      <c r="B155" s="7">
        <v>5374</v>
      </c>
      <c r="C155" s="7">
        <v>6679</v>
      </c>
      <c r="D155" s="7">
        <v>8549</v>
      </c>
      <c r="E155" s="10">
        <v>20486</v>
      </c>
      <c r="F155" s="7"/>
      <c r="G155" s="7"/>
      <c r="H155" s="7"/>
      <c r="I155" s="7"/>
    </row>
    <row r="156" spans="1:9" ht="15" customHeight="1">
      <c r="A156" s="7">
        <v>155</v>
      </c>
      <c r="B156" s="7">
        <v>5455</v>
      </c>
      <c r="C156" s="7">
        <v>6775</v>
      </c>
      <c r="D156" s="7">
        <v>8665</v>
      </c>
      <c r="E156" s="10">
        <v>20786</v>
      </c>
      <c r="F156" s="7"/>
      <c r="G156" s="7"/>
      <c r="H156" s="7"/>
      <c r="I156" s="7"/>
    </row>
    <row r="157" spans="1:9" ht="15" customHeight="1">
      <c r="A157" s="7">
        <v>156</v>
      </c>
      <c r="B157" s="7">
        <v>5536</v>
      </c>
      <c r="C157" s="7">
        <v>6871</v>
      </c>
      <c r="D157" s="7">
        <v>8781</v>
      </c>
      <c r="E157" s="10">
        <v>21086</v>
      </c>
      <c r="F157" s="7"/>
      <c r="G157" s="7"/>
      <c r="H157" s="7"/>
      <c r="I157" s="7"/>
    </row>
    <row r="158" spans="1:9" ht="15" customHeight="1">
      <c r="A158" s="7">
        <v>157</v>
      </c>
      <c r="B158" s="7">
        <v>5617</v>
      </c>
      <c r="C158" s="7">
        <v>6967</v>
      </c>
      <c r="D158" s="7">
        <v>8897</v>
      </c>
      <c r="E158" s="10">
        <v>21386</v>
      </c>
      <c r="F158" s="7"/>
      <c r="G158" s="7"/>
      <c r="H158" s="7"/>
      <c r="I158" s="7"/>
    </row>
    <row r="159" spans="1:9" ht="15" customHeight="1">
      <c r="A159" s="7">
        <v>158</v>
      </c>
      <c r="B159" s="7">
        <v>5698</v>
      </c>
      <c r="C159" s="7">
        <v>7063</v>
      </c>
      <c r="D159" s="7">
        <v>9013</v>
      </c>
      <c r="E159" s="10">
        <v>21686</v>
      </c>
      <c r="F159" s="7"/>
      <c r="G159" s="7"/>
      <c r="H159" s="7"/>
      <c r="I159" s="7"/>
    </row>
    <row r="160" spans="1:9" ht="15" customHeight="1">
      <c r="A160" s="7">
        <v>159</v>
      </c>
      <c r="B160" s="7">
        <v>5779</v>
      </c>
      <c r="C160" s="7">
        <v>7159</v>
      </c>
      <c r="D160" s="7">
        <v>9129</v>
      </c>
      <c r="E160" s="10">
        <v>21986</v>
      </c>
      <c r="F160" s="7"/>
      <c r="G160" s="7"/>
      <c r="H160" s="7"/>
      <c r="I160" s="7"/>
    </row>
    <row r="161" spans="1:9" ht="15" customHeight="1">
      <c r="A161" s="7">
        <v>160</v>
      </c>
      <c r="B161" s="7">
        <v>5860</v>
      </c>
      <c r="C161" s="7">
        <v>7255</v>
      </c>
      <c r="D161" s="7">
        <v>9245</v>
      </c>
      <c r="E161" s="10">
        <v>22286</v>
      </c>
      <c r="F161" s="7"/>
      <c r="G161" s="7"/>
      <c r="H161" s="7"/>
      <c r="I161" s="7"/>
    </row>
    <row r="162" spans="1:9" ht="15" customHeight="1">
      <c r="A162" s="7">
        <v>161</v>
      </c>
      <c r="B162" s="7">
        <v>5941</v>
      </c>
      <c r="C162" s="7">
        <v>7351</v>
      </c>
      <c r="D162" s="7">
        <v>9361</v>
      </c>
      <c r="E162" s="10">
        <v>22586</v>
      </c>
      <c r="F162" s="7"/>
      <c r="G162" s="7"/>
      <c r="H162" s="7"/>
      <c r="I162" s="7"/>
    </row>
    <row r="163" spans="1:9" ht="15" customHeight="1">
      <c r="A163" s="7">
        <v>162</v>
      </c>
      <c r="B163" s="7">
        <v>6022</v>
      </c>
      <c r="C163" s="7">
        <v>7447</v>
      </c>
      <c r="D163" s="7">
        <v>9477</v>
      </c>
      <c r="E163" s="10">
        <v>22886</v>
      </c>
      <c r="F163" s="7"/>
      <c r="G163" s="7"/>
      <c r="H163" s="7"/>
      <c r="I163" s="7"/>
    </row>
    <row r="164" spans="1:9" ht="15" customHeight="1">
      <c r="A164" s="7">
        <v>163</v>
      </c>
      <c r="B164" s="7">
        <v>6103</v>
      </c>
      <c r="C164" s="7">
        <v>7543</v>
      </c>
      <c r="D164" s="7">
        <v>9593</v>
      </c>
      <c r="E164" s="10">
        <v>23186</v>
      </c>
      <c r="F164" s="7"/>
      <c r="G164" s="7"/>
      <c r="H164" s="7"/>
      <c r="I164" s="7"/>
    </row>
    <row r="165" spans="1:9" ht="15" customHeight="1">
      <c r="A165" s="7">
        <v>164</v>
      </c>
      <c r="B165" s="7">
        <v>6184</v>
      </c>
      <c r="C165" s="7">
        <v>7639</v>
      </c>
      <c r="D165" s="7">
        <v>9709</v>
      </c>
      <c r="E165" s="10">
        <v>23486</v>
      </c>
      <c r="F165" s="7"/>
      <c r="G165" s="7"/>
      <c r="H165" s="7"/>
      <c r="I165" s="7"/>
    </row>
    <row r="166" spans="1:9" ht="15" customHeight="1">
      <c r="A166" s="7">
        <v>165</v>
      </c>
      <c r="B166" s="7">
        <v>6265</v>
      </c>
      <c r="C166" s="7">
        <v>7735</v>
      </c>
      <c r="D166" s="7">
        <v>9825</v>
      </c>
      <c r="E166" s="10">
        <v>23786</v>
      </c>
      <c r="F166" s="7"/>
      <c r="G166" s="7"/>
      <c r="H166" s="7"/>
      <c r="I166" s="7"/>
    </row>
    <row r="167" spans="1:9" ht="15" customHeight="1">
      <c r="A167" s="7">
        <v>166</v>
      </c>
      <c r="B167" s="7">
        <v>6346</v>
      </c>
      <c r="C167" s="7">
        <v>7831</v>
      </c>
      <c r="D167" s="7">
        <v>9941</v>
      </c>
      <c r="E167" s="10">
        <v>24086</v>
      </c>
      <c r="F167" s="7"/>
      <c r="G167" s="7"/>
      <c r="H167" s="7"/>
      <c r="I167" s="7"/>
    </row>
    <row r="168" spans="1:9" ht="15" customHeight="1">
      <c r="A168" s="7">
        <v>167</v>
      </c>
      <c r="B168" s="7">
        <v>6427</v>
      </c>
      <c r="C168" s="7">
        <v>7927</v>
      </c>
      <c r="D168" s="7">
        <v>10057</v>
      </c>
      <c r="E168" s="10">
        <v>24386</v>
      </c>
      <c r="F168" s="7"/>
      <c r="G168" s="7"/>
      <c r="H168" s="7"/>
      <c r="I168" s="7"/>
    </row>
    <row r="169" spans="1:9" ht="15" customHeight="1">
      <c r="A169" s="7">
        <v>168</v>
      </c>
      <c r="B169" s="7">
        <v>6508</v>
      </c>
      <c r="C169" s="7">
        <v>8023</v>
      </c>
      <c r="D169" s="7">
        <v>10173</v>
      </c>
      <c r="E169" s="10">
        <v>24706</v>
      </c>
      <c r="F169" s="7"/>
      <c r="G169" s="7"/>
      <c r="H169" s="7"/>
      <c r="I169" s="7"/>
    </row>
    <row r="170" spans="1:9" ht="15" customHeight="1">
      <c r="A170" s="7">
        <v>169</v>
      </c>
      <c r="B170" s="7">
        <v>6589</v>
      </c>
      <c r="C170" s="7">
        <v>8119</v>
      </c>
      <c r="D170" s="7">
        <v>10289</v>
      </c>
      <c r="E170" s="10">
        <v>25026</v>
      </c>
      <c r="F170" s="7"/>
      <c r="G170" s="7"/>
      <c r="H170" s="7"/>
      <c r="I170" s="7"/>
    </row>
    <row r="171" spans="1:9" ht="15" customHeight="1">
      <c r="A171" s="7">
        <v>170</v>
      </c>
      <c r="B171" s="7">
        <v>6670</v>
      </c>
      <c r="C171" s="7">
        <v>8215</v>
      </c>
      <c r="D171" s="7">
        <v>10405</v>
      </c>
      <c r="E171" s="10">
        <v>25346</v>
      </c>
      <c r="F171" s="7"/>
      <c r="G171" s="7"/>
      <c r="H171" s="7"/>
      <c r="I171" s="7"/>
    </row>
    <row r="172" spans="1:9" ht="15" customHeight="1">
      <c r="A172" s="7">
        <v>171</v>
      </c>
      <c r="B172" s="7">
        <v>6751</v>
      </c>
      <c r="C172" s="7">
        <v>8311</v>
      </c>
      <c r="D172" s="7">
        <v>10521</v>
      </c>
      <c r="E172" s="10">
        <v>25666</v>
      </c>
      <c r="F172" s="7"/>
      <c r="G172" s="7"/>
      <c r="H172" s="7"/>
      <c r="I172" s="7"/>
    </row>
    <row r="173" spans="1:9" ht="15" customHeight="1">
      <c r="A173" s="7">
        <v>172</v>
      </c>
      <c r="B173" s="7">
        <v>6832</v>
      </c>
      <c r="C173" s="7">
        <v>8407</v>
      </c>
      <c r="D173" s="7">
        <v>10637</v>
      </c>
      <c r="E173" s="10">
        <v>25986</v>
      </c>
      <c r="F173" s="7"/>
      <c r="G173" s="7"/>
      <c r="H173" s="7"/>
      <c r="I173" s="7"/>
    </row>
    <row r="174" spans="1:9" ht="15" customHeight="1">
      <c r="A174" s="7">
        <v>173</v>
      </c>
      <c r="B174" s="7">
        <v>6913</v>
      </c>
      <c r="C174" s="7">
        <v>8503</v>
      </c>
      <c r="D174" s="7">
        <v>10753</v>
      </c>
      <c r="E174" s="10">
        <v>26306</v>
      </c>
      <c r="F174" s="7"/>
      <c r="G174" s="7"/>
      <c r="H174" s="7"/>
      <c r="I174" s="7"/>
    </row>
    <row r="175" spans="1:9" ht="15" customHeight="1">
      <c r="A175" s="7">
        <v>174</v>
      </c>
      <c r="B175" s="7">
        <v>6994</v>
      </c>
      <c r="C175" s="7">
        <v>8599</v>
      </c>
      <c r="D175" s="7">
        <v>10869</v>
      </c>
      <c r="E175" s="10">
        <v>26626</v>
      </c>
      <c r="F175" s="7"/>
      <c r="G175" s="7"/>
      <c r="H175" s="7"/>
      <c r="I175" s="7"/>
    </row>
    <row r="176" spans="1:9" ht="15" customHeight="1">
      <c r="A176" s="7">
        <v>175</v>
      </c>
      <c r="B176" s="7">
        <v>7075</v>
      </c>
      <c r="C176" s="7">
        <v>8695</v>
      </c>
      <c r="D176" s="7">
        <v>10985</v>
      </c>
      <c r="E176" s="10">
        <v>26946</v>
      </c>
      <c r="F176" s="7"/>
      <c r="G176" s="7"/>
      <c r="H176" s="7"/>
      <c r="I176" s="7"/>
    </row>
    <row r="177" spans="1:9" ht="15" customHeight="1">
      <c r="A177" s="7">
        <v>176</v>
      </c>
      <c r="B177" s="7">
        <v>7156</v>
      </c>
      <c r="C177" s="7">
        <v>8791</v>
      </c>
      <c r="D177" s="7">
        <v>11101</v>
      </c>
      <c r="E177" s="10">
        <v>27266</v>
      </c>
      <c r="F177" s="7"/>
      <c r="G177" s="7"/>
      <c r="H177" s="7"/>
      <c r="I177" s="7"/>
    </row>
    <row r="178" spans="1:9" ht="15" customHeight="1">
      <c r="A178" s="7">
        <v>177</v>
      </c>
      <c r="B178" s="7">
        <v>7237</v>
      </c>
      <c r="C178" s="7">
        <v>8887</v>
      </c>
      <c r="D178" s="7">
        <v>11217</v>
      </c>
      <c r="E178" s="10">
        <v>27586</v>
      </c>
      <c r="F178" s="7"/>
      <c r="G178" s="7"/>
      <c r="H178" s="7"/>
      <c r="I178" s="7"/>
    </row>
    <row r="179" spans="1:9" ht="15" customHeight="1">
      <c r="A179" s="7">
        <v>178</v>
      </c>
      <c r="B179" s="7">
        <v>7318</v>
      </c>
      <c r="C179" s="7">
        <v>8983</v>
      </c>
      <c r="D179" s="7">
        <v>11333</v>
      </c>
      <c r="E179" s="10">
        <v>27906</v>
      </c>
      <c r="F179" s="7"/>
      <c r="G179" s="7"/>
      <c r="H179" s="7"/>
      <c r="I179" s="7"/>
    </row>
    <row r="180" spans="1:9" ht="15" customHeight="1">
      <c r="A180" s="7">
        <v>179</v>
      </c>
      <c r="B180" s="7">
        <v>7399</v>
      </c>
      <c r="C180" s="7">
        <v>9079</v>
      </c>
      <c r="D180" s="7">
        <v>11449</v>
      </c>
      <c r="E180" s="10">
        <v>28226</v>
      </c>
      <c r="F180" s="7"/>
      <c r="G180" s="7"/>
      <c r="H180" s="7"/>
      <c r="I180" s="7"/>
    </row>
    <row r="181" spans="1:9" ht="15" customHeight="1">
      <c r="A181" s="7">
        <v>180</v>
      </c>
      <c r="B181" s="7">
        <v>7480</v>
      </c>
      <c r="C181" s="7">
        <v>9175</v>
      </c>
      <c r="D181" s="7">
        <v>11565</v>
      </c>
      <c r="E181" s="10">
        <v>28546</v>
      </c>
      <c r="F181" s="7"/>
      <c r="G181" s="7"/>
      <c r="H181" s="7"/>
      <c r="I181" s="7"/>
    </row>
    <row r="182" spans="1:9" ht="15" customHeight="1">
      <c r="A182" s="7">
        <v>181</v>
      </c>
      <c r="B182" s="7">
        <v>7561</v>
      </c>
      <c r="C182" s="7">
        <v>9271</v>
      </c>
      <c r="D182" s="7">
        <v>11681</v>
      </c>
      <c r="E182" s="10">
        <v>28866</v>
      </c>
      <c r="F182" s="7"/>
      <c r="G182" s="7"/>
      <c r="H182" s="7"/>
      <c r="I182" s="7"/>
    </row>
    <row r="183" spans="1:9" ht="15" customHeight="1">
      <c r="A183" s="7">
        <v>182</v>
      </c>
      <c r="B183" s="7">
        <v>7642</v>
      </c>
      <c r="C183" s="7">
        <v>9367</v>
      </c>
      <c r="D183" s="7">
        <v>11797</v>
      </c>
      <c r="E183" s="10">
        <v>29186</v>
      </c>
      <c r="F183" s="7"/>
      <c r="G183" s="7"/>
      <c r="H183" s="7"/>
      <c r="I183" s="7"/>
    </row>
    <row r="184" spans="1:9" ht="15" customHeight="1">
      <c r="A184" s="7">
        <v>183</v>
      </c>
      <c r="B184" s="7">
        <v>7723</v>
      </c>
      <c r="C184" s="7">
        <v>9463</v>
      </c>
      <c r="D184" s="7">
        <v>11913</v>
      </c>
      <c r="E184" s="10">
        <v>29506</v>
      </c>
      <c r="F184" s="7"/>
      <c r="G184" s="7"/>
      <c r="H184" s="7"/>
      <c r="I184" s="7"/>
    </row>
    <row r="185" spans="1:9" ht="15" customHeight="1">
      <c r="A185" s="7">
        <v>184</v>
      </c>
      <c r="B185" s="7">
        <v>7804</v>
      </c>
      <c r="C185" s="7">
        <v>9559</v>
      </c>
      <c r="D185" s="7">
        <v>12029</v>
      </c>
      <c r="E185" s="10">
        <v>29846</v>
      </c>
      <c r="F185" s="7"/>
      <c r="G185" s="7"/>
      <c r="H185" s="7"/>
      <c r="I185" s="7"/>
    </row>
    <row r="186" spans="1:9" ht="15" customHeight="1">
      <c r="A186" s="7">
        <v>185</v>
      </c>
      <c r="B186" s="7">
        <v>7885</v>
      </c>
      <c r="C186" s="7">
        <v>9655</v>
      </c>
      <c r="D186" s="7">
        <v>12145</v>
      </c>
      <c r="E186" s="10">
        <v>30186</v>
      </c>
      <c r="F186" s="7"/>
      <c r="G186" s="7"/>
      <c r="H186" s="7"/>
      <c r="I186" s="7"/>
    </row>
    <row r="187" spans="1:9" ht="15" customHeight="1">
      <c r="A187" s="7">
        <v>186</v>
      </c>
      <c r="B187" s="7">
        <v>7966</v>
      </c>
      <c r="C187" s="7">
        <v>9751</v>
      </c>
      <c r="D187" s="7">
        <v>12261</v>
      </c>
      <c r="E187" s="10">
        <v>30526</v>
      </c>
      <c r="F187" s="7"/>
      <c r="G187" s="7"/>
      <c r="H187" s="7"/>
      <c r="I187" s="7"/>
    </row>
    <row r="188" spans="1:9" ht="15" customHeight="1">
      <c r="A188" s="7">
        <v>187</v>
      </c>
      <c r="B188" s="7">
        <v>8047</v>
      </c>
      <c r="C188" s="7">
        <v>9847</v>
      </c>
      <c r="D188" s="7">
        <v>12377</v>
      </c>
      <c r="E188" s="10">
        <v>30866</v>
      </c>
      <c r="F188" s="7"/>
      <c r="G188" s="7"/>
      <c r="H188" s="7"/>
      <c r="I188" s="7"/>
    </row>
    <row r="189" spans="1:9" ht="15" customHeight="1">
      <c r="A189" s="7">
        <v>188</v>
      </c>
      <c r="B189" s="7">
        <v>8128</v>
      </c>
      <c r="C189" s="7">
        <v>9943</v>
      </c>
      <c r="D189" s="7">
        <v>12493</v>
      </c>
      <c r="E189" s="10">
        <v>31206</v>
      </c>
      <c r="F189" s="7"/>
      <c r="G189" s="7"/>
      <c r="H189" s="7"/>
      <c r="I189" s="7"/>
    </row>
    <row r="190" spans="1:9" ht="15" customHeight="1">
      <c r="A190" s="7">
        <v>189</v>
      </c>
      <c r="B190" s="7">
        <v>8209</v>
      </c>
      <c r="C190" s="7">
        <v>10039</v>
      </c>
      <c r="D190" s="7">
        <v>12609</v>
      </c>
      <c r="E190" s="10">
        <v>31546</v>
      </c>
      <c r="F190" s="7"/>
      <c r="G190" s="7"/>
      <c r="H190" s="7"/>
      <c r="I190" s="7"/>
    </row>
    <row r="191" spans="1:9" ht="15" customHeight="1">
      <c r="A191" s="7">
        <v>190</v>
      </c>
      <c r="B191" s="7">
        <v>8290</v>
      </c>
      <c r="C191" s="7">
        <v>10135</v>
      </c>
      <c r="D191" s="7">
        <v>12725</v>
      </c>
      <c r="E191" s="10">
        <v>31886</v>
      </c>
      <c r="F191" s="7"/>
      <c r="G191" s="7"/>
      <c r="H191" s="7"/>
      <c r="I191" s="7"/>
    </row>
    <row r="192" spans="1:9" ht="15" customHeight="1">
      <c r="A192" s="7">
        <v>191</v>
      </c>
      <c r="B192" s="7">
        <v>8371</v>
      </c>
      <c r="C192" s="7">
        <v>10231</v>
      </c>
      <c r="D192" s="7">
        <v>12841</v>
      </c>
      <c r="E192" s="10">
        <v>32226</v>
      </c>
      <c r="F192" s="7"/>
      <c r="G192" s="7"/>
      <c r="H192" s="7"/>
      <c r="I192" s="7"/>
    </row>
    <row r="193" spans="1:9" ht="15" customHeight="1">
      <c r="A193" s="7">
        <v>192</v>
      </c>
      <c r="B193" s="7">
        <v>8452</v>
      </c>
      <c r="C193" s="7">
        <v>10327</v>
      </c>
      <c r="D193" s="7">
        <v>12957</v>
      </c>
      <c r="E193" s="10">
        <v>32566</v>
      </c>
      <c r="F193" s="7"/>
      <c r="G193" s="7"/>
      <c r="H193" s="7"/>
      <c r="I193" s="7"/>
    </row>
    <row r="194" spans="1:9" ht="15" customHeight="1">
      <c r="A194" s="7">
        <v>193</v>
      </c>
      <c r="B194" s="7">
        <v>8533</v>
      </c>
      <c r="C194" s="7">
        <v>10423</v>
      </c>
      <c r="D194" s="7">
        <v>13073</v>
      </c>
      <c r="E194" s="10">
        <v>32906</v>
      </c>
      <c r="F194" s="7"/>
      <c r="G194" s="7"/>
      <c r="H194" s="7"/>
      <c r="I194" s="7"/>
    </row>
    <row r="195" spans="1:9" ht="15" customHeight="1">
      <c r="A195" s="7">
        <v>194</v>
      </c>
      <c r="B195" s="7">
        <v>8614</v>
      </c>
      <c r="C195" s="7">
        <v>10519</v>
      </c>
      <c r="D195" s="7">
        <v>13189</v>
      </c>
      <c r="E195" s="10">
        <v>33246</v>
      </c>
      <c r="F195" s="7"/>
      <c r="G195" s="7"/>
      <c r="H195" s="7"/>
      <c r="I195" s="7"/>
    </row>
    <row r="196" spans="1:9" ht="15" customHeight="1">
      <c r="A196" s="7">
        <v>195</v>
      </c>
      <c r="B196" s="7">
        <v>8695</v>
      </c>
      <c r="C196" s="7">
        <v>10615</v>
      </c>
      <c r="D196" s="7">
        <v>13305</v>
      </c>
      <c r="E196" s="10">
        <v>33586</v>
      </c>
      <c r="F196" s="7"/>
      <c r="G196" s="7"/>
      <c r="H196" s="7"/>
      <c r="I196" s="7"/>
    </row>
    <row r="197" spans="1:9" ht="15" customHeight="1">
      <c r="A197" s="7">
        <v>196</v>
      </c>
      <c r="B197" s="7">
        <v>8776</v>
      </c>
      <c r="C197" s="7">
        <v>10711</v>
      </c>
      <c r="D197" s="7">
        <v>13421</v>
      </c>
      <c r="E197" s="10">
        <v>33926</v>
      </c>
      <c r="F197" s="7"/>
      <c r="G197" s="7"/>
      <c r="H197" s="7"/>
      <c r="I197" s="7"/>
    </row>
    <row r="198" spans="1:9" ht="15" customHeight="1">
      <c r="A198" s="7">
        <v>197</v>
      </c>
      <c r="B198" s="7">
        <v>8857</v>
      </c>
      <c r="C198" s="7">
        <v>10807</v>
      </c>
      <c r="D198" s="7">
        <v>13537</v>
      </c>
      <c r="E198" s="10">
        <v>34266</v>
      </c>
      <c r="F198" s="7"/>
      <c r="G198" s="7"/>
      <c r="H198" s="7"/>
      <c r="I198" s="7"/>
    </row>
    <row r="199" spans="1:9" ht="15" customHeight="1">
      <c r="A199" s="7">
        <v>198</v>
      </c>
      <c r="B199" s="7">
        <v>8938</v>
      </c>
      <c r="C199" s="7">
        <v>10903</v>
      </c>
      <c r="D199" s="7">
        <v>13653</v>
      </c>
      <c r="E199" s="10">
        <v>34626</v>
      </c>
      <c r="F199" s="7"/>
      <c r="G199" s="7"/>
      <c r="H199" s="7"/>
      <c r="I199" s="7"/>
    </row>
    <row r="200" spans="1:9" ht="15" customHeight="1">
      <c r="A200" s="7">
        <v>199</v>
      </c>
      <c r="B200" s="7">
        <v>9019</v>
      </c>
      <c r="C200" s="7">
        <v>10999</v>
      </c>
      <c r="D200" s="7">
        <v>13769</v>
      </c>
      <c r="E200" s="10">
        <v>34976</v>
      </c>
      <c r="F200" s="7"/>
      <c r="G200" s="7"/>
      <c r="H200" s="7"/>
      <c r="I200" s="7"/>
    </row>
    <row r="201" spans="1:9" ht="15" customHeight="1">
      <c r="A201" s="7">
        <v>200</v>
      </c>
      <c r="B201" s="7">
        <v>9100</v>
      </c>
      <c r="C201" s="7">
        <v>11095</v>
      </c>
      <c r="D201" s="7">
        <v>13885</v>
      </c>
      <c r="E201" s="10">
        <v>35326</v>
      </c>
      <c r="F201" s="7"/>
      <c r="G201" s="7"/>
      <c r="H201" s="7"/>
      <c r="I201" s="7"/>
    </row>
    <row r="202" spans="1:9" ht="15" customHeight="1">
      <c r="A202" s="7">
        <v>201</v>
      </c>
      <c r="B202" s="7"/>
      <c r="C202" s="7"/>
      <c r="D202" s="7">
        <v>14401</v>
      </c>
      <c r="E202" s="10">
        <v>35676</v>
      </c>
      <c r="F202" s="7"/>
      <c r="G202" s="7"/>
      <c r="H202" s="7"/>
      <c r="I202" s="7"/>
    </row>
    <row r="203" spans="1:9" ht="15" customHeight="1">
      <c r="A203" s="7">
        <v>202</v>
      </c>
      <c r="B203" s="7"/>
      <c r="C203" s="7"/>
      <c r="D203" s="7">
        <v>14117</v>
      </c>
      <c r="E203" s="10">
        <v>36026</v>
      </c>
      <c r="F203" s="7"/>
      <c r="G203" s="7"/>
      <c r="H203" s="7"/>
      <c r="I203" s="7"/>
    </row>
    <row r="204" spans="1:9" ht="15" customHeight="1">
      <c r="A204" s="7">
        <v>203</v>
      </c>
      <c r="B204" s="7"/>
      <c r="C204" s="7"/>
      <c r="D204" s="7">
        <v>14233</v>
      </c>
      <c r="E204" s="10">
        <v>36376</v>
      </c>
      <c r="F204" s="7"/>
      <c r="G204" s="7"/>
      <c r="H204" s="7"/>
      <c r="I204" s="7"/>
    </row>
    <row r="205" spans="1:9" ht="15" customHeight="1">
      <c r="A205" s="7">
        <v>204</v>
      </c>
      <c r="B205" s="7"/>
      <c r="C205" s="7"/>
      <c r="D205" s="7">
        <v>14349</v>
      </c>
      <c r="E205" s="10">
        <v>36726</v>
      </c>
      <c r="F205" s="7"/>
      <c r="G205" s="7"/>
      <c r="H205" s="7"/>
      <c r="I205" s="7"/>
    </row>
    <row r="206" spans="1:9" ht="15" customHeight="1">
      <c r="A206" s="7">
        <v>205</v>
      </c>
      <c r="B206" s="7"/>
      <c r="C206" s="7"/>
      <c r="D206" s="7">
        <v>14779</v>
      </c>
      <c r="E206" s="10">
        <v>37827</v>
      </c>
      <c r="F206" s="7"/>
      <c r="G206" s="7"/>
      <c r="H206" s="7"/>
      <c r="I206" s="7"/>
    </row>
    <row r="207" spans="1:9" ht="15" customHeight="1">
      <c r="A207" s="7">
        <v>206</v>
      </c>
      <c r="B207" s="7"/>
      <c r="C207" s="7"/>
      <c r="D207" s="7">
        <v>15209</v>
      </c>
      <c r="E207" s="10">
        <v>38929</v>
      </c>
      <c r="F207" s="7"/>
      <c r="G207" s="7"/>
      <c r="H207" s="7"/>
      <c r="I207" s="7"/>
    </row>
    <row r="208" spans="1:9" ht="15" customHeight="1">
      <c r="A208" s="7">
        <v>207</v>
      </c>
      <c r="B208" s="7"/>
      <c r="C208" s="7"/>
      <c r="D208" s="7">
        <v>15640</v>
      </c>
      <c r="E208" s="10">
        <v>40031</v>
      </c>
      <c r="F208" s="7"/>
      <c r="G208" s="7"/>
      <c r="H208" s="7"/>
      <c r="I208" s="7"/>
    </row>
    <row r="209" spans="1:9" ht="15" customHeight="1">
      <c r="A209" s="7">
        <v>208</v>
      </c>
      <c r="B209" s="7"/>
      <c r="C209" s="7"/>
      <c r="D209" s="7">
        <v>16070</v>
      </c>
      <c r="E209" s="10">
        <v>41132</v>
      </c>
      <c r="F209" s="7"/>
      <c r="G209" s="7"/>
      <c r="H209" s="7"/>
      <c r="I209" s="7"/>
    </row>
    <row r="210" spans="1:9" ht="15" customHeight="1">
      <c r="A210" s="7">
        <v>209</v>
      </c>
      <c r="B210" s="7"/>
      <c r="C210" s="7"/>
      <c r="D210" s="7">
        <v>16501</v>
      </c>
      <c r="E210" s="10">
        <v>42234</v>
      </c>
      <c r="F210" s="7"/>
      <c r="G210" s="7"/>
      <c r="H210" s="7"/>
      <c r="I210" s="7"/>
    </row>
    <row r="211" spans="1:9" ht="15" customHeight="1">
      <c r="A211" s="7">
        <v>210</v>
      </c>
      <c r="B211" s="7"/>
      <c r="C211" s="7"/>
      <c r="D211" s="7">
        <v>16931</v>
      </c>
      <c r="E211" s="10">
        <v>43335</v>
      </c>
      <c r="F211" s="7"/>
      <c r="G211" s="7"/>
      <c r="H211" s="7"/>
      <c r="I211" s="7"/>
    </row>
    <row r="212" spans="1:9" ht="15" customHeight="1">
      <c r="A212" s="7">
        <v>211</v>
      </c>
      <c r="B212" s="7"/>
      <c r="C212" s="7"/>
      <c r="D212" s="7">
        <v>17362</v>
      </c>
      <c r="E212" s="10">
        <v>44437</v>
      </c>
      <c r="F212" s="7"/>
      <c r="G212" s="7"/>
      <c r="H212" s="7"/>
      <c r="I212" s="7"/>
    </row>
    <row r="213" spans="1:9" ht="15" customHeight="1">
      <c r="A213" s="7">
        <v>212</v>
      </c>
      <c r="B213" s="7"/>
      <c r="C213" s="7"/>
      <c r="D213" s="7">
        <v>17792</v>
      </c>
      <c r="E213" s="10">
        <v>45539</v>
      </c>
      <c r="F213" s="7"/>
      <c r="G213" s="7"/>
      <c r="H213" s="7"/>
      <c r="I213" s="7"/>
    </row>
    <row r="214" spans="1:9" ht="15" customHeight="1">
      <c r="A214" s="7">
        <v>213</v>
      </c>
      <c r="B214" s="7"/>
      <c r="C214" s="7"/>
      <c r="D214" s="7">
        <v>18223</v>
      </c>
      <c r="E214" s="10">
        <v>46641</v>
      </c>
      <c r="F214" s="7"/>
      <c r="G214" s="7"/>
      <c r="H214" s="7"/>
      <c r="I214" s="7"/>
    </row>
    <row r="215" spans="1:9" ht="15" customHeight="1">
      <c r="A215" s="7">
        <v>214</v>
      </c>
      <c r="B215" s="7"/>
      <c r="C215" s="7"/>
      <c r="D215" s="7">
        <v>18653</v>
      </c>
      <c r="E215" s="10">
        <v>47743</v>
      </c>
      <c r="F215" s="7"/>
      <c r="G215" s="7"/>
      <c r="H215" s="7"/>
      <c r="I215" s="7"/>
    </row>
    <row r="216" spans="1:9" ht="15" customHeight="1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9" ht="15" customHeight="1">
      <c r="A217" s="5"/>
      <c r="B217" s="5"/>
      <c r="C217" s="5"/>
      <c r="D217" s="5"/>
      <c r="E217" s="5"/>
    </row>
    <row r="218" spans="1:9" ht="15" customHeight="1">
      <c r="A218" s="5"/>
      <c r="B218" s="5"/>
      <c r="C218" s="5"/>
      <c r="D218" s="5"/>
      <c r="E218" s="5"/>
    </row>
    <row r="219" spans="1:9" ht="15" customHeight="1">
      <c r="A219" s="5"/>
      <c r="B219" s="5"/>
      <c r="C219" s="5"/>
      <c r="D219" s="5"/>
      <c r="E219" s="5"/>
    </row>
    <row r="220" spans="1:9" ht="15" customHeight="1">
      <c r="A220" s="5"/>
      <c r="B220" s="5"/>
      <c r="C220" s="5"/>
      <c r="D220" s="5"/>
      <c r="E220" s="5"/>
    </row>
    <row r="221" spans="1:9" ht="15" customHeight="1">
      <c r="A221" s="5"/>
      <c r="B221" s="5"/>
      <c r="C221" s="5"/>
      <c r="D221" s="5"/>
      <c r="E221" s="5"/>
    </row>
  </sheetData>
  <sheetProtection algorithmName="SHA-512" hashValue="DPL3xPAt4U/oRLZqQd0/BSOBulmyx6XHWpdhx7OcLRWg15+mUAKRTbO/uym4rSfJaGkOV8yWJEoFEIRW2gZT1Q==" saltValue="WlgTutvwF1PzG48gDZ7o1A==" spinCount="100000" sheet="1" objects="1" scenarios="1" selectLockedCell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honeticPr fontId="57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A34" workbookViewId="0">
      <selection activeCell="G21" sqref="G21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spans="1:12" ht="42" customHeight="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2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2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2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817" t="s">
        <v>703</v>
      </c>
      <c r="L5" s="817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817"/>
      <c r="L6" s="817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818">
        <f>AVERAGE(G3:G54)</f>
        <v>640.61538461538464</v>
      </c>
      <c r="L7" s="818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818"/>
      <c r="L8" s="818"/>
    </row>
    <row r="9" spans="1:12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2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817" t="s">
        <v>704</v>
      </c>
      <c r="L11" s="817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817"/>
      <c r="L12" s="817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818">
        <f>SUM(G3:G999)</f>
        <v>33312</v>
      </c>
      <c r="L13" s="818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818"/>
      <c r="L14" s="818"/>
    </row>
    <row r="15" spans="1:12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2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54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>
        <v>39762</v>
      </c>
      <c r="E32" s="1">
        <v>4526</v>
      </c>
      <c r="F32" s="1">
        <f t="shared" si="3"/>
        <v>44288</v>
      </c>
      <c r="G32" s="1">
        <f t="shared" si="2"/>
        <v>673</v>
      </c>
      <c r="H32" s="1"/>
      <c r="I32" s="1"/>
      <c r="J32" s="1"/>
      <c r="K32" s="1"/>
    </row>
    <row r="33" spans="1:11">
      <c r="A33" s="1"/>
      <c r="B33" s="1"/>
      <c r="C33" s="2">
        <v>42454</v>
      </c>
      <c r="D33" s="1">
        <v>40335</v>
      </c>
      <c r="E33" s="1">
        <v>4551</v>
      </c>
      <c r="F33" s="1">
        <f t="shared" si="3"/>
        <v>44886</v>
      </c>
      <c r="G33" s="1">
        <f t="shared" si="2"/>
        <v>598</v>
      </c>
      <c r="H33" s="1"/>
      <c r="I33" s="1"/>
      <c r="J33" s="1"/>
      <c r="K33" s="1"/>
    </row>
    <row r="34" spans="1:11">
      <c r="A34" s="1"/>
      <c r="B34" s="1"/>
      <c r="C34" s="2">
        <v>42455</v>
      </c>
      <c r="D34" s="1">
        <v>40335</v>
      </c>
      <c r="E34" s="1">
        <v>4551</v>
      </c>
      <c r="F34" s="1">
        <f t="shared" si="3"/>
        <v>44886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2">
        <v>42456</v>
      </c>
      <c r="D35" s="1">
        <v>40335</v>
      </c>
      <c r="E35" s="1">
        <v>4551</v>
      </c>
      <c r="F35" s="1">
        <f t="shared" si="3"/>
        <v>44886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2">
        <v>42457</v>
      </c>
      <c r="D36" s="1">
        <v>42136</v>
      </c>
      <c r="E36" s="1">
        <v>2909</v>
      </c>
      <c r="F36" s="1">
        <f t="shared" si="3"/>
        <v>45045</v>
      </c>
      <c r="G36" s="1">
        <f t="shared" si="2"/>
        <v>159</v>
      </c>
      <c r="H36" s="1"/>
      <c r="I36" s="1"/>
      <c r="J36" s="1"/>
      <c r="K36" s="1"/>
    </row>
    <row r="37" spans="1:11">
      <c r="A37" s="1"/>
      <c r="B37" s="1"/>
      <c r="C37" s="2">
        <v>42458</v>
      </c>
      <c r="D37" s="1">
        <v>42736</v>
      </c>
      <c r="E37" s="1">
        <v>2909</v>
      </c>
      <c r="F37" s="1">
        <f t="shared" si="3"/>
        <v>45645</v>
      </c>
      <c r="G37" s="1">
        <f t="shared" si="2"/>
        <v>600</v>
      </c>
      <c r="H37" s="1"/>
      <c r="I37" s="1"/>
      <c r="J37" s="1"/>
      <c r="K37" s="1"/>
    </row>
    <row r="38" spans="1:11">
      <c r="A38" s="1"/>
      <c r="B38" s="1"/>
      <c r="C38" s="2">
        <v>42459</v>
      </c>
      <c r="D38" s="1">
        <v>43346</v>
      </c>
      <c r="E38" s="1">
        <v>2989</v>
      </c>
      <c r="F38" s="1">
        <f t="shared" si="3"/>
        <v>46335</v>
      </c>
      <c r="G38" s="1">
        <f t="shared" si="2"/>
        <v>690</v>
      </c>
      <c r="H38" s="1"/>
      <c r="I38" s="1"/>
      <c r="J38" s="1"/>
      <c r="K38" s="1"/>
    </row>
    <row r="39" spans="1:11">
      <c r="A39" s="1"/>
      <c r="B39" s="1"/>
      <c r="C39" s="2">
        <v>42460</v>
      </c>
      <c r="D39" s="1">
        <v>43956</v>
      </c>
      <c r="E39" s="1">
        <v>3429</v>
      </c>
      <c r="F39" s="1">
        <f t="shared" si="3"/>
        <v>47385</v>
      </c>
      <c r="G39" s="1">
        <f t="shared" si="2"/>
        <v>1050</v>
      </c>
      <c r="H39" s="1"/>
      <c r="I39" s="1"/>
      <c r="J39" s="1"/>
      <c r="K39" s="1"/>
    </row>
    <row r="40" spans="1:11">
      <c r="A40" s="1"/>
      <c r="B40" s="1"/>
      <c r="C40" s="2">
        <v>42461</v>
      </c>
      <c r="D40" s="1">
        <v>44506</v>
      </c>
      <c r="E40" s="1">
        <v>3419</v>
      </c>
      <c r="F40" s="1">
        <f t="shared" si="3"/>
        <v>47925</v>
      </c>
      <c r="G40" s="1">
        <f t="shared" si="2"/>
        <v>540</v>
      </c>
      <c r="H40" s="1"/>
      <c r="I40" s="1"/>
      <c r="J40" s="1"/>
      <c r="K40" s="1"/>
    </row>
    <row r="41" spans="1:11">
      <c r="A41" s="1"/>
      <c r="B41" s="1"/>
      <c r="C41" s="2">
        <v>42462</v>
      </c>
      <c r="D41" s="1">
        <v>44506</v>
      </c>
      <c r="E41" s="1">
        <v>3419</v>
      </c>
      <c r="F41" s="1">
        <f t="shared" si="3"/>
        <v>47925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2">
        <v>42463</v>
      </c>
      <c r="D42" s="1">
        <v>44506</v>
      </c>
      <c r="E42" s="1">
        <v>3419</v>
      </c>
      <c r="F42" s="1">
        <f t="shared" si="3"/>
        <v>47925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2">
        <v>42464</v>
      </c>
      <c r="D43" s="1">
        <v>44506</v>
      </c>
      <c r="E43" s="1">
        <v>3419</v>
      </c>
      <c r="F43" s="1">
        <f t="shared" si="3"/>
        <v>47925</v>
      </c>
      <c r="G43" s="1">
        <f t="shared" ref="G43:G54" si="4">IF(F43&gt;0,F43-F42,0)</f>
        <v>0</v>
      </c>
      <c r="H43" s="1"/>
      <c r="I43" s="1"/>
      <c r="J43" s="1"/>
      <c r="K43" s="1"/>
    </row>
    <row r="44" spans="1:11">
      <c r="B44" s="1"/>
      <c r="C44" s="2">
        <v>42465</v>
      </c>
      <c r="D44" s="1">
        <v>44506</v>
      </c>
      <c r="E44" s="1">
        <v>3419</v>
      </c>
      <c r="F44" s="1">
        <f t="shared" si="3"/>
        <v>47925</v>
      </c>
      <c r="G44" s="1">
        <f t="shared" si="4"/>
        <v>0</v>
      </c>
      <c r="H44" s="1"/>
      <c r="I44" s="1"/>
      <c r="J44" s="1"/>
      <c r="K44" s="1"/>
    </row>
    <row r="45" spans="1:11">
      <c r="B45" s="1"/>
      <c r="C45" s="2">
        <v>42466</v>
      </c>
      <c r="D45" s="1">
        <v>44506</v>
      </c>
      <c r="E45" s="1">
        <v>3419</v>
      </c>
      <c r="F45" s="1">
        <f t="shared" si="3"/>
        <v>47925</v>
      </c>
      <c r="G45" s="1">
        <f t="shared" si="4"/>
        <v>0</v>
      </c>
      <c r="H45" s="1"/>
      <c r="I45" s="1"/>
      <c r="J45" s="1"/>
      <c r="K45" s="1"/>
    </row>
    <row r="46" spans="1:11">
      <c r="B46" s="1"/>
      <c r="C46" s="2">
        <v>42467</v>
      </c>
      <c r="D46" s="1">
        <v>44506</v>
      </c>
      <c r="E46" s="1">
        <v>3419</v>
      </c>
      <c r="F46" s="1">
        <f t="shared" si="3"/>
        <v>47925</v>
      </c>
      <c r="G46" s="1">
        <f t="shared" si="4"/>
        <v>0</v>
      </c>
      <c r="H46" s="1"/>
      <c r="I46" s="1"/>
      <c r="J46" s="1"/>
      <c r="K46" s="1"/>
    </row>
    <row r="47" spans="1:11">
      <c r="B47" s="1"/>
      <c r="C47" s="2">
        <v>42468</v>
      </c>
      <c r="D47" s="1">
        <v>44506</v>
      </c>
      <c r="E47" s="1">
        <v>3419</v>
      </c>
      <c r="F47" s="1">
        <f t="shared" si="3"/>
        <v>47925</v>
      </c>
      <c r="G47" s="1">
        <f t="shared" si="4"/>
        <v>0</v>
      </c>
      <c r="H47" s="1"/>
      <c r="I47" s="1"/>
      <c r="J47" s="1"/>
      <c r="K47" s="1"/>
    </row>
    <row r="48" spans="1:11">
      <c r="B48" s="1"/>
      <c r="C48" s="2">
        <v>42469</v>
      </c>
      <c r="D48" s="1">
        <v>44506</v>
      </c>
      <c r="E48" s="1">
        <v>3419</v>
      </c>
      <c r="F48" s="1">
        <f t="shared" si="3"/>
        <v>47925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2">
        <v>42470</v>
      </c>
      <c r="D49" s="1">
        <v>44506</v>
      </c>
      <c r="E49" s="1">
        <v>3419</v>
      </c>
      <c r="F49" s="1">
        <f t="shared" si="3"/>
        <v>47925</v>
      </c>
      <c r="G49" s="1">
        <f t="shared" si="4"/>
        <v>0</v>
      </c>
      <c r="H49" s="1"/>
      <c r="I49" s="1"/>
      <c r="J49" s="1"/>
      <c r="K49" s="1"/>
    </row>
    <row r="50" spans="2:11">
      <c r="C50" s="2">
        <v>42471</v>
      </c>
      <c r="D50" s="1">
        <v>44506</v>
      </c>
      <c r="E50" s="1">
        <v>3419</v>
      </c>
      <c r="F50" s="1">
        <f t="shared" si="3"/>
        <v>47925</v>
      </c>
      <c r="G50" s="1">
        <f t="shared" si="4"/>
        <v>0</v>
      </c>
    </row>
    <row r="51" spans="2:11">
      <c r="C51" s="2">
        <v>42472</v>
      </c>
      <c r="D51" s="1">
        <v>44506</v>
      </c>
      <c r="E51" s="1">
        <v>3419</v>
      </c>
      <c r="F51" s="1">
        <f t="shared" si="3"/>
        <v>47925</v>
      </c>
      <c r="G51" s="1">
        <f t="shared" si="4"/>
        <v>0</v>
      </c>
    </row>
    <row r="52" spans="2:11">
      <c r="C52" s="2">
        <v>42473</v>
      </c>
      <c r="D52" s="1">
        <v>44506</v>
      </c>
      <c r="E52" s="1">
        <v>3419</v>
      </c>
      <c r="F52" s="1">
        <f t="shared" si="3"/>
        <v>47925</v>
      </c>
      <c r="G52" s="1">
        <f t="shared" si="4"/>
        <v>0</v>
      </c>
    </row>
    <row r="53" spans="2:11">
      <c r="C53" s="2">
        <v>42474</v>
      </c>
      <c r="D53" s="1">
        <v>44506</v>
      </c>
      <c r="E53" s="1">
        <v>3419</v>
      </c>
      <c r="F53" s="1">
        <f t="shared" si="3"/>
        <v>47925</v>
      </c>
      <c r="G53" s="1">
        <f t="shared" si="4"/>
        <v>0</v>
      </c>
    </row>
    <row r="54" spans="2:11">
      <c r="C54" s="2">
        <v>42475</v>
      </c>
      <c r="D54" s="1">
        <v>52863</v>
      </c>
      <c r="E54" s="1">
        <v>1909</v>
      </c>
      <c r="F54" s="1">
        <f t="shared" si="3"/>
        <v>54772</v>
      </c>
      <c r="G54" s="1">
        <f t="shared" si="4"/>
        <v>6847</v>
      </c>
    </row>
    <row r="55" spans="2:11">
      <c r="C55" s="2">
        <v>42476</v>
      </c>
    </row>
    <row r="56" spans="2:11">
      <c r="C56" s="2">
        <v>42477</v>
      </c>
    </row>
    <row r="57" spans="2:11">
      <c r="C57" s="2">
        <v>42478</v>
      </c>
    </row>
    <row r="58" spans="2:11">
      <c r="C58" s="2">
        <v>42479</v>
      </c>
    </row>
    <row r="59" spans="2:11">
      <c r="C59" s="2">
        <v>42480</v>
      </c>
    </row>
    <row r="60" spans="2:11">
      <c r="C60" s="2">
        <v>42481</v>
      </c>
    </row>
    <row r="61" spans="2:11">
      <c r="C61" s="2">
        <v>42482</v>
      </c>
    </row>
    <row r="62" spans="2:11">
      <c r="C62" s="2">
        <v>42483</v>
      </c>
    </row>
    <row r="63" spans="2:11">
      <c r="C63" s="2">
        <v>42484</v>
      </c>
    </row>
    <row r="64" spans="2:11">
      <c r="C64" s="2">
        <v>42485</v>
      </c>
    </row>
  </sheetData>
  <mergeCells count="4">
    <mergeCell ref="K5:L6"/>
    <mergeCell ref="K7:L8"/>
    <mergeCell ref="K11:L12"/>
    <mergeCell ref="K13:L14"/>
  </mergeCells>
  <phoneticPr fontId="5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41</vt:i4>
      </vt:variant>
    </vt:vector>
  </HeadingPairs>
  <TitlesOfParts>
    <vt:vector size="53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  <vt:lpstr>加成系数!Criteria</vt:lpstr>
      <vt:lpstr>楚留香</vt:lpstr>
      <vt:lpstr>东方不败</vt:lpstr>
      <vt:lpstr>独孤求败</vt:lpstr>
      <vt:lpstr>段誉</vt:lpstr>
      <vt:lpstr>郭靖</vt:lpstr>
      <vt:lpstr>郭襄</vt:lpstr>
      <vt:lpstr>洪七公</vt:lpstr>
      <vt:lpstr>花无缺</vt:lpstr>
      <vt:lpstr>黄蓉</vt:lpstr>
      <vt:lpstr>黄药师</vt:lpstr>
      <vt:lpstr>加成类型</vt:lpstr>
      <vt:lpstr>金毛狮王</vt:lpstr>
      <vt:lpstr>李秋水</vt:lpstr>
      <vt:lpstr>怜星</vt:lpstr>
      <vt:lpstr>林朝英</vt:lpstr>
      <vt:lpstr>令狐冲</vt:lpstr>
      <vt:lpstr>欧阳锋</vt:lpstr>
      <vt:lpstr>青翼蝠王</vt:lpstr>
      <vt:lpstr>上官金虹</vt:lpstr>
      <vt:lpstr>神雕</vt:lpstr>
      <vt:lpstr>天山童姥</vt:lpstr>
      <vt:lpstr>王语嫣</vt:lpstr>
      <vt:lpstr>王重阳1星</vt:lpstr>
      <vt:lpstr>王重阳2星</vt:lpstr>
      <vt:lpstr>无崖子</vt:lpstr>
      <vt:lpstr>西门吹雪</vt:lpstr>
      <vt:lpstr>萧峰</vt:lpstr>
      <vt:lpstr>小龙女</vt:lpstr>
      <vt:lpstr>小鱼儿</vt:lpstr>
      <vt:lpstr>虚竹</vt:lpstr>
      <vt:lpstr>杨过12星</vt:lpstr>
      <vt:lpstr>杨过3星</vt:lpstr>
      <vt:lpstr>邀月</vt:lpstr>
      <vt:lpstr>叶孤城</vt:lpstr>
      <vt:lpstr>一灯</vt:lpstr>
      <vt:lpstr>张三丰</vt:lpstr>
      <vt:lpstr>张无忌</vt:lpstr>
      <vt:lpstr>周伯通</vt:lpstr>
      <vt:lpstr>紫衫龙王</vt:lpstr>
      <vt:lpstr>总队伍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张文军</cp:lastModifiedBy>
  <dcterms:created xsi:type="dcterms:W3CDTF">2012-12-17T02:55:00Z</dcterms:created>
  <dcterms:modified xsi:type="dcterms:W3CDTF">2016-04-15T13:06:53Z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