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Source File\Physics wallah and growmore assignment\"/>
    </mc:Choice>
  </mc:AlternateContent>
  <xr:revisionPtr revIDLastSave="0" documentId="13_ncr:1_{84FCC72E-72D3-43EE-ADB6-48D3CAB1B892}" xr6:coauthVersionLast="47" xr6:coauthVersionMax="47" xr10:uidLastSave="{00000000-0000-0000-0000-000000000000}"/>
  <bookViews>
    <workbookView xWindow="-108" yWindow="-108" windowWidth="23256" windowHeight="12456" activeTab="4" xr2:uid="{BE5C5699-2FCA-4049-B110-D479E5FF1EB0}"/>
  </bookViews>
  <sheets>
    <sheet name="Q1" sheetId="1" r:id="rId1"/>
    <sheet name="Q2" sheetId="2" r:id="rId2"/>
    <sheet name="Q3" sheetId="4" r:id="rId3"/>
    <sheet name="Q4" sheetId="5" r:id="rId4"/>
    <sheet name="Q5" sheetId="6" r:id="rId5"/>
  </sheets>
  <definedNames>
    <definedName name="_xlnm._FilterDatabase" localSheetId="0" hidden="1">'Q1'!$C$1:$C$201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6" l="1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I5" i="6"/>
  <c r="H5" i="6"/>
  <c r="C12" i="6"/>
  <c r="J4" i="6"/>
  <c r="G5" i="6" a="1"/>
  <c r="G5" i="6"/>
  <c r="J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I35" i="6"/>
  <c r="L5" i="6" a="1"/>
  <c r="C16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L5" i="6"/>
  <c r="N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5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C7" i="6"/>
  <c r="G4" i="5" a="1"/>
  <c r="G4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F20" i="4"/>
  <c r="G20" i="4"/>
  <c r="H20" i="4"/>
  <c r="I20" i="4"/>
  <c r="E20" i="4"/>
  <c r="F19" i="4"/>
  <c r="G19" i="4"/>
  <c r="H19" i="4"/>
  <c r="I19" i="4"/>
  <c r="E19" i="4"/>
  <c r="F14" i="4"/>
  <c r="G14" i="4"/>
  <c r="H14" i="4"/>
  <c r="I14" i="4"/>
  <c r="E14" i="4"/>
  <c r="V23" i="4"/>
  <c r="F13" i="4"/>
  <c r="G13" i="4"/>
  <c r="H13" i="4"/>
  <c r="I13" i="4"/>
  <c r="E13" i="4"/>
  <c r="F12" i="4"/>
  <c r="G12" i="4"/>
  <c r="H12" i="4"/>
  <c r="I12" i="4"/>
  <c r="E12" i="4"/>
  <c r="U24" i="4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" i="2"/>
  <c r="V10" i="1"/>
  <c r="U10" i="1"/>
  <c r="T10" i="1"/>
  <c r="S10" i="1"/>
  <c r="R10" i="1"/>
  <c r="V9" i="1"/>
  <c r="V8" i="1"/>
  <c r="V7" i="1"/>
  <c r="V6" i="1"/>
  <c r="V5" i="1"/>
  <c r="V4" i="1"/>
  <c r="V3" i="1"/>
  <c r="U9" i="1"/>
  <c r="U8" i="1"/>
  <c r="U7" i="1"/>
  <c r="U6" i="1"/>
  <c r="U5" i="1"/>
  <c r="U4" i="1"/>
  <c r="U3" i="1"/>
  <c r="T9" i="1"/>
  <c r="T8" i="1"/>
  <c r="T7" i="1"/>
  <c r="T6" i="1"/>
  <c r="T5" i="1"/>
  <c r="T4" i="1"/>
  <c r="T3" i="1"/>
  <c r="S9" i="1"/>
  <c r="S8" i="1"/>
  <c r="S7" i="1"/>
  <c r="S6" i="1"/>
  <c r="S5" i="1"/>
  <c r="S4" i="1"/>
  <c r="S3" i="1"/>
  <c r="R9" i="1"/>
  <c r="R8" i="1"/>
  <c r="R7" i="1"/>
  <c r="R6" i="1"/>
  <c r="R5" i="1"/>
  <c r="R4" i="1"/>
  <c r="R3" i="1"/>
  <c r="P10" i="1"/>
  <c r="O10" i="1"/>
  <c r="N10" i="1"/>
  <c r="M10" i="1"/>
  <c r="L10" i="1"/>
  <c r="K10" i="1"/>
  <c r="O9" i="1"/>
  <c r="O8" i="1"/>
  <c r="K8" i="1"/>
  <c r="K7" i="1"/>
  <c r="O7" i="1"/>
  <c r="O6" i="1"/>
  <c r="O5" i="1"/>
  <c r="O4" i="1"/>
  <c r="O3" i="1"/>
  <c r="N9" i="1"/>
  <c r="N8" i="1"/>
  <c r="N7" i="1"/>
  <c r="N6" i="1"/>
  <c r="N5" i="1"/>
  <c r="N4" i="1"/>
  <c r="N3" i="1"/>
  <c r="M9" i="1"/>
  <c r="M8" i="1"/>
  <c r="M7" i="1"/>
  <c r="M6" i="1"/>
  <c r="M5" i="1"/>
  <c r="M4" i="1"/>
  <c r="M3" i="1"/>
  <c r="L9" i="1"/>
  <c r="L8" i="1"/>
  <c r="L7" i="1"/>
  <c r="L6" i="1"/>
  <c r="L5" i="1"/>
  <c r="L4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" i="2"/>
  <c r="L3" i="1"/>
  <c r="K9" i="1"/>
  <c r="K6" i="1"/>
  <c r="K5" i="1"/>
  <c r="K4" i="1"/>
  <c r="K3" i="1"/>
  <c r="V20" i="4"/>
  <c r="V19" i="4"/>
  <c r="V18" i="4"/>
  <c r="V17" i="4"/>
  <c r="V16" i="4"/>
  <c r="V15" i="4"/>
  <c r="U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<sst xmlns="http://schemas.openxmlformats.org/spreadsheetml/2006/main" count="228" uniqueCount="102">
  <si>
    <t>Credit Bureau Score</t>
  </si>
  <si>
    <t>Annual Income (INR)</t>
  </si>
  <si>
    <t>Sl. No.</t>
  </si>
  <si>
    <t>25-30 years</t>
  </si>
  <si>
    <t>31 to 35 years</t>
  </si>
  <si>
    <t>36 to 40 years</t>
  </si>
  <si>
    <t>41 to 50 years</t>
  </si>
  <si>
    <t>50 to 55 years</t>
  </si>
  <si>
    <t>8L to 10L</t>
  </si>
  <si>
    <t>&lt;= 8L</t>
  </si>
  <si>
    <t>10L to 14L</t>
  </si>
  <si>
    <t>14L to 20L</t>
  </si>
  <si>
    <t>20L to 25L</t>
  </si>
  <si>
    <t>*For Age categories, both upper and lower limits are inclusive</t>
  </si>
  <si>
    <t>*For Income, upper limit is inclusive</t>
  </si>
  <si>
    <t>Age (Yrs)</t>
  </si>
  <si>
    <t>13/05/2020</t>
  </si>
  <si>
    <t>20/02/2020</t>
  </si>
  <si>
    <t>24/06/2020</t>
  </si>
  <si>
    <t>29/02/2020</t>
  </si>
  <si>
    <t>17/12/2020</t>
  </si>
  <si>
    <t>28/12/2020</t>
  </si>
  <si>
    <t>15/11/2020</t>
  </si>
  <si>
    <t>13/10/2020</t>
  </si>
  <si>
    <t>29/03/2020</t>
  </si>
  <si>
    <t>16/08/2020</t>
  </si>
  <si>
    <t>25/10/2020</t>
  </si>
  <si>
    <t>27/02/2020</t>
  </si>
  <si>
    <t>20/03/2020</t>
  </si>
  <si>
    <t>16/05/2020</t>
  </si>
  <si>
    <t>25/11/2020</t>
  </si>
  <si>
    <t>26/06/2020</t>
  </si>
  <si>
    <t>13/03/2020</t>
  </si>
  <si>
    <t>22/07/2020</t>
  </si>
  <si>
    <t>sunday</t>
  </si>
  <si>
    <t>saturday</t>
  </si>
  <si>
    <t>Chhatrapati Shivaji Maharaj Jayanti</t>
  </si>
  <si>
    <t>Mahashivratri</t>
  </si>
  <si>
    <t>Holi (Second Day)</t>
  </si>
  <si>
    <t>Gudhi Padwa</t>
  </si>
  <si>
    <t>Annual closing of banks</t>
  </si>
  <si>
    <t>Ram Navami</t>
  </si>
  <si>
    <t>Mahavir Jayanti</t>
  </si>
  <si>
    <t>Good Friday</t>
  </si>
  <si>
    <t>Dr. Babasaheb Ambedkar Jayanti</t>
  </si>
  <si>
    <t>Buddha Pournima</t>
  </si>
  <si>
    <t>Ramzan Id (Id-Ul-Fitr) (Shawal-1)</t>
  </si>
  <si>
    <t>Bakri ID (Id-Ul-Zuha)</t>
  </si>
  <si>
    <t>Independence Day</t>
  </si>
  <si>
    <t>Mahatma Gandhi Jayanti</t>
  </si>
  <si>
    <t>Id-E-Milad (Milad-un-Nabi)</t>
  </si>
  <si>
    <t>Diwali (Balipratipada)</t>
  </si>
  <si>
    <t>Guru Nanak Jayanti</t>
  </si>
  <si>
    <t>Christmas</t>
  </si>
  <si>
    <t>Days</t>
  </si>
  <si>
    <t>Holidays</t>
  </si>
  <si>
    <t>Maharashtra Day</t>
  </si>
  <si>
    <t>No. of Working Days</t>
  </si>
  <si>
    <t>&lt;= 24 years</t>
  </si>
  <si>
    <t>&gt;= 56 years</t>
  </si>
  <si>
    <t>Copied Date</t>
  </si>
  <si>
    <t>Correct Date</t>
  </si>
  <si>
    <t>TCS</t>
  </si>
  <si>
    <t>Infosys</t>
  </si>
  <si>
    <t>HDFC Bank</t>
  </si>
  <si>
    <t>HUL</t>
  </si>
  <si>
    <t>Kotak</t>
  </si>
  <si>
    <t>Average Stock Price</t>
  </si>
  <si>
    <t>Company</t>
  </si>
  <si>
    <t>Rate of Interest  (Annual)</t>
  </si>
  <si>
    <t>Tenure</t>
  </si>
  <si>
    <t>weeks</t>
  </si>
  <si>
    <t>Repayment Frequency</t>
  </si>
  <si>
    <t>Weekly</t>
  </si>
  <si>
    <t>Loan Product</t>
  </si>
  <si>
    <t>Principal Amount</t>
  </si>
  <si>
    <t>Year</t>
  </si>
  <si>
    <t>Annual Growth Rate</t>
  </si>
  <si>
    <t>AAGR</t>
  </si>
  <si>
    <t>CAGR</t>
  </si>
  <si>
    <t xml:space="preserve"> </t>
  </si>
  <si>
    <t>Total</t>
  </si>
  <si>
    <t>CAGR%</t>
  </si>
  <si>
    <t>Decision 3</t>
  </si>
  <si>
    <t xml:space="preserve"> Decision  2</t>
  </si>
  <si>
    <t>Decision 1</t>
  </si>
  <si>
    <t>Weeks</t>
  </si>
  <si>
    <t xml:space="preserve">EMI is Rs </t>
  </si>
  <si>
    <t>interest</t>
  </si>
  <si>
    <t>Principal</t>
  </si>
  <si>
    <t>Balance amount</t>
  </si>
  <si>
    <t>s</t>
  </si>
  <si>
    <t>EMI for 31 months,</t>
  </si>
  <si>
    <t>EMI for 17 months,</t>
  </si>
  <si>
    <t>Months</t>
  </si>
  <si>
    <t>Interest</t>
  </si>
  <si>
    <t>Balace amount</t>
  </si>
  <si>
    <t>Balance Amount</t>
  </si>
  <si>
    <t>Principal amount</t>
  </si>
  <si>
    <t>principal amount</t>
  </si>
  <si>
    <t>EMI for 66 months</t>
  </si>
  <si>
    <t>Rate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</si>
</sst>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8" formatCode="&quot;₹&quot;\ #,##0.00;[Red]&quot;₹&quot;\ \-#,##0.00"/>
    <numFmt numFmtId="164" formatCode="_(* #,##0.00_);_(* \(#,##0.00\);_(* &quot;-&quot;??_);_(@_)"/>
    <numFmt numFmtId="165" formatCode="_(* #,##0_);_(* \(#,##0\);_(* &quot;-&quot;??_);_(@_)"/>
    <numFmt numFmtId="166" formatCode="mm/dd/yyyy;@"/>
    <numFmt numFmtId="167" formatCode="0.0%"/>
    <numFmt numFmtId="168" formatCode="_ [$₹-4009]\ * #,##0.00_ ;_ [$₹-4009]\ * \-#,##0.00_ ;_ [$₹-4009]\ * &quot;-&quot;??_ ;_ @_ "/>
    <numFmt numFmtId="169" formatCode="&quot;₹&quot;\ #,##0.00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166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6" fontId="2" fillId="0" borderId="1" xfId="0" applyNumberFormat="1" applyFont="1" applyBorder="1"/>
    <xf numFmtId="166" fontId="0" fillId="0" borderId="0" xfId="0" applyNumberFormat="1" applyAlignment="1">
      <alignment horizontal="left"/>
    </xf>
    <xf numFmtId="166" fontId="2" fillId="0" borderId="1" xfId="0" applyNumberFormat="1" applyFon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2" fillId="0" borderId="0" xfId="0" applyFont="1"/>
    <xf numFmtId="8" fontId="0" fillId="0" borderId="0" xfId="0" applyNumberFormat="1"/>
    <xf numFmtId="10" fontId="0" fillId="0" borderId="0" xfId="2" applyNumberFormat="1" applyFont="1"/>
    <xf numFmtId="1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9" fontId="0" fillId="0" borderId="0" xfId="2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1" xfId="0" applyNumberFormat="1" applyBorder="1"/>
    <xf numFmtId="0" fontId="0" fillId="2" borderId="1" xfId="1" applyNumberFormat="1" applyFont="1" applyFill="1" applyBorder="1"/>
    <xf numFmtId="9" fontId="0" fillId="0" borderId="1" xfId="2" applyFont="1" applyBorder="1"/>
    <xf numFmtId="9" fontId="2" fillId="0" borderId="0" xfId="0" applyNumberFormat="1" applyFont="1"/>
    <xf numFmtId="167" fontId="2" fillId="0" borderId="0" xfId="2" applyNumberFormat="1" applyFont="1"/>
    <xf numFmtId="9" fontId="0" fillId="0" borderId="0" xfId="2" applyFont="1" applyFill="1" applyBorder="1"/>
    <xf numFmtId="9" fontId="0" fillId="0" borderId="0" xfId="2" applyFont="1" applyBorder="1"/>
    <xf numFmtId="167" fontId="2" fillId="0" borderId="0" xfId="2" applyNumberFormat="1" applyFont="1" applyBorder="1"/>
    <xf numFmtId="0" fontId="2" fillId="0" borderId="0" xfId="0" applyFont="1" applyAlignment="1">
      <alignment horizontal="left" vertical="center" wrapText="1"/>
    </xf>
    <xf numFmtId="11" fontId="0" fillId="0" borderId="0" xfId="0" applyNumberFormat="1"/>
    <xf numFmtId="1" fontId="0" fillId="2" borderId="1" xfId="0" applyNumberFormat="1" applyFill="1" applyBorder="1"/>
    <xf numFmtId="0" fontId="0" fillId="0" borderId="2" xfId="0" applyBorder="1"/>
    <xf numFmtId="0" fontId="0" fillId="2" borderId="2" xfId="0" applyFill="1" applyBorder="1"/>
    <xf numFmtId="9" fontId="0" fillId="0" borderId="0" xfId="2" applyFont="1"/>
    <xf numFmtId="9" fontId="2" fillId="0" borderId="1" xfId="2" applyFont="1" applyBorder="1" applyAlignment="1">
      <alignment horizontal="left"/>
    </xf>
    <xf numFmtId="168" fontId="0" fillId="0" borderId="0" xfId="0" applyNumberFormat="1"/>
    <xf numFmtId="8" fontId="0" fillId="0" borderId="1" xfId="0" applyNumberFormat="1" applyBorder="1"/>
    <xf numFmtId="0" fontId="0" fillId="3" borderId="1" xfId="0" applyFill="1" applyBorder="1"/>
    <xf numFmtId="168" fontId="0" fillId="0" borderId="1" xfId="0" applyNumberFormat="1" applyBorder="1"/>
    <xf numFmtId="168" fontId="0" fillId="4" borderId="1" xfId="0" applyNumberFormat="1" applyFill="1" applyBorder="1"/>
    <xf numFmtId="169" fontId="0" fillId="0" borderId="1" xfId="0" applyNumberFormat="1" applyBorder="1"/>
    <xf numFmtId="3" fontId="0" fillId="0" borderId="1" xfId="0" applyNumberFormat="1" applyBorder="1"/>
    <xf numFmtId="9" fontId="0" fillId="0" borderId="1" xfId="0" applyNumberFormat="1" applyBorder="1"/>
    <xf numFmtId="168" fontId="0" fillId="3" borderId="1" xfId="0" applyNumberFormat="1" applyFill="1" applyBorder="1"/>
    <xf numFmtId="168" fontId="0" fillId="2" borderId="1" xfId="0" applyNumberFormat="1" applyFill="1" applyBorder="1"/>
    <xf numFmtId="0" fontId="2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27090951-4987-4649-9B7E-2075530C58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662C-82A6-4887-B197-E2E4714D817B}">
  <dimension ref="B1:V201"/>
  <sheetViews>
    <sheetView showGridLines="0" zoomScale="130" zoomScaleNormal="130" workbookViewId="0">
      <selection activeCell="P13" sqref="P13"/>
    </sheetView>
  </sheetViews>
  <sheetFormatPr defaultRowHeight="14.4" x14ac:dyDescent="0.3"/>
  <cols>
    <col min="2" max="2" width="9.33203125" style="6"/>
    <col min="4" max="4" width="13.33203125" customWidth="1"/>
    <col min="5" max="6" width="12.6640625" customWidth="1"/>
    <col min="10" max="10" width="12.6640625" bestFit="1" customWidth="1"/>
    <col min="13" max="15" width="9.88671875" bestFit="1" customWidth="1"/>
    <col min="17" max="17" width="12.6640625" bestFit="1" customWidth="1"/>
    <col min="18" max="18" width="10.5546875" bestFit="1" customWidth="1"/>
    <col min="19" max="22" width="9.5546875" bestFit="1" customWidth="1"/>
  </cols>
  <sheetData>
    <row r="1" spans="2:22" s="1" customFormat="1" ht="28.8" x14ac:dyDescent="0.3">
      <c r="B1" s="2" t="s">
        <v>2</v>
      </c>
      <c r="C1" s="2" t="s">
        <v>15</v>
      </c>
      <c r="D1" s="2" t="s">
        <v>1</v>
      </c>
      <c r="E1" s="2" t="s">
        <v>0</v>
      </c>
      <c r="F1" s="30"/>
    </row>
    <row r="2" spans="2:22" x14ac:dyDescent="0.3">
      <c r="B2" s="5">
        <v>1</v>
      </c>
      <c r="C2" s="3">
        <v>41</v>
      </c>
      <c r="D2" s="4">
        <v>2420000</v>
      </c>
      <c r="E2" s="3">
        <v>682</v>
      </c>
      <c r="J2" s="3"/>
      <c r="K2" s="3" t="s">
        <v>9</v>
      </c>
      <c r="L2" s="3" t="s">
        <v>8</v>
      </c>
      <c r="M2" s="3" t="s">
        <v>10</v>
      </c>
      <c r="N2" s="3" t="s">
        <v>11</v>
      </c>
      <c r="O2" s="3" t="s">
        <v>12</v>
      </c>
      <c r="Q2" s="3"/>
      <c r="R2" s="3" t="s">
        <v>9</v>
      </c>
      <c r="S2" s="3" t="s">
        <v>8</v>
      </c>
      <c r="T2" s="3" t="s">
        <v>10</v>
      </c>
      <c r="U2" s="3" t="s">
        <v>11</v>
      </c>
      <c r="V2" s="3" t="s">
        <v>12</v>
      </c>
    </row>
    <row r="3" spans="2:22" x14ac:dyDescent="0.3">
      <c r="B3" s="5">
        <v>2</v>
      </c>
      <c r="C3" s="3">
        <v>36</v>
      </c>
      <c r="D3" s="4">
        <v>2060000</v>
      </c>
      <c r="E3" s="3">
        <v>625</v>
      </c>
      <c r="J3" s="3" t="s">
        <v>58</v>
      </c>
      <c r="K3" s="7">
        <f>COUNTIFS($C$2:$C$201,"&lt;=24",$D$2:$D$201,"&lt;=8,00,000")</f>
        <v>3</v>
      </c>
      <c r="L3" s="7">
        <f>COUNTIFS($C$2:$C$201,"&lt;=24",$D$2:$D$201,"&gt;=8,00,000",$D$2:$D$201,"&lt;=10,00,000")</f>
        <v>0</v>
      </c>
      <c r="M3" s="7">
        <f>COUNTIFS($C$2:$C$201,"&lt;=24",$D$2:$D$201,"&gt;=10,00,000",$D$2:$D$201,"&lt;=14,00,000")</f>
        <v>8</v>
      </c>
      <c r="N3" s="7">
        <f>COUNTIFS($C$2:$C$201,"&lt;=24",$D$2:$D$201,"&gt;=14,00,000",$D$2:$D$201,"&lt;=20,00,000")</f>
        <v>7</v>
      </c>
      <c r="O3" s="7">
        <f>COUNTIFS($C$2:$C$201,"&lt;=24",$D$2:$D$201,"&gt;=20,00,000",$D$2:$D$201,"&lt;=25,00,000")</f>
        <v>3</v>
      </c>
      <c r="Q3" s="3" t="s">
        <v>58</v>
      </c>
      <c r="R3" s="32">
        <f>SUMIFS($E$2:$E$201,$C$2:$C$201,"&lt;=24",$D$2:$D$201,"&lt;=8,00,000")/K3</f>
        <v>731.66666666666663</v>
      </c>
      <c r="S3" s="32">
        <f>IFERROR(SUMIFS($E$2:$E$201,$C$2:$C$201,"&lt;=24",$D$2:$D$201,"&gt;=8,00,000",$D$2:$D$201,"&lt;=10,00,000")/L3,0)</f>
        <v>0</v>
      </c>
      <c r="T3" s="32">
        <f>IFERROR(SUMIFS($E$2:$E$201,$C$2:$C$201,"&lt;=24",$D$2:$D$201,"&gt;=10,00,000",$D$2:$D$201,"&lt;=14,00,000")/M3,0)</f>
        <v>671</v>
      </c>
      <c r="U3" s="32">
        <f>IFERROR(SUMIFS($E$2:$E$201,$C$2:$C$201,"&lt;=24",$D$2:$D$201,"&gt;=14,00,000",$D$2:$D$201,"&lt;=20,00,000")/N3,0)</f>
        <v>720.14285714285711</v>
      </c>
      <c r="V3" s="32">
        <f>IFERROR(SUMIFS($E$2:$E$201,$C$2:$C$201,"&lt;=24",$D$2:$D$201,"&gt;=20,00,000",$D$2:$D$201,"&lt;=25,00,000")/O3,0)</f>
        <v>761</v>
      </c>
    </row>
    <row r="4" spans="2:22" x14ac:dyDescent="0.3">
      <c r="B4" s="5">
        <v>3</v>
      </c>
      <c r="C4" s="3">
        <v>24</v>
      </c>
      <c r="D4" s="4">
        <v>1480000</v>
      </c>
      <c r="E4" s="3">
        <v>580</v>
      </c>
      <c r="J4" s="3" t="s">
        <v>3</v>
      </c>
      <c r="K4" s="7">
        <f>COUNTIFS($C$2:$C$201,"&gt;=25", $C$2:$C$201,"&lt;=30",$D$2:$D$201,"&lt;=8,00,000")</f>
        <v>5</v>
      </c>
      <c r="L4" s="7">
        <f>COUNTIFS($C$2:$C$201,"&gt;=25",$C$2:$C$201,"&lt;=30",$D$2:$D$201,"&gt;=8,00,000",$D$2:$D$201,"&lt;=10,00,000")</f>
        <v>0</v>
      </c>
      <c r="M4" s="7">
        <f>COUNTIFS($C$2:$C$201,"&gt;=25",$C$2:$C$201,"&lt;=30",$D$2:$D$201,"&gt;=10,00,000",$D$2:$D$201,"&lt;=14,00,000")</f>
        <v>7</v>
      </c>
      <c r="N4" s="7">
        <f>COUNTIFS($C$2:$C$201,"&gt;=25",$C$2:$C$201,"&lt;=30",$D$2:$D$201,"&gt;=14,00,000",$D$2:$D$201,"&lt;=20,00,000")</f>
        <v>6</v>
      </c>
      <c r="O4" s="7">
        <f>COUNTIFS($C$2:$C$201,"&gt;=25",$C$2:$C$201,"&lt;=30",$D$2:$D$201,"&gt;=20,00,000",$D$2:$D$201,"&lt;=25,00,000")</f>
        <v>10</v>
      </c>
      <c r="Q4" s="3" t="s">
        <v>3</v>
      </c>
      <c r="R4" s="32">
        <f>SUMIFS($E$2:$E$201,$C$2:$C$201,"&gt;=25",$C$2:$C$201,"&lt;=30",$D$2:$D$201,"&lt;=8,00,000")/K4</f>
        <v>574</v>
      </c>
      <c r="S4" s="32">
        <f>IFERROR(SUMIFS($E$2:$E$201,$C$2:$C$201,"&gt;=25",$C$2:$C$201,"&lt;=30",$D$2:$D$201,"&gt;=8,00,000",$D$2:$D$201,"&lt;=10,00,000")/L4,0)</f>
        <v>0</v>
      </c>
      <c r="T4" s="32">
        <f>IFERROR(SUMIFS($E$2:$E$201,$C$2:$C$201,"&gt;=25",$C$2:$C$201,"&lt;=30",$D$2:$D$201,"&gt;=10,00,000",$D$2:$D$201,"&lt;=14,00,000")/M4,0)</f>
        <v>666</v>
      </c>
      <c r="U4" s="32">
        <f>IFERROR(SUMIFS($E$2:$E$201,$C$2:$C$201,"&gt;=25",$C$2:$C$201,"&lt;=30",$D$2:$D$201,"&gt;=14,00,000",$D$2:$D$201,"&lt;=20,00,000")/N4,0)</f>
        <v>734.33333333333337</v>
      </c>
      <c r="V4" s="32">
        <f>IFERROR(SUMIFS($E$2:$E$201,$C$2:$C$201,"&gt;=25",$C$2:$C$201,"&lt;=30",$D$2:$D$201,"&gt;=20,00,000",$D$2:$D$201,"&lt;=25,00,000")/O4,0)</f>
        <v>754.8</v>
      </c>
    </row>
    <row r="5" spans="2:22" x14ac:dyDescent="0.3">
      <c r="B5" s="5">
        <v>4</v>
      </c>
      <c r="C5" s="3">
        <v>46</v>
      </c>
      <c r="D5" s="4">
        <v>1380000</v>
      </c>
      <c r="E5" s="3">
        <v>770</v>
      </c>
      <c r="J5" s="3" t="s">
        <v>4</v>
      </c>
      <c r="K5" s="7">
        <f>COUNTIFS($C$2:$C$201,"&gt;=31", $C$2:$C$201,"&lt;=35",$D$2:$D$201,"&lt;=8,00,000")</f>
        <v>3</v>
      </c>
      <c r="L5" s="7">
        <f>COUNTIFS($C$2:$C$201,"&gt;=31",$C$2:$C$201,"&lt;=35",$D$2:$D$201,"&gt;=8,00,000",$D$2:$D$201,"&lt;=10,00,000")</f>
        <v>1</v>
      </c>
      <c r="M5" s="7">
        <f>COUNTIFS($C$2:$C$201,"&gt;=31",$C$2:$C$201,"&lt;=35",$D$2:$D$201,"&gt;=10,00,000",$D$2:$D$201,"&lt;=14,00,000")</f>
        <v>7</v>
      </c>
      <c r="N5" s="7">
        <f>COUNTIFS($C$2:$C$201,"&gt;=31",$C$2:$C$201,"&lt;=35",$D$2:$D$201,"&gt;=14,00,000",$D$2:$D$201,"&lt;=20,00,000")</f>
        <v>8</v>
      </c>
      <c r="O5" s="7">
        <f>COUNTIFS($C$2:$C$201,"&gt;=31",$C$2:$C$201,"&lt;=35",$D$2:$D$201,"&gt;=20,00,000",$D$2:$D$201,"&lt;=25,00,000")</f>
        <v>4</v>
      </c>
      <c r="Q5" s="3" t="s">
        <v>4</v>
      </c>
      <c r="R5" s="32">
        <f>SUMIFS($E$2:$E$201,$C$2:$C$201,"&gt;=31",$C$2:$C$201,"&lt;=35",$D$2:$D$201,"&lt;=8,00,000")/K5</f>
        <v>761</v>
      </c>
      <c r="S5" s="32">
        <f>IFERROR(SUMIFS($E$2:$E$201,$C$2:$C$201,"&gt;=31",$C$2:$C$201,"&lt;=35",$D$2:$D$201,"&gt;=8,00,000",$D$2:$D$201,"&lt;=10,00,000")/L5,0)</f>
        <v>839</v>
      </c>
      <c r="T5" s="32">
        <f>IFERROR(SUMIFS($E$2:$E$201,$C$2:$C$201,"&gt;=31",$C$2:$C$201,"&lt;=35",$D$2:$D$201,"&gt;=10,00,000",$D$2:$D$201,"&lt;=14,00,000")/M5,0)</f>
        <v>738.85714285714289</v>
      </c>
      <c r="U5" s="32">
        <f>IFERROR(SUMIFS($E$2:$E$201,$C$2:$C$201,"&gt;=31",$C$2:$C$201,"&lt;=35",$D$2:$D$201,"&gt;=14,00,000",$D$2:$D$201,"&lt;=20,00,000")/N5,0)</f>
        <v>697.625</v>
      </c>
      <c r="V5" s="32">
        <f>IFERROR(SUMIFS($E$2:$E$201,$C$2:$C$201,"&gt;=31",$C$2:$C$201,"&lt;=35",$D$2:$D$201,"&gt;=20,00,000",$D$2:$D$201,"&lt;=25,00,000")/O5,0)</f>
        <v>565.5</v>
      </c>
    </row>
    <row r="6" spans="2:22" x14ac:dyDescent="0.3">
      <c r="B6" s="5">
        <v>5</v>
      </c>
      <c r="C6" s="3">
        <v>62</v>
      </c>
      <c r="D6" s="4">
        <v>640000</v>
      </c>
      <c r="E6" s="3">
        <v>774</v>
      </c>
      <c r="J6" s="3" t="s">
        <v>5</v>
      </c>
      <c r="K6" s="7">
        <f>COUNTIFS($C$2:$C$201,"&gt;=36", $C$2:$C$201,"&lt;=40",$D$2:$D$201,"&lt;=8,00,000")</f>
        <v>0</v>
      </c>
      <c r="L6" s="7">
        <f>COUNTIFS($C$2:$C$201,"&gt;=36",$C$2:$C$201,"&lt;=40",$D$2:$D$201,"&gt;=8,00,000",$D$2:$D$201,"&lt;=10,00,000")</f>
        <v>1</v>
      </c>
      <c r="M6" s="7">
        <f>COUNTIFS($C$2:$C$201,"&gt;=36",$C$2:$C$201,"&lt;=40",$D$2:$D$201,"&gt;=10,00,000",$D$2:$D$201,"&lt;=14,00,000")</f>
        <v>3</v>
      </c>
      <c r="N6" s="7">
        <f>COUNTIFS($C$2:$C$201,"&gt;=36",$C$2:$C$201,"&lt;=40",$D$2:$D$201,"&gt;=14,00,000",$D$2:$D$201,"&lt;=20,00,000")</f>
        <v>8</v>
      </c>
      <c r="O6" s="7">
        <f>COUNTIFS($C$2:$C$201,"&gt;=36",$C$2:$C$201,"&lt;=40",$D$2:$D$201,"&gt;=20,00,000",$D$2:$D$201,"&lt;=25,00,000")</f>
        <v>5</v>
      </c>
      <c r="Q6" s="3" t="s">
        <v>5</v>
      </c>
      <c r="R6" s="32">
        <f>IFERROR(SUMIFS($E$2:$E$201,$C$2:$C$201,"&gt;=36",$C$2:$C$201,"&lt;=40",$D$2:$D$201,"&lt;=8,00,000")/K6,0)</f>
        <v>0</v>
      </c>
      <c r="S6" s="32">
        <f>IFERROR(SUMIFS($E$2:$E$201,$C$2:$C$201,"&gt;=36",$C$2:$C$201,"&lt;=40",$D$2:$D$201,"&gt;=8,00,000",$D$2:$D$201,"&lt;=10,00,000")/L6,0)</f>
        <v>582</v>
      </c>
      <c r="T6" s="32">
        <f>IFERROR(SUMIFS($E$2:$E$201,$C$2:$C$201,"&gt;=36",$C$2:$C$201,"&lt;=40",$D$2:$D$201,"&gt;=10,00,000",$D$2:$D$201,"&lt;=14,00,000")/M6,0)</f>
        <v>773</v>
      </c>
      <c r="U6" s="32">
        <f>IFERROR(SUMIFS($E$2:$E$201,$C$2:$C$201,"&gt;=36",$C$2:$C$201,"&lt;=40",$D$2:$D$201,"&gt;=14,00,000",$D$2:$D$201,"&lt;=20,00,000")/N6,0)</f>
        <v>671.375</v>
      </c>
      <c r="V6" s="32">
        <f>IFERROR(SUMIFS($E$2:$E$201,$C$2:$C$201,"&gt;=36",$C$2:$C$201,"&lt;=40",$D$2:$D$201,"&gt;=20,00,000",$D$2:$D$201,"&lt;=25,00,000")/O6,0)</f>
        <v>655.8</v>
      </c>
    </row>
    <row r="7" spans="2:22" x14ac:dyDescent="0.3">
      <c r="B7" s="5">
        <v>6</v>
      </c>
      <c r="C7" s="3">
        <v>55</v>
      </c>
      <c r="D7" s="4">
        <v>1520000</v>
      </c>
      <c r="E7" s="3">
        <v>683</v>
      </c>
      <c r="H7" t="s">
        <v>80</v>
      </c>
      <c r="J7" s="3" t="s">
        <v>6</v>
      </c>
      <c r="K7" s="7">
        <f>COUNTIFS($C$2:$C$201,"&gt;=41", $C$2:$C$201,"&lt;50",$D$2:$D$201,"&lt;=8,00,000")</f>
        <v>3</v>
      </c>
      <c r="L7" s="7">
        <f>COUNTIFS($C$2:$C$201,"&gt;=41",$C$2:$C$201,"&lt;=50",$D$2:$D$201,"&gt;=8,00,000",$D$2:$D$201,"&lt;=10,00,000")</f>
        <v>4</v>
      </c>
      <c r="M7" s="7">
        <f>COUNTIFS($C$2:$C$201,"&gt;=41",$C$2:$C$201,"&lt;=50",$D$2:$D$201,"&gt;=10,00,000",$D$2:$D$201,"&lt;=14,00,000")</f>
        <v>5</v>
      </c>
      <c r="N7" s="7">
        <f>COUNTIFS($C$2:$C$201,"&gt;=41",$C$2:$C$201,"&lt;=50",$D$2:$D$201,"&gt;=14,00,000",$D$2:$D$201,"&lt;=20,00,000")</f>
        <v>14</v>
      </c>
      <c r="O7" s="7">
        <f>COUNTIFS($C$2:$C$201,"&gt;=41",$C$2:$C$201,"&lt;=50",$D$2:$D$201,"&gt;=20,00,000",$D$2:$D$201,"&lt;=25,00,000")</f>
        <v>12</v>
      </c>
      <c r="Q7" s="3" t="s">
        <v>6</v>
      </c>
      <c r="R7" s="32">
        <f>SUMIFS($E$2:$E$201,$C$2:$C$201,"&gt;=41",$C$2:$C$201,"&lt;=50",$D$2:$D$201,"&lt;=8,00,000")/K7</f>
        <v>1253</v>
      </c>
      <c r="S7" s="32">
        <f>IFERROR(SUMIFS($E$2:$E$201,$C$2:$C$201,"&gt;=41",$C$2:$C$201,"&lt;=50",$D$2:$D$201,"&gt;=8,00,000",$D$2:$D$201,"&lt;=10,00,000")/L7,0)</f>
        <v>592.75</v>
      </c>
      <c r="T7" s="32">
        <f>IFERROR(SUMIFS($E$2:$E$201,$C$2:$C$201,"&gt;=41",$C$2:$C$201,"&lt;=50",$D$2:$D$201,"&gt;=10,00,000",$D$2:$D$201,"&lt;=14,00,000")/M7,0)</f>
        <v>750.6</v>
      </c>
      <c r="U7" s="32">
        <f>IFERROR(SUMIFS($E$2:$E$201,$C$2:$C$201,"&gt;=41",$C$2:$C$201,"&lt;=50",$D$2:$D$201,"&gt;=14,00,000",$D$2:$D$201,"&lt;=20,00,000")/N7,0)</f>
        <v>729.07142857142856</v>
      </c>
      <c r="V7" s="32">
        <f>IFERROR(SUMIFS($E$2:$E$201,$C$2:$C$201,"&gt;=41",$C$2:$C$201,"&lt;=50",$D$2:$D$201,"&gt;=20,00,000",$D$2:$D$201,"&lt;=25,00,000")/O7,0)</f>
        <v>723.58333333333337</v>
      </c>
    </row>
    <row r="8" spans="2:22" x14ac:dyDescent="0.3">
      <c r="B8" s="5">
        <v>7</v>
      </c>
      <c r="C8" s="3">
        <v>62</v>
      </c>
      <c r="D8" s="4">
        <v>1840000</v>
      </c>
      <c r="E8" s="3">
        <v>844</v>
      </c>
      <c r="J8" s="3" t="s">
        <v>7</v>
      </c>
      <c r="K8" s="7">
        <f>COUNTIFS($C$2:$C$201,"&gt;=50", $C$2:$C$201,"&lt;55",$D$2:$D$201,"&lt;=8,00,000")</f>
        <v>5</v>
      </c>
      <c r="L8" s="7">
        <f>COUNTIFS($C$2:$C$201,"&gt;=50",$C$2:$C$201,"&lt;=55",$D$2:$D$201,"&gt;=8,00,000",$D$2:$D$201,"&lt;=10,00,000")</f>
        <v>1</v>
      </c>
      <c r="M8" s="7">
        <f>COUNTIFS($C$2:$C$201,"&gt;=50",$C$2:$C$201,"&lt;=55",$D$2:$D$201,"&gt;=10,00,000",$D$2:$D$201,"&lt;=14,00,000")</f>
        <v>6</v>
      </c>
      <c r="N8" s="7">
        <f>COUNTIFS($C$2:$C$201,"&gt;=50",$C$2:$C$201,"&lt;=55",$D$2:$D$201,"&gt;=14,00,000",$D$2:$D$201,"&lt;=20,00,000")</f>
        <v>7</v>
      </c>
      <c r="O8" s="7">
        <f>COUNTIFS($C$2:$C$201,"&gt;=50",$C$2:$C$201,"&lt;55",$D$2:$D$201,"&gt;=20,00,000",$D$2:$D$201,"&lt;=25,00,000")</f>
        <v>6</v>
      </c>
      <c r="Q8" s="3" t="s">
        <v>7</v>
      </c>
      <c r="R8" s="32">
        <f>SUMIFS($E$2:$E$201,$C$2:$C$201,"&gt;=50",$C$2:$C$201,"&lt;=55",$D$2:$D$201,"&lt;=8,00,000")/K8</f>
        <v>883.8</v>
      </c>
      <c r="S8" s="32">
        <f>IFERROR(SUMIFS($E$2:$E$201,$C$2:$C$201,"&gt;=50",$C$2:$C$201,"&lt;=55",$D$2:$D$201,"&gt;=8,00,000",$D$2:$D$201,"&lt;=10,00,000")/L8,0)</f>
        <v>652</v>
      </c>
      <c r="T8" s="32">
        <f>IFERROR(SUMIFS($E$2:$E$201,$C$2:$C$201,"&gt;=50",$C$2:$C$201,"&lt;=55",$D$2:$D$201,"&gt;=10,00,000",$D$2:$D$201,"&lt;=14,00,000")/M8,0)</f>
        <v>755.66666666666663</v>
      </c>
      <c r="U8" s="32">
        <f>IFERROR(SUMIFS($E$2:$E$201,$C$2:$C$201,"&gt;=50",$C$2:$C$201,"&lt;=55",$D$2:$D$201,"&gt;=14,00,000",$D$2:$D$201,"&lt;=20,00,000")/N8,0)</f>
        <v>737.71428571428567</v>
      </c>
      <c r="V8" s="32">
        <f>IFERROR(SUMIFS($E$2:$E$201,$C$2:$C$201,"&gt;=50",$C$2:$C$201,"&lt;=55",$D$2:$D$201,"&gt;=20,00,000",$D$2:$D$201,"&lt;=25,00,000")/O8,0)</f>
        <v>775</v>
      </c>
    </row>
    <row r="9" spans="2:22" x14ac:dyDescent="0.3">
      <c r="B9" s="5">
        <v>8</v>
      </c>
      <c r="C9" s="3">
        <v>49</v>
      </c>
      <c r="D9" s="4">
        <v>2210000</v>
      </c>
      <c r="E9" s="3">
        <v>578</v>
      </c>
      <c r="J9" s="33" t="s">
        <v>59</v>
      </c>
      <c r="K9" s="34">
        <f>COUNTIFS($C$2:$C$201,"&gt;=56",$D$2:$D$201,"&lt;=8,00,000")</f>
        <v>7</v>
      </c>
      <c r="L9" s="34">
        <f>COUNTIFS($C$2:$C$201,"&gt;=56",$D$2:$D$201,"&gt;=8,00,000",$D$2:$D$201,"&lt;=10,00,000")</f>
        <v>1</v>
      </c>
      <c r="M9" s="34">
        <f>COUNTIFS($C$2:$C$201,"&gt;=56",$D$2:$D$201,"&gt;=10,00,000",$D$2:$D$201,"&lt;=14,00,000")</f>
        <v>10</v>
      </c>
      <c r="N9" s="34">
        <f>COUNTIFS($C$2:$C$201,"&gt;=56",$D$2:$D$201,"&gt;=14,00,000",$D$2:$D$201,"&lt;=20,00,000")</f>
        <v>15</v>
      </c>
      <c r="O9" s="34">
        <f>COUNTIFS($C$2:$C$201,"&gt;=56",$D$2:$D$201,"&gt;=20,00,000",$D$2:$D$201,"&lt;=25,00,000")</f>
        <v>15</v>
      </c>
      <c r="Q9" s="3" t="s">
        <v>59</v>
      </c>
      <c r="R9" s="32">
        <f>SUMIFS($E$2:$E$201,$C$2:$C$201,"&gt;=56",$D$2:$D$201,"&lt;=8,00,000")/K9</f>
        <v>716.42857142857144</v>
      </c>
      <c r="S9" s="32">
        <f>IFERROR(SUMIFS($E$2:$E$201,$C$2:$C$201,"&gt;=56",$D$2:$D$201,"&gt;=8,00,000",$D$2:$D$201,"&lt;=10,00,000")/L9,0)</f>
        <v>741</v>
      </c>
      <c r="T9" s="32">
        <f>IFERROR(SUMIFS($E$2:$E$201,$C$2:$C$201,"&gt;=56",$D$2:$D$201,"&gt;=10,00,000",$D$2:$D$201,"&lt;=14,00,000")/M9,0)</f>
        <v>706.1</v>
      </c>
      <c r="U9" s="32">
        <f>IFERROR(SUMIFS($E$2:$E$201,$C$2:$C$201,"&gt;=56",$D$2:$D$201,"&gt;=14,00,000",$D$2:$D$201,"&lt;=20,00,000")/N9,0)</f>
        <v>700.6</v>
      </c>
      <c r="V9" s="32">
        <f>IFERROR(SUMIFS($E$2:$E$201,$C$2:$C$201,"&gt;=56",$D$2:$D$201,"&gt;=20,00,000",$D$2:$D$201,"&lt;=25,00,000")/O9,0)</f>
        <v>675.66666666666663</v>
      </c>
    </row>
    <row r="10" spans="2:22" x14ac:dyDescent="0.3">
      <c r="B10" s="5">
        <v>9</v>
      </c>
      <c r="C10" s="3">
        <v>45</v>
      </c>
      <c r="D10" s="4">
        <v>2050000</v>
      </c>
      <c r="E10" s="3">
        <v>717</v>
      </c>
      <c r="J10" s="3" t="s">
        <v>81</v>
      </c>
      <c r="K10" s="3">
        <f>SUM(K3:K9)</f>
        <v>26</v>
      </c>
      <c r="L10" s="3">
        <f>SUM(L3:L9)</f>
        <v>8</v>
      </c>
      <c r="M10" s="3">
        <f>SUM(M3:M9)</f>
        <v>46</v>
      </c>
      <c r="N10" s="3">
        <f>SUM(N3:N9)</f>
        <v>65</v>
      </c>
      <c r="O10" s="3">
        <f>SUM(O3:O9)</f>
        <v>55</v>
      </c>
      <c r="P10" s="3">
        <f>SUM(K10:O10)</f>
        <v>200</v>
      </c>
      <c r="Q10" s="3" t="s">
        <v>81</v>
      </c>
      <c r="R10" s="3">
        <f>SUM(R3:R9)</f>
        <v>4919.8952380952378</v>
      </c>
      <c r="S10" s="3">
        <f>SUM(S3:S9)</f>
        <v>3406.75</v>
      </c>
      <c r="T10" s="3">
        <f>SUM(T3:T9)</f>
        <v>5061.2238095238099</v>
      </c>
      <c r="U10" s="3">
        <f>SUM(U3:U9)</f>
        <v>4990.861904761905</v>
      </c>
      <c r="V10" s="3">
        <f>SUM(V3:V9)</f>
        <v>4911.3500000000013</v>
      </c>
    </row>
    <row r="11" spans="2:22" x14ac:dyDescent="0.3">
      <c r="B11" s="5">
        <v>10</v>
      </c>
      <c r="C11" s="3">
        <v>63</v>
      </c>
      <c r="D11" s="4">
        <v>1270000</v>
      </c>
      <c r="E11" s="3">
        <v>857</v>
      </c>
    </row>
    <row r="12" spans="2:22" x14ac:dyDescent="0.3">
      <c r="B12" s="5">
        <v>11</v>
      </c>
      <c r="C12" s="3">
        <v>67</v>
      </c>
      <c r="D12" s="4">
        <v>2500000</v>
      </c>
      <c r="E12" s="3">
        <v>698</v>
      </c>
      <c r="J12" t="s">
        <v>13</v>
      </c>
    </row>
    <row r="13" spans="2:22" x14ac:dyDescent="0.3">
      <c r="B13" s="5">
        <v>12</v>
      </c>
      <c r="C13" s="3">
        <v>47</v>
      </c>
      <c r="D13" s="4">
        <v>590000</v>
      </c>
      <c r="E13" s="3">
        <v>789</v>
      </c>
      <c r="J13" t="s">
        <v>14</v>
      </c>
    </row>
    <row r="14" spans="2:22" x14ac:dyDescent="0.3">
      <c r="B14" s="5">
        <v>13</v>
      </c>
      <c r="C14" s="3">
        <v>34</v>
      </c>
      <c r="D14" s="4">
        <v>1760000</v>
      </c>
      <c r="E14" s="3">
        <v>649</v>
      </c>
    </row>
    <row r="15" spans="2:22" x14ac:dyDescent="0.3">
      <c r="B15" s="5">
        <v>14</v>
      </c>
      <c r="C15" s="3">
        <v>62</v>
      </c>
      <c r="D15" s="4">
        <v>1550000</v>
      </c>
      <c r="E15" s="3">
        <v>698</v>
      </c>
      <c r="J15" s="3"/>
      <c r="K15" s="3" t="s">
        <v>9</v>
      </c>
      <c r="L15" s="3" t="s">
        <v>8</v>
      </c>
      <c r="M15" s="3" t="s">
        <v>10</v>
      </c>
      <c r="N15" s="3" t="s">
        <v>11</v>
      </c>
      <c r="O15" s="3" t="s">
        <v>12</v>
      </c>
      <c r="Q15" s="3"/>
      <c r="R15" s="3" t="s">
        <v>9</v>
      </c>
      <c r="S15" s="3" t="s">
        <v>8</v>
      </c>
      <c r="T15" s="3" t="s">
        <v>10</v>
      </c>
      <c r="U15" s="3" t="s">
        <v>11</v>
      </c>
      <c r="V15" s="3" t="s">
        <v>12</v>
      </c>
    </row>
    <row r="16" spans="2:22" x14ac:dyDescent="0.3">
      <c r="B16" s="5">
        <v>15</v>
      </c>
      <c r="C16" s="3">
        <v>51</v>
      </c>
      <c r="D16" s="4">
        <v>2470000</v>
      </c>
      <c r="E16" s="3">
        <v>538</v>
      </c>
      <c r="J16" s="3" t="s">
        <v>58</v>
      </c>
      <c r="K16" s="3">
        <v>3</v>
      </c>
      <c r="L16" s="3"/>
      <c r="M16" s="3"/>
      <c r="N16" s="3"/>
      <c r="O16" s="3"/>
      <c r="Q16" s="3" t="s">
        <v>58</v>
      </c>
      <c r="R16" s="22">
        <v>732</v>
      </c>
      <c r="S16" s="22"/>
      <c r="T16" s="22"/>
      <c r="U16" s="22"/>
      <c r="V16" s="22"/>
    </row>
    <row r="17" spans="2:22" x14ac:dyDescent="0.3">
      <c r="B17" s="5">
        <v>16</v>
      </c>
      <c r="C17" s="3">
        <v>46</v>
      </c>
      <c r="D17" s="4">
        <v>2130000</v>
      </c>
      <c r="E17" s="3">
        <v>717</v>
      </c>
      <c r="J17" s="3" t="s">
        <v>3</v>
      </c>
      <c r="K17" s="3"/>
      <c r="L17" s="3"/>
      <c r="M17" s="3"/>
      <c r="N17" s="3"/>
      <c r="O17" s="3"/>
      <c r="Q17" s="3" t="s">
        <v>3</v>
      </c>
      <c r="R17" s="22"/>
      <c r="S17" s="22"/>
      <c r="T17" s="22"/>
      <c r="U17" s="22"/>
      <c r="V17" s="22"/>
    </row>
    <row r="18" spans="2:22" x14ac:dyDescent="0.3">
      <c r="B18" s="5">
        <v>17</v>
      </c>
      <c r="C18" s="3">
        <v>21</v>
      </c>
      <c r="D18" s="4">
        <v>1150000</v>
      </c>
      <c r="E18" s="3">
        <v>713</v>
      </c>
      <c r="J18" s="3" t="s">
        <v>4</v>
      </c>
      <c r="K18" s="3"/>
      <c r="L18" s="3"/>
      <c r="M18" s="3"/>
      <c r="N18" s="3"/>
      <c r="O18" s="3"/>
      <c r="Q18" s="3" t="s">
        <v>4</v>
      </c>
      <c r="R18" s="22"/>
      <c r="S18" s="22"/>
      <c r="T18" s="22"/>
      <c r="U18" s="22"/>
      <c r="V18" s="22"/>
    </row>
    <row r="19" spans="2:22" x14ac:dyDescent="0.3">
      <c r="B19" s="5">
        <v>18</v>
      </c>
      <c r="C19" s="3">
        <v>50</v>
      </c>
      <c r="D19" s="4">
        <v>1510000</v>
      </c>
      <c r="E19" s="3">
        <v>629</v>
      </c>
      <c r="J19" s="3" t="s">
        <v>5</v>
      </c>
      <c r="K19" s="3"/>
      <c r="L19" s="3"/>
      <c r="M19" s="3"/>
      <c r="N19" s="3"/>
      <c r="O19" s="3"/>
      <c r="Q19" s="3" t="s">
        <v>5</v>
      </c>
      <c r="R19" s="22"/>
      <c r="S19" s="22"/>
      <c r="T19" s="22"/>
      <c r="U19" s="22"/>
      <c r="V19" s="22"/>
    </row>
    <row r="20" spans="2:22" x14ac:dyDescent="0.3">
      <c r="B20" s="5">
        <v>19</v>
      </c>
      <c r="C20" s="3">
        <v>38</v>
      </c>
      <c r="D20" s="4">
        <v>1500000</v>
      </c>
      <c r="E20" s="3">
        <v>818</v>
      </c>
      <c r="J20" s="3" t="s">
        <v>6</v>
      </c>
      <c r="K20" s="3"/>
      <c r="L20" s="3"/>
      <c r="M20" s="3"/>
      <c r="N20" s="3"/>
      <c r="O20" s="3"/>
      <c r="Q20" s="3" t="s">
        <v>6</v>
      </c>
      <c r="R20" s="22"/>
      <c r="S20" s="22"/>
      <c r="T20" s="22"/>
      <c r="U20" s="22"/>
      <c r="V20" s="22"/>
    </row>
    <row r="21" spans="2:22" x14ac:dyDescent="0.3">
      <c r="B21" s="5">
        <v>20</v>
      </c>
      <c r="C21" s="3">
        <v>48</v>
      </c>
      <c r="D21" s="4">
        <v>920000</v>
      </c>
      <c r="E21" s="3">
        <v>608</v>
      </c>
      <c r="J21" s="3" t="s">
        <v>7</v>
      </c>
      <c r="K21" s="3"/>
      <c r="L21" s="3"/>
      <c r="M21" s="3"/>
      <c r="N21" s="3"/>
      <c r="O21" s="3"/>
      <c r="Q21" s="3" t="s">
        <v>7</v>
      </c>
      <c r="R21" s="22"/>
      <c r="S21" s="22"/>
      <c r="T21" s="22"/>
      <c r="U21" s="22"/>
      <c r="V21" s="22"/>
    </row>
    <row r="22" spans="2:22" x14ac:dyDescent="0.3">
      <c r="B22" s="5">
        <v>21</v>
      </c>
      <c r="C22" s="3">
        <v>21</v>
      </c>
      <c r="D22" s="4">
        <v>1100000</v>
      </c>
      <c r="E22" s="3">
        <v>718</v>
      </c>
      <c r="J22" s="3" t="s">
        <v>59</v>
      </c>
      <c r="K22" s="3"/>
      <c r="L22" s="3"/>
      <c r="M22" s="3"/>
      <c r="N22" s="3"/>
      <c r="O22" s="3"/>
      <c r="Q22" s="3" t="s">
        <v>59</v>
      </c>
      <c r="R22" s="22"/>
      <c r="S22" s="22"/>
      <c r="T22" s="22"/>
      <c r="U22" s="22"/>
      <c r="V22" s="22"/>
    </row>
    <row r="23" spans="2:22" x14ac:dyDescent="0.3">
      <c r="B23" s="5">
        <v>22</v>
      </c>
      <c r="C23" s="3">
        <v>32</v>
      </c>
      <c r="D23" s="4">
        <v>1600000</v>
      </c>
      <c r="E23" s="3">
        <v>849</v>
      </c>
    </row>
    <row r="24" spans="2:22" x14ac:dyDescent="0.3">
      <c r="B24" s="5">
        <v>23</v>
      </c>
      <c r="C24" s="3">
        <v>23</v>
      </c>
      <c r="D24" s="4">
        <v>1080000</v>
      </c>
      <c r="E24" s="3">
        <v>804</v>
      </c>
    </row>
    <row r="25" spans="2:22" x14ac:dyDescent="0.3">
      <c r="B25" s="5">
        <v>24</v>
      </c>
      <c r="C25" s="3">
        <v>42</v>
      </c>
      <c r="D25" s="4">
        <v>1910000</v>
      </c>
      <c r="E25" s="3">
        <v>804</v>
      </c>
    </row>
    <row r="26" spans="2:22" x14ac:dyDescent="0.3">
      <c r="B26" s="5">
        <v>25</v>
      </c>
      <c r="C26" s="3">
        <v>66</v>
      </c>
      <c r="D26" s="4">
        <v>2200000</v>
      </c>
      <c r="E26" s="3">
        <v>612</v>
      </c>
      <c r="M26" s="31"/>
    </row>
    <row r="27" spans="2:22" x14ac:dyDescent="0.3">
      <c r="B27" s="5">
        <v>26</v>
      </c>
      <c r="C27" s="3">
        <v>63</v>
      </c>
      <c r="D27" s="4">
        <v>2150000</v>
      </c>
      <c r="E27" s="3">
        <v>652</v>
      </c>
    </row>
    <row r="28" spans="2:22" x14ac:dyDescent="0.3">
      <c r="B28" s="5">
        <v>27</v>
      </c>
      <c r="C28" s="3">
        <v>68</v>
      </c>
      <c r="D28" s="4">
        <v>1850000</v>
      </c>
      <c r="E28" s="3">
        <v>641</v>
      </c>
    </row>
    <row r="29" spans="2:22" x14ac:dyDescent="0.3">
      <c r="B29" s="5">
        <v>28</v>
      </c>
      <c r="C29" s="3">
        <v>25</v>
      </c>
      <c r="D29" s="4">
        <v>1430000</v>
      </c>
      <c r="E29" s="3">
        <v>566</v>
      </c>
    </row>
    <row r="30" spans="2:22" x14ac:dyDescent="0.3">
      <c r="B30" s="5">
        <v>29</v>
      </c>
      <c r="C30" s="3">
        <v>63</v>
      </c>
      <c r="D30" s="4">
        <v>2150000</v>
      </c>
      <c r="E30" s="3">
        <v>813</v>
      </c>
    </row>
    <row r="31" spans="2:22" x14ac:dyDescent="0.3">
      <c r="B31" s="5">
        <v>30</v>
      </c>
      <c r="C31" s="3">
        <v>23</v>
      </c>
      <c r="D31" s="4">
        <v>1260000</v>
      </c>
      <c r="E31" s="3">
        <v>684</v>
      </c>
    </row>
    <row r="32" spans="2:22" x14ac:dyDescent="0.3">
      <c r="B32" s="5">
        <v>31</v>
      </c>
      <c r="C32" s="3">
        <v>53</v>
      </c>
      <c r="D32" s="4">
        <v>820000</v>
      </c>
      <c r="E32" s="3">
        <v>652</v>
      </c>
    </row>
    <row r="33" spans="2:5" x14ac:dyDescent="0.3">
      <c r="B33" s="5">
        <v>32</v>
      </c>
      <c r="C33" s="3">
        <v>41</v>
      </c>
      <c r="D33" s="4">
        <v>1440000</v>
      </c>
      <c r="E33" s="3">
        <v>844</v>
      </c>
    </row>
    <row r="34" spans="2:5" x14ac:dyDescent="0.3">
      <c r="B34" s="5">
        <v>33</v>
      </c>
      <c r="C34" s="3">
        <v>22</v>
      </c>
      <c r="D34" s="4">
        <v>1320000</v>
      </c>
      <c r="E34" s="3">
        <v>598</v>
      </c>
    </row>
    <row r="35" spans="2:5" x14ac:dyDescent="0.3">
      <c r="B35" s="5">
        <v>34</v>
      </c>
      <c r="C35" s="3">
        <v>64</v>
      </c>
      <c r="D35" s="4">
        <v>2050000</v>
      </c>
      <c r="E35" s="3">
        <v>536</v>
      </c>
    </row>
    <row r="36" spans="2:5" x14ac:dyDescent="0.3">
      <c r="B36" s="5">
        <v>35</v>
      </c>
      <c r="C36" s="3">
        <v>53</v>
      </c>
      <c r="D36" s="4">
        <v>2390000</v>
      </c>
      <c r="E36" s="3">
        <v>823</v>
      </c>
    </row>
    <row r="37" spans="2:5" x14ac:dyDescent="0.3">
      <c r="B37" s="5">
        <v>36</v>
      </c>
      <c r="C37" s="3">
        <v>21</v>
      </c>
      <c r="D37" s="4">
        <v>1070000</v>
      </c>
      <c r="E37" s="3">
        <v>604</v>
      </c>
    </row>
    <row r="38" spans="2:5" x14ac:dyDescent="0.3">
      <c r="B38" s="5">
        <v>37</v>
      </c>
      <c r="C38" s="3">
        <v>36</v>
      </c>
      <c r="D38" s="4">
        <v>1210000</v>
      </c>
      <c r="E38" s="3">
        <v>756</v>
      </c>
    </row>
    <row r="39" spans="2:5" x14ac:dyDescent="0.3">
      <c r="B39" s="5">
        <v>38</v>
      </c>
      <c r="C39" s="3">
        <v>44</v>
      </c>
      <c r="D39" s="4">
        <v>1500000</v>
      </c>
      <c r="E39" s="3">
        <v>545</v>
      </c>
    </row>
    <row r="40" spans="2:5" x14ac:dyDescent="0.3">
      <c r="B40" s="5">
        <v>39</v>
      </c>
      <c r="C40" s="3">
        <v>62</v>
      </c>
      <c r="D40" s="4">
        <v>1310000</v>
      </c>
      <c r="E40" s="3">
        <v>545</v>
      </c>
    </row>
    <row r="41" spans="2:5" x14ac:dyDescent="0.3">
      <c r="B41" s="5">
        <v>40</v>
      </c>
      <c r="C41" s="3">
        <v>29</v>
      </c>
      <c r="D41" s="4">
        <v>1150000</v>
      </c>
      <c r="E41" s="3">
        <v>525</v>
      </c>
    </row>
    <row r="42" spans="2:5" x14ac:dyDescent="0.3">
      <c r="B42" s="5">
        <v>41</v>
      </c>
      <c r="C42" s="3">
        <v>54</v>
      </c>
      <c r="D42" s="4">
        <v>620000</v>
      </c>
      <c r="E42" s="3">
        <v>786</v>
      </c>
    </row>
    <row r="43" spans="2:5" x14ac:dyDescent="0.3">
      <c r="B43" s="5">
        <v>42</v>
      </c>
      <c r="C43" s="3">
        <v>68</v>
      </c>
      <c r="D43" s="4">
        <v>1450000</v>
      </c>
      <c r="E43" s="3">
        <v>770</v>
      </c>
    </row>
    <row r="44" spans="2:5" x14ac:dyDescent="0.3">
      <c r="B44" s="5">
        <v>43</v>
      </c>
      <c r="C44" s="3">
        <v>55</v>
      </c>
      <c r="D44" s="4">
        <v>2050000</v>
      </c>
      <c r="E44" s="3">
        <v>852</v>
      </c>
    </row>
    <row r="45" spans="2:5" x14ac:dyDescent="0.3">
      <c r="B45" s="5">
        <v>44</v>
      </c>
      <c r="C45" s="3">
        <v>31</v>
      </c>
      <c r="D45" s="4">
        <v>1780000</v>
      </c>
      <c r="E45" s="3">
        <v>743</v>
      </c>
    </row>
    <row r="46" spans="2:5" x14ac:dyDescent="0.3">
      <c r="B46" s="5">
        <v>45</v>
      </c>
      <c r="C46" s="3">
        <v>42</v>
      </c>
      <c r="D46" s="4">
        <v>680000</v>
      </c>
      <c r="E46" s="3">
        <v>614</v>
      </c>
    </row>
    <row r="47" spans="2:5" x14ac:dyDescent="0.3">
      <c r="B47" s="5">
        <v>46</v>
      </c>
      <c r="C47" s="3">
        <v>26</v>
      </c>
      <c r="D47" s="4">
        <v>1830000</v>
      </c>
      <c r="E47" s="3">
        <v>820</v>
      </c>
    </row>
    <row r="48" spans="2:5" x14ac:dyDescent="0.3">
      <c r="B48" s="5">
        <v>47</v>
      </c>
      <c r="C48" s="3">
        <v>41</v>
      </c>
      <c r="D48" s="4">
        <v>1870000</v>
      </c>
      <c r="E48" s="3">
        <v>807</v>
      </c>
    </row>
    <row r="49" spans="2:5" x14ac:dyDescent="0.3">
      <c r="B49" s="5">
        <v>48</v>
      </c>
      <c r="C49" s="3">
        <v>68</v>
      </c>
      <c r="D49" s="4">
        <v>1220000</v>
      </c>
      <c r="E49" s="3">
        <v>812</v>
      </c>
    </row>
    <row r="50" spans="2:5" x14ac:dyDescent="0.3">
      <c r="B50" s="5">
        <v>49</v>
      </c>
      <c r="C50" s="3">
        <v>41</v>
      </c>
      <c r="D50" s="4">
        <v>810000</v>
      </c>
      <c r="E50" s="3">
        <v>546</v>
      </c>
    </row>
    <row r="51" spans="2:5" x14ac:dyDescent="0.3">
      <c r="B51" s="5">
        <v>50</v>
      </c>
      <c r="C51" s="3">
        <v>32</v>
      </c>
      <c r="D51" s="4">
        <v>680000</v>
      </c>
      <c r="E51" s="3">
        <v>668</v>
      </c>
    </row>
    <row r="52" spans="2:5" x14ac:dyDescent="0.3">
      <c r="B52" s="5">
        <v>51</v>
      </c>
      <c r="C52" s="3">
        <v>27</v>
      </c>
      <c r="D52" s="4">
        <v>2230000</v>
      </c>
      <c r="E52" s="3">
        <v>725</v>
      </c>
    </row>
    <row r="53" spans="2:5" x14ac:dyDescent="0.3">
      <c r="B53" s="5">
        <v>52</v>
      </c>
      <c r="C53" s="3">
        <v>60</v>
      </c>
      <c r="D53" s="4">
        <v>760000</v>
      </c>
      <c r="E53" s="3">
        <v>831</v>
      </c>
    </row>
    <row r="54" spans="2:5" x14ac:dyDescent="0.3">
      <c r="B54" s="5">
        <v>53</v>
      </c>
      <c r="C54" s="3">
        <v>39</v>
      </c>
      <c r="D54" s="4">
        <v>1760000</v>
      </c>
      <c r="E54" s="3">
        <v>547</v>
      </c>
    </row>
    <row r="55" spans="2:5" x14ac:dyDescent="0.3">
      <c r="B55" s="5">
        <v>54</v>
      </c>
      <c r="C55" s="3">
        <v>24</v>
      </c>
      <c r="D55" s="4">
        <v>1030000</v>
      </c>
      <c r="E55" s="3">
        <v>673</v>
      </c>
    </row>
    <row r="56" spans="2:5" x14ac:dyDescent="0.3">
      <c r="B56" s="5">
        <v>55</v>
      </c>
      <c r="C56" s="3">
        <v>55</v>
      </c>
      <c r="D56" s="4">
        <v>1220000</v>
      </c>
      <c r="E56" s="3">
        <v>841</v>
      </c>
    </row>
    <row r="57" spans="2:5" x14ac:dyDescent="0.3">
      <c r="B57" s="5">
        <v>56</v>
      </c>
      <c r="C57" s="3">
        <v>46</v>
      </c>
      <c r="D57" s="4">
        <v>1760000</v>
      </c>
      <c r="E57" s="3">
        <v>625</v>
      </c>
    </row>
    <row r="58" spans="2:5" x14ac:dyDescent="0.3">
      <c r="B58" s="5">
        <v>57</v>
      </c>
      <c r="C58" s="3">
        <v>22</v>
      </c>
      <c r="D58" s="4">
        <v>1410000</v>
      </c>
      <c r="E58" s="3">
        <v>729</v>
      </c>
    </row>
    <row r="59" spans="2:5" x14ac:dyDescent="0.3">
      <c r="B59" s="5">
        <v>58</v>
      </c>
      <c r="C59" s="3">
        <v>48</v>
      </c>
      <c r="D59" s="4">
        <v>1240000</v>
      </c>
      <c r="E59" s="3">
        <v>735</v>
      </c>
    </row>
    <row r="60" spans="2:5" x14ac:dyDescent="0.3">
      <c r="B60" s="5">
        <v>59</v>
      </c>
      <c r="C60" s="3">
        <v>26</v>
      </c>
      <c r="D60" s="4">
        <v>2450000</v>
      </c>
      <c r="E60" s="3">
        <v>660</v>
      </c>
    </row>
    <row r="61" spans="2:5" x14ac:dyDescent="0.3">
      <c r="B61" s="5">
        <v>60</v>
      </c>
      <c r="C61" s="3">
        <v>48</v>
      </c>
      <c r="D61" s="4">
        <v>1640000</v>
      </c>
      <c r="E61" s="3">
        <v>710</v>
      </c>
    </row>
    <row r="62" spans="2:5" x14ac:dyDescent="0.3">
      <c r="B62" s="5">
        <v>61</v>
      </c>
      <c r="C62" s="3">
        <v>39</v>
      </c>
      <c r="D62" s="4">
        <v>2070000</v>
      </c>
      <c r="E62" s="3">
        <v>715</v>
      </c>
    </row>
    <row r="63" spans="2:5" x14ac:dyDescent="0.3">
      <c r="B63" s="5">
        <v>62</v>
      </c>
      <c r="C63" s="3">
        <v>36</v>
      </c>
      <c r="D63" s="4">
        <v>890000</v>
      </c>
      <c r="E63" s="3">
        <v>582</v>
      </c>
    </row>
    <row r="64" spans="2:5" x14ac:dyDescent="0.3">
      <c r="B64" s="5">
        <v>63</v>
      </c>
      <c r="C64" s="3">
        <v>66</v>
      </c>
      <c r="D64" s="4">
        <v>2030000</v>
      </c>
      <c r="E64" s="3">
        <v>582</v>
      </c>
    </row>
    <row r="65" spans="2:5" x14ac:dyDescent="0.3">
      <c r="B65" s="5">
        <v>64</v>
      </c>
      <c r="C65" s="3">
        <v>60</v>
      </c>
      <c r="D65" s="4">
        <v>1060000</v>
      </c>
      <c r="E65" s="3">
        <v>567</v>
      </c>
    </row>
    <row r="66" spans="2:5" x14ac:dyDescent="0.3">
      <c r="B66" s="5">
        <v>65</v>
      </c>
      <c r="C66" s="3">
        <v>50</v>
      </c>
      <c r="D66" s="4">
        <v>680000</v>
      </c>
      <c r="E66" s="3">
        <v>798</v>
      </c>
    </row>
    <row r="67" spans="2:5" x14ac:dyDescent="0.3">
      <c r="B67" s="5">
        <v>66</v>
      </c>
      <c r="C67" s="3">
        <v>40</v>
      </c>
      <c r="D67" s="4">
        <v>1980000</v>
      </c>
      <c r="E67" s="3">
        <v>820</v>
      </c>
    </row>
    <row r="68" spans="2:5" x14ac:dyDescent="0.3">
      <c r="B68" s="5">
        <v>67</v>
      </c>
      <c r="C68" s="3">
        <v>39</v>
      </c>
      <c r="D68" s="4">
        <v>2420000</v>
      </c>
      <c r="E68" s="3">
        <v>525</v>
      </c>
    </row>
    <row r="69" spans="2:5" x14ac:dyDescent="0.3">
      <c r="B69" s="5">
        <v>68</v>
      </c>
      <c r="C69" s="3">
        <v>59</v>
      </c>
      <c r="D69" s="4">
        <v>1830000</v>
      </c>
      <c r="E69" s="3">
        <v>695</v>
      </c>
    </row>
    <row r="70" spans="2:5" x14ac:dyDescent="0.3">
      <c r="B70" s="5">
        <v>69</v>
      </c>
      <c r="C70" s="3">
        <v>47</v>
      </c>
      <c r="D70" s="4">
        <v>2410000</v>
      </c>
      <c r="E70" s="3">
        <v>719</v>
      </c>
    </row>
    <row r="71" spans="2:5" x14ac:dyDescent="0.3">
      <c r="B71" s="5">
        <v>70</v>
      </c>
      <c r="C71" s="3">
        <v>48</v>
      </c>
      <c r="D71" s="4">
        <v>760000</v>
      </c>
      <c r="E71" s="3">
        <v>772</v>
      </c>
    </row>
    <row r="72" spans="2:5" x14ac:dyDescent="0.3">
      <c r="B72" s="5">
        <v>71</v>
      </c>
      <c r="C72" s="3">
        <v>60</v>
      </c>
      <c r="D72" s="4">
        <v>2100000</v>
      </c>
      <c r="E72" s="3">
        <v>799</v>
      </c>
    </row>
    <row r="73" spans="2:5" x14ac:dyDescent="0.3">
      <c r="B73" s="5">
        <v>72</v>
      </c>
      <c r="C73" s="3">
        <v>23</v>
      </c>
      <c r="D73" s="4">
        <v>1460000</v>
      </c>
      <c r="E73" s="3">
        <v>814</v>
      </c>
    </row>
    <row r="74" spans="2:5" x14ac:dyDescent="0.3">
      <c r="B74" s="5">
        <v>73</v>
      </c>
      <c r="C74" s="3">
        <v>34</v>
      </c>
      <c r="D74" s="4">
        <v>1050000</v>
      </c>
      <c r="E74" s="3">
        <v>807</v>
      </c>
    </row>
    <row r="75" spans="2:5" x14ac:dyDescent="0.3">
      <c r="B75" s="5">
        <v>74</v>
      </c>
      <c r="C75" s="3">
        <v>60</v>
      </c>
      <c r="D75" s="4">
        <v>790000</v>
      </c>
      <c r="E75" s="3">
        <v>858</v>
      </c>
    </row>
    <row r="76" spans="2:5" x14ac:dyDescent="0.3">
      <c r="B76" s="5">
        <v>75</v>
      </c>
      <c r="C76" s="3">
        <v>48</v>
      </c>
      <c r="D76" s="4">
        <v>2250000</v>
      </c>
      <c r="E76" s="3">
        <v>736</v>
      </c>
    </row>
    <row r="77" spans="2:5" x14ac:dyDescent="0.3">
      <c r="B77" s="5">
        <v>76</v>
      </c>
      <c r="C77" s="3">
        <v>52</v>
      </c>
      <c r="D77" s="4">
        <v>1140000</v>
      </c>
      <c r="E77" s="3">
        <v>682</v>
      </c>
    </row>
    <row r="78" spans="2:5" x14ac:dyDescent="0.3">
      <c r="B78" s="5">
        <v>77</v>
      </c>
      <c r="C78" s="3">
        <v>32</v>
      </c>
      <c r="D78" s="4">
        <v>1960000</v>
      </c>
      <c r="E78" s="3">
        <v>688</v>
      </c>
    </row>
    <row r="79" spans="2:5" x14ac:dyDescent="0.3">
      <c r="B79" s="5">
        <v>78</v>
      </c>
      <c r="C79" s="3">
        <v>44</v>
      </c>
      <c r="D79" s="4">
        <v>2140000</v>
      </c>
      <c r="E79" s="3">
        <v>786</v>
      </c>
    </row>
    <row r="80" spans="2:5" x14ac:dyDescent="0.3">
      <c r="B80" s="5">
        <v>79</v>
      </c>
      <c r="C80" s="3">
        <v>39</v>
      </c>
      <c r="D80" s="4">
        <v>2310000</v>
      </c>
      <c r="E80" s="3">
        <v>723</v>
      </c>
    </row>
    <row r="81" spans="2:5" x14ac:dyDescent="0.3">
      <c r="B81" s="5">
        <v>80</v>
      </c>
      <c r="C81" s="3">
        <v>26</v>
      </c>
      <c r="D81" s="4">
        <v>1070000</v>
      </c>
      <c r="E81" s="3">
        <v>819</v>
      </c>
    </row>
    <row r="82" spans="2:5" x14ac:dyDescent="0.3">
      <c r="B82" s="5">
        <v>81</v>
      </c>
      <c r="C82" s="3">
        <v>49</v>
      </c>
      <c r="D82" s="4">
        <v>1630000</v>
      </c>
      <c r="E82" s="3">
        <v>703</v>
      </c>
    </row>
    <row r="83" spans="2:5" x14ac:dyDescent="0.3">
      <c r="B83" s="5">
        <v>82</v>
      </c>
      <c r="C83" s="3">
        <v>51</v>
      </c>
      <c r="D83" s="4">
        <v>1900000</v>
      </c>
      <c r="E83" s="3">
        <v>813</v>
      </c>
    </row>
    <row r="84" spans="2:5" x14ac:dyDescent="0.3">
      <c r="B84" s="5">
        <v>83</v>
      </c>
      <c r="C84" s="3">
        <v>65</v>
      </c>
      <c r="D84" s="4">
        <v>2040000</v>
      </c>
      <c r="E84" s="3">
        <v>694</v>
      </c>
    </row>
    <row r="85" spans="2:5" x14ac:dyDescent="0.3">
      <c r="B85" s="5">
        <v>84</v>
      </c>
      <c r="C85" s="3">
        <v>59</v>
      </c>
      <c r="D85" s="4">
        <v>1160000</v>
      </c>
      <c r="E85" s="3">
        <v>637</v>
      </c>
    </row>
    <row r="86" spans="2:5" x14ac:dyDescent="0.3">
      <c r="B86" s="5">
        <v>85</v>
      </c>
      <c r="C86" s="3">
        <v>30</v>
      </c>
      <c r="D86" s="4">
        <v>1460000</v>
      </c>
      <c r="E86" s="3">
        <v>713</v>
      </c>
    </row>
    <row r="87" spans="2:5" x14ac:dyDescent="0.3">
      <c r="B87" s="5">
        <v>86</v>
      </c>
      <c r="C87" s="3">
        <v>28</v>
      </c>
      <c r="D87" s="4">
        <v>1360000</v>
      </c>
      <c r="E87" s="3">
        <v>723</v>
      </c>
    </row>
    <row r="88" spans="2:5" x14ac:dyDescent="0.3">
      <c r="B88" s="5">
        <v>87</v>
      </c>
      <c r="C88" s="3">
        <v>43</v>
      </c>
      <c r="D88" s="4">
        <v>2110000</v>
      </c>
      <c r="E88" s="3">
        <v>765</v>
      </c>
    </row>
    <row r="89" spans="2:5" x14ac:dyDescent="0.3">
      <c r="B89" s="5">
        <v>88</v>
      </c>
      <c r="C89" s="3">
        <v>45</v>
      </c>
      <c r="D89" s="4">
        <v>860000</v>
      </c>
      <c r="E89" s="3">
        <v>591</v>
      </c>
    </row>
    <row r="90" spans="2:5" x14ac:dyDescent="0.3">
      <c r="B90" s="5">
        <v>89</v>
      </c>
      <c r="C90" s="3">
        <v>46</v>
      </c>
      <c r="D90" s="4">
        <v>2050000</v>
      </c>
      <c r="E90" s="3">
        <v>767</v>
      </c>
    </row>
    <row r="91" spans="2:5" x14ac:dyDescent="0.3">
      <c r="B91" s="5">
        <v>90</v>
      </c>
      <c r="C91" s="3">
        <v>24</v>
      </c>
      <c r="D91" s="4">
        <v>710000</v>
      </c>
      <c r="E91" s="3">
        <v>667</v>
      </c>
    </row>
    <row r="92" spans="2:5" x14ac:dyDescent="0.3">
      <c r="B92" s="5">
        <v>91</v>
      </c>
      <c r="C92" s="3">
        <v>27</v>
      </c>
      <c r="D92" s="4">
        <v>2390000</v>
      </c>
      <c r="E92" s="3">
        <v>834</v>
      </c>
    </row>
    <row r="93" spans="2:5" x14ac:dyDescent="0.3">
      <c r="B93" s="5">
        <v>92</v>
      </c>
      <c r="C93" s="3">
        <v>55</v>
      </c>
      <c r="D93" s="4">
        <v>620000</v>
      </c>
      <c r="E93" s="3">
        <v>781</v>
      </c>
    </row>
    <row r="94" spans="2:5" x14ac:dyDescent="0.3">
      <c r="B94" s="5">
        <v>93</v>
      </c>
      <c r="C94" s="3">
        <v>66</v>
      </c>
      <c r="D94" s="4">
        <v>2040000</v>
      </c>
      <c r="E94" s="3">
        <v>852</v>
      </c>
    </row>
    <row r="95" spans="2:5" x14ac:dyDescent="0.3">
      <c r="B95" s="5">
        <v>94</v>
      </c>
      <c r="C95" s="3">
        <v>53</v>
      </c>
      <c r="D95" s="4">
        <v>1810000</v>
      </c>
      <c r="E95" s="3">
        <v>849</v>
      </c>
    </row>
    <row r="96" spans="2:5" x14ac:dyDescent="0.3">
      <c r="B96" s="5">
        <v>95</v>
      </c>
      <c r="C96" s="3">
        <v>41</v>
      </c>
      <c r="D96" s="4">
        <v>2040000</v>
      </c>
      <c r="E96" s="3">
        <v>637</v>
      </c>
    </row>
    <row r="97" spans="2:5" x14ac:dyDescent="0.3">
      <c r="B97" s="5">
        <v>96</v>
      </c>
      <c r="C97" s="3">
        <v>29</v>
      </c>
      <c r="D97" s="4">
        <v>1950000</v>
      </c>
      <c r="E97" s="3">
        <v>646</v>
      </c>
    </row>
    <row r="98" spans="2:5" x14ac:dyDescent="0.3">
      <c r="B98" s="5">
        <v>97</v>
      </c>
      <c r="C98" s="3">
        <v>35</v>
      </c>
      <c r="D98" s="4">
        <v>1150000</v>
      </c>
      <c r="E98" s="3">
        <v>801</v>
      </c>
    </row>
    <row r="99" spans="2:5" x14ac:dyDescent="0.3">
      <c r="B99" s="5">
        <v>98</v>
      </c>
      <c r="C99" s="3">
        <v>55</v>
      </c>
      <c r="D99" s="4">
        <v>1680000</v>
      </c>
      <c r="E99" s="3">
        <v>537</v>
      </c>
    </row>
    <row r="100" spans="2:5" x14ac:dyDescent="0.3">
      <c r="B100" s="5">
        <v>99</v>
      </c>
      <c r="C100" s="3">
        <v>28</v>
      </c>
      <c r="D100" s="4">
        <v>2500000</v>
      </c>
      <c r="E100" s="3">
        <v>838</v>
      </c>
    </row>
    <row r="101" spans="2:5" x14ac:dyDescent="0.3">
      <c r="B101" s="5">
        <v>100</v>
      </c>
      <c r="C101" s="3">
        <v>44</v>
      </c>
      <c r="D101" s="4">
        <v>2360000</v>
      </c>
      <c r="E101" s="3">
        <v>797</v>
      </c>
    </row>
    <row r="102" spans="2:5" x14ac:dyDescent="0.3">
      <c r="B102" s="5">
        <v>101</v>
      </c>
      <c r="C102" s="3">
        <v>35</v>
      </c>
      <c r="D102" s="4">
        <v>1260000</v>
      </c>
      <c r="E102" s="3">
        <v>839</v>
      </c>
    </row>
    <row r="103" spans="2:5" x14ac:dyDescent="0.3">
      <c r="B103" s="5">
        <v>102</v>
      </c>
      <c r="C103" s="3">
        <v>57</v>
      </c>
      <c r="D103" s="4">
        <v>2110000</v>
      </c>
      <c r="E103" s="3">
        <v>781</v>
      </c>
    </row>
    <row r="104" spans="2:5" x14ac:dyDescent="0.3">
      <c r="B104" s="5">
        <v>103</v>
      </c>
      <c r="C104" s="3">
        <v>23</v>
      </c>
      <c r="D104" s="4">
        <v>1220000</v>
      </c>
      <c r="E104" s="3">
        <v>574</v>
      </c>
    </row>
    <row r="105" spans="2:5" x14ac:dyDescent="0.3">
      <c r="B105" s="5">
        <v>104</v>
      </c>
      <c r="C105" s="3">
        <v>24</v>
      </c>
      <c r="D105" s="4">
        <v>1850000</v>
      </c>
      <c r="E105" s="3">
        <v>665</v>
      </c>
    </row>
    <row r="106" spans="2:5" x14ac:dyDescent="0.3">
      <c r="B106" s="5">
        <v>105</v>
      </c>
      <c r="C106" s="3">
        <v>22</v>
      </c>
      <c r="D106" s="4">
        <v>2020000</v>
      </c>
      <c r="E106" s="3">
        <v>638</v>
      </c>
    </row>
    <row r="107" spans="2:5" x14ac:dyDescent="0.3">
      <c r="B107" s="5">
        <v>106</v>
      </c>
      <c r="C107" s="3">
        <v>65</v>
      </c>
      <c r="D107" s="4">
        <v>1660000</v>
      </c>
      <c r="E107" s="3">
        <v>634</v>
      </c>
    </row>
    <row r="108" spans="2:5" x14ac:dyDescent="0.3">
      <c r="B108" s="5">
        <v>107</v>
      </c>
      <c r="C108" s="3">
        <v>21</v>
      </c>
      <c r="D108" s="4">
        <v>2100000</v>
      </c>
      <c r="E108" s="3">
        <v>824</v>
      </c>
    </row>
    <row r="109" spans="2:5" x14ac:dyDescent="0.3">
      <c r="B109" s="5">
        <v>108</v>
      </c>
      <c r="C109" s="3">
        <v>33</v>
      </c>
      <c r="D109" s="4">
        <v>1490000</v>
      </c>
      <c r="E109" s="3">
        <v>768</v>
      </c>
    </row>
    <row r="110" spans="2:5" x14ac:dyDescent="0.3">
      <c r="B110" s="5">
        <v>109</v>
      </c>
      <c r="C110" s="3">
        <v>33</v>
      </c>
      <c r="D110" s="4">
        <v>710000</v>
      </c>
      <c r="E110" s="3">
        <v>796</v>
      </c>
    </row>
    <row r="111" spans="2:5" x14ac:dyDescent="0.3">
      <c r="B111" s="5">
        <v>110</v>
      </c>
      <c r="C111" s="3">
        <v>68</v>
      </c>
      <c r="D111" s="4">
        <v>2240000</v>
      </c>
      <c r="E111" s="3">
        <v>551</v>
      </c>
    </row>
    <row r="112" spans="2:5" x14ac:dyDescent="0.3">
      <c r="B112" s="5">
        <v>111</v>
      </c>
      <c r="C112" s="3">
        <v>49</v>
      </c>
      <c r="D112" s="4">
        <v>1150000</v>
      </c>
      <c r="E112" s="3">
        <v>814</v>
      </c>
    </row>
    <row r="113" spans="2:5" x14ac:dyDescent="0.3">
      <c r="B113" s="5">
        <v>112</v>
      </c>
      <c r="C113" s="3">
        <v>54</v>
      </c>
      <c r="D113" s="4">
        <v>2390000</v>
      </c>
      <c r="E113" s="3">
        <v>544</v>
      </c>
    </row>
    <row r="114" spans="2:5" x14ac:dyDescent="0.3">
      <c r="B114" s="5">
        <v>113</v>
      </c>
      <c r="C114" s="3">
        <v>60</v>
      </c>
      <c r="D114" s="4">
        <v>1090000</v>
      </c>
      <c r="E114" s="3">
        <v>815</v>
      </c>
    </row>
    <row r="115" spans="2:5" x14ac:dyDescent="0.3">
      <c r="B115" s="5">
        <v>114</v>
      </c>
      <c r="C115" s="3">
        <v>32</v>
      </c>
      <c r="D115" s="4">
        <v>1100000</v>
      </c>
      <c r="E115" s="3">
        <v>588</v>
      </c>
    </row>
    <row r="116" spans="2:5" x14ac:dyDescent="0.3">
      <c r="B116" s="5">
        <v>115</v>
      </c>
      <c r="C116" s="3">
        <v>67</v>
      </c>
      <c r="D116" s="4">
        <v>1130000</v>
      </c>
      <c r="E116" s="3">
        <v>807</v>
      </c>
    </row>
    <row r="117" spans="2:5" x14ac:dyDescent="0.3">
      <c r="B117" s="5">
        <v>116</v>
      </c>
      <c r="C117" s="3">
        <v>47</v>
      </c>
      <c r="D117" s="4">
        <v>1280000</v>
      </c>
      <c r="E117" s="3">
        <v>683</v>
      </c>
    </row>
    <row r="118" spans="2:5" x14ac:dyDescent="0.3">
      <c r="B118" s="5">
        <v>117</v>
      </c>
      <c r="C118" s="3">
        <v>26</v>
      </c>
      <c r="D118" s="4">
        <v>2270000</v>
      </c>
      <c r="E118" s="3">
        <v>847</v>
      </c>
    </row>
    <row r="119" spans="2:5" x14ac:dyDescent="0.3">
      <c r="B119" s="5">
        <v>118</v>
      </c>
      <c r="C119" s="3">
        <v>52</v>
      </c>
      <c r="D119" s="4">
        <v>2140000</v>
      </c>
      <c r="E119" s="3">
        <v>602</v>
      </c>
    </row>
    <row r="120" spans="2:5" x14ac:dyDescent="0.3">
      <c r="B120" s="5">
        <v>119</v>
      </c>
      <c r="C120" s="3">
        <v>52</v>
      </c>
      <c r="D120" s="4">
        <v>1620000</v>
      </c>
      <c r="E120" s="3">
        <v>795</v>
      </c>
    </row>
    <row r="121" spans="2:5" x14ac:dyDescent="0.3">
      <c r="B121" s="5">
        <v>120</v>
      </c>
      <c r="C121" s="3">
        <v>26</v>
      </c>
      <c r="D121" s="4">
        <v>1040000</v>
      </c>
      <c r="E121" s="3">
        <v>680</v>
      </c>
    </row>
    <row r="122" spans="2:5" x14ac:dyDescent="0.3">
      <c r="B122" s="5">
        <v>121</v>
      </c>
      <c r="C122" s="3">
        <v>63</v>
      </c>
      <c r="D122" s="4">
        <v>590000</v>
      </c>
      <c r="E122" s="3">
        <v>616</v>
      </c>
    </row>
    <row r="123" spans="2:5" x14ac:dyDescent="0.3">
      <c r="B123" s="5">
        <v>122</v>
      </c>
      <c r="C123" s="3">
        <v>63</v>
      </c>
      <c r="D123" s="4">
        <v>2240000</v>
      </c>
      <c r="E123" s="3">
        <v>586</v>
      </c>
    </row>
    <row r="124" spans="2:5" x14ac:dyDescent="0.3">
      <c r="B124" s="5">
        <v>123</v>
      </c>
      <c r="C124" s="3">
        <v>38</v>
      </c>
      <c r="D124" s="4">
        <v>1960000</v>
      </c>
      <c r="E124" s="3">
        <v>534</v>
      </c>
    </row>
    <row r="125" spans="2:5" x14ac:dyDescent="0.3">
      <c r="B125" s="5">
        <v>124</v>
      </c>
      <c r="C125" s="3">
        <v>31</v>
      </c>
      <c r="D125" s="4">
        <v>890000</v>
      </c>
      <c r="E125" s="3">
        <v>839</v>
      </c>
    </row>
    <row r="126" spans="2:5" x14ac:dyDescent="0.3">
      <c r="B126" s="5">
        <v>125</v>
      </c>
      <c r="C126" s="3">
        <v>54</v>
      </c>
      <c r="D126" s="4">
        <v>1580000</v>
      </c>
      <c r="E126" s="3">
        <v>858</v>
      </c>
    </row>
    <row r="127" spans="2:5" x14ac:dyDescent="0.3">
      <c r="B127" s="5">
        <v>126</v>
      </c>
      <c r="C127" s="3">
        <v>61</v>
      </c>
      <c r="D127" s="4">
        <v>810000</v>
      </c>
      <c r="E127" s="3">
        <v>741</v>
      </c>
    </row>
    <row r="128" spans="2:5" x14ac:dyDescent="0.3">
      <c r="B128" s="5">
        <v>127</v>
      </c>
      <c r="C128" s="3">
        <v>40</v>
      </c>
      <c r="D128" s="4">
        <v>1810000</v>
      </c>
      <c r="E128" s="3">
        <v>535</v>
      </c>
    </row>
    <row r="129" spans="2:5" x14ac:dyDescent="0.3">
      <c r="B129" s="5">
        <v>128</v>
      </c>
      <c r="C129" s="3">
        <v>42</v>
      </c>
      <c r="D129" s="4">
        <v>2210000</v>
      </c>
      <c r="E129" s="3">
        <v>782</v>
      </c>
    </row>
    <row r="130" spans="2:5" x14ac:dyDescent="0.3">
      <c r="B130" s="5">
        <v>129</v>
      </c>
      <c r="C130" s="3">
        <v>27</v>
      </c>
      <c r="D130" s="4">
        <v>1810000</v>
      </c>
      <c r="E130" s="3">
        <v>844</v>
      </c>
    </row>
    <row r="131" spans="2:5" x14ac:dyDescent="0.3">
      <c r="B131" s="5">
        <v>130</v>
      </c>
      <c r="C131" s="3">
        <v>42</v>
      </c>
      <c r="D131" s="4">
        <v>1420000</v>
      </c>
      <c r="E131" s="3">
        <v>765</v>
      </c>
    </row>
    <row r="132" spans="2:5" x14ac:dyDescent="0.3">
      <c r="B132" s="5">
        <v>131</v>
      </c>
      <c r="C132" s="3">
        <v>50</v>
      </c>
      <c r="D132" s="4">
        <v>610000</v>
      </c>
      <c r="E132" s="3">
        <v>786</v>
      </c>
    </row>
    <row r="133" spans="2:5" x14ac:dyDescent="0.3">
      <c r="B133" s="5">
        <v>132</v>
      </c>
      <c r="C133" s="3">
        <v>32</v>
      </c>
      <c r="D133" s="4">
        <v>2410000</v>
      </c>
      <c r="E133" s="3">
        <v>576</v>
      </c>
    </row>
    <row r="134" spans="2:5" x14ac:dyDescent="0.3">
      <c r="B134" s="5">
        <v>133</v>
      </c>
      <c r="C134" s="3">
        <v>60</v>
      </c>
      <c r="D134" s="4">
        <v>1690000</v>
      </c>
      <c r="E134" s="3">
        <v>554</v>
      </c>
    </row>
    <row r="135" spans="2:5" x14ac:dyDescent="0.3">
      <c r="B135" s="5">
        <v>134</v>
      </c>
      <c r="C135" s="3">
        <v>46</v>
      </c>
      <c r="D135" s="4">
        <v>1840000</v>
      </c>
      <c r="E135" s="3">
        <v>798</v>
      </c>
    </row>
    <row r="136" spans="2:5" x14ac:dyDescent="0.3">
      <c r="B136" s="5">
        <v>135</v>
      </c>
      <c r="C136" s="3">
        <v>35</v>
      </c>
      <c r="D136" s="4">
        <v>1590000</v>
      </c>
      <c r="E136" s="3">
        <v>548</v>
      </c>
    </row>
    <row r="137" spans="2:5" x14ac:dyDescent="0.3">
      <c r="B137" s="5">
        <v>136</v>
      </c>
      <c r="C137" s="3">
        <v>56</v>
      </c>
      <c r="D137" s="4">
        <v>1700000</v>
      </c>
      <c r="E137" s="3">
        <v>533</v>
      </c>
    </row>
    <row r="138" spans="2:5" x14ac:dyDescent="0.3">
      <c r="B138" s="5">
        <v>137</v>
      </c>
      <c r="C138" s="3">
        <v>54</v>
      </c>
      <c r="D138" s="4">
        <v>2280000</v>
      </c>
      <c r="E138" s="3">
        <v>634</v>
      </c>
    </row>
    <row r="139" spans="2:5" x14ac:dyDescent="0.3">
      <c r="B139" s="5">
        <v>138</v>
      </c>
      <c r="C139" s="3">
        <v>34</v>
      </c>
      <c r="D139" s="4">
        <v>2240000</v>
      </c>
      <c r="E139" s="3">
        <v>544</v>
      </c>
    </row>
    <row r="140" spans="2:5" x14ac:dyDescent="0.3">
      <c r="B140" s="5">
        <v>139</v>
      </c>
      <c r="C140" s="3">
        <v>57</v>
      </c>
      <c r="D140" s="4">
        <v>1120000</v>
      </c>
      <c r="E140" s="3">
        <v>834</v>
      </c>
    </row>
    <row r="141" spans="2:5" x14ac:dyDescent="0.3">
      <c r="B141" s="5">
        <v>140</v>
      </c>
      <c r="C141" s="3">
        <v>52</v>
      </c>
      <c r="D141" s="4">
        <v>2490000</v>
      </c>
      <c r="E141" s="3">
        <v>657</v>
      </c>
    </row>
    <row r="142" spans="2:5" x14ac:dyDescent="0.3">
      <c r="B142" s="5">
        <v>141</v>
      </c>
      <c r="C142" s="3">
        <v>61</v>
      </c>
      <c r="D142" s="4">
        <v>550000</v>
      </c>
      <c r="E142" s="3">
        <v>533</v>
      </c>
    </row>
    <row r="143" spans="2:5" x14ac:dyDescent="0.3">
      <c r="B143" s="5">
        <v>142</v>
      </c>
      <c r="C143" s="3">
        <v>38</v>
      </c>
      <c r="D143" s="4">
        <v>1160000</v>
      </c>
      <c r="E143" s="3">
        <v>744</v>
      </c>
    </row>
    <row r="144" spans="2:5" x14ac:dyDescent="0.3">
      <c r="B144" s="5">
        <v>143</v>
      </c>
      <c r="C144" s="3">
        <v>28</v>
      </c>
      <c r="D144" s="4">
        <v>2190000</v>
      </c>
      <c r="E144" s="3">
        <v>778</v>
      </c>
    </row>
    <row r="145" spans="2:5" x14ac:dyDescent="0.3">
      <c r="B145" s="5">
        <v>144</v>
      </c>
      <c r="C145" s="3">
        <v>25</v>
      </c>
      <c r="D145" s="4">
        <v>2420000</v>
      </c>
      <c r="E145" s="3">
        <v>792</v>
      </c>
    </row>
    <row r="146" spans="2:5" x14ac:dyDescent="0.3">
      <c r="B146" s="5">
        <v>145</v>
      </c>
      <c r="C146" s="3">
        <v>38</v>
      </c>
      <c r="D146" s="4">
        <v>1630000</v>
      </c>
      <c r="E146" s="3">
        <v>803</v>
      </c>
    </row>
    <row r="147" spans="2:5" x14ac:dyDescent="0.3">
      <c r="B147" s="5">
        <v>146</v>
      </c>
      <c r="C147" s="3">
        <v>25</v>
      </c>
      <c r="D147" s="4">
        <v>1920000</v>
      </c>
      <c r="E147" s="3">
        <v>817</v>
      </c>
    </row>
    <row r="148" spans="2:5" x14ac:dyDescent="0.3">
      <c r="B148" s="5">
        <v>147</v>
      </c>
      <c r="C148" s="3">
        <v>32</v>
      </c>
      <c r="D148" s="4">
        <v>2300000</v>
      </c>
      <c r="E148" s="3">
        <v>572</v>
      </c>
    </row>
    <row r="149" spans="2:5" x14ac:dyDescent="0.3">
      <c r="B149" s="5">
        <v>148</v>
      </c>
      <c r="C149" s="3">
        <v>68</v>
      </c>
      <c r="D149" s="4">
        <v>1960000</v>
      </c>
      <c r="E149" s="3">
        <v>572</v>
      </c>
    </row>
    <row r="150" spans="2:5" x14ac:dyDescent="0.3">
      <c r="B150" s="5">
        <v>149</v>
      </c>
      <c r="C150" s="3">
        <v>30</v>
      </c>
      <c r="D150" s="4">
        <v>1130000</v>
      </c>
      <c r="E150" s="3">
        <v>820</v>
      </c>
    </row>
    <row r="151" spans="2:5" x14ac:dyDescent="0.3">
      <c r="B151" s="5">
        <v>150</v>
      </c>
      <c r="C151" s="3">
        <v>44</v>
      </c>
      <c r="D151" s="4">
        <v>1010000</v>
      </c>
      <c r="E151" s="3">
        <v>751</v>
      </c>
    </row>
    <row r="152" spans="2:5" x14ac:dyDescent="0.3">
      <c r="B152" s="5">
        <v>151</v>
      </c>
      <c r="C152" s="3">
        <v>35</v>
      </c>
      <c r="D152" s="4">
        <v>660000</v>
      </c>
      <c r="E152" s="3">
        <v>819</v>
      </c>
    </row>
    <row r="153" spans="2:5" x14ac:dyDescent="0.3">
      <c r="B153" s="5">
        <v>152</v>
      </c>
      <c r="C153" s="3">
        <v>21</v>
      </c>
      <c r="D153" s="4">
        <v>1490000</v>
      </c>
      <c r="E153" s="3">
        <v>701</v>
      </c>
    </row>
    <row r="154" spans="2:5" x14ac:dyDescent="0.3">
      <c r="B154" s="5">
        <v>153</v>
      </c>
      <c r="C154" s="3">
        <v>67</v>
      </c>
      <c r="D154" s="4">
        <v>1720000</v>
      </c>
      <c r="E154" s="3">
        <v>837</v>
      </c>
    </row>
    <row r="155" spans="2:5" x14ac:dyDescent="0.3">
      <c r="B155" s="5">
        <v>154</v>
      </c>
      <c r="C155" s="3">
        <v>33</v>
      </c>
      <c r="D155" s="4">
        <v>1850000</v>
      </c>
      <c r="E155" s="3">
        <v>583</v>
      </c>
    </row>
    <row r="156" spans="2:5" x14ac:dyDescent="0.3">
      <c r="B156" s="5">
        <v>155</v>
      </c>
      <c r="C156" s="3">
        <v>62</v>
      </c>
      <c r="D156" s="4">
        <v>1560000</v>
      </c>
      <c r="E156" s="3">
        <v>759</v>
      </c>
    </row>
    <row r="157" spans="2:5" x14ac:dyDescent="0.3">
      <c r="B157" s="5">
        <v>156</v>
      </c>
      <c r="C157" s="3">
        <v>31</v>
      </c>
      <c r="D157" s="4">
        <v>1160000</v>
      </c>
      <c r="E157" s="3">
        <v>662</v>
      </c>
    </row>
    <row r="158" spans="2:5" x14ac:dyDescent="0.3">
      <c r="B158" s="5">
        <v>157</v>
      </c>
      <c r="C158" s="3">
        <v>28</v>
      </c>
      <c r="D158" s="4">
        <v>650000</v>
      </c>
      <c r="E158" s="3">
        <v>561</v>
      </c>
    </row>
    <row r="159" spans="2:5" x14ac:dyDescent="0.3">
      <c r="B159" s="5">
        <v>158</v>
      </c>
      <c r="C159" s="3">
        <v>32</v>
      </c>
      <c r="D159" s="4">
        <v>1610000</v>
      </c>
      <c r="E159" s="3">
        <v>753</v>
      </c>
    </row>
    <row r="160" spans="2:5" x14ac:dyDescent="0.3">
      <c r="B160" s="5">
        <v>159</v>
      </c>
      <c r="C160" s="3">
        <v>62</v>
      </c>
      <c r="D160" s="4">
        <v>730000</v>
      </c>
      <c r="E160" s="3">
        <v>643</v>
      </c>
    </row>
    <row r="161" spans="2:5" x14ac:dyDescent="0.3">
      <c r="B161" s="5">
        <v>160</v>
      </c>
      <c r="C161" s="3">
        <v>31</v>
      </c>
      <c r="D161" s="4">
        <v>2440000</v>
      </c>
      <c r="E161" s="3">
        <v>570</v>
      </c>
    </row>
    <row r="162" spans="2:5" x14ac:dyDescent="0.3">
      <c r="B162" s="5">
        <v>161</v>
      </c>
      <c r="C162" s="3">
        <v>46</v>
      </c>
      <c r="D162" s="4">
        <v>1620000</v>
      </c>
      <c r="E162" s="3">
        <v>647</v>
      </c>
    </row>
    <row r="163" spans="2:5" x14ac:dyDescent="0.3">
      <c r="B163" s="5">
        <v>162</v>
      </c>
      <c r="C163" s="3">
        <v>33</v>
      </c>
      <c r="D163" s="4">
        <v>1060000</v>
      </c>
      <c r="E163" s="3">
        <v>623</v>
      </c>
    </row>
    <row r="164" spans="2:5" x14ac:dyDescent="0.3">
      <c r="B164" s="5">
        <v>163</v>
      </c>
      <c r="C164" s="3">
        <v>26</v>
      </c>
      <c r="D164" s="4">
        <v>2470000</v>
      </c>
      <c r="E164" s="3">
        <v>658</v>
      </c>
    </row>
    <row r="165" spans="2:5" x14ac:dyDescent="0.3">
      <c r="B165" s="5">
        <v>164</v>
      </c>
      <c r="C165" s="3">
        <v>25</v>
      </c>
      <c r="D165" s="4">
        <v>740000</v>
      </c>
      <c r="E165" s="3">
        <v>576</v>
      </c>
    </row>
    <row r="166" spans="2:5" x14ac:dyDescent="0.3">
      <c r="B166" s="5">
        <v>165</v>
      </c>
      <c r="C166" s="3">
        <v>53</v>
      </c>
      <c r="D166" s="4">
        <v>1090000</v>
      </c>
      <c r="E166" s="3">
        <v>792</v>
      </c>
    </row>
    <row r="167" spans="2:5" x14ac:dyDescent="0.3">
      <c r="B167" s="5">
        <v>166</v>
      </c>
      <c r="C167" s="3">
        <v>53</v>
      </c>
      <c r="D167" s="4">
        <v>670000</v>
      </c>
      <c r="E167" s="3">
        <v>666</v>
      </c>
    </row>
    <row r="168" spans="2:5" x14ac:dyDescent="0.3">
      <c r="B168" s="5">
        <v>167</v>
      </c>
      <c r="C168" s="3">
        <v>27</v>
      </c>
      <c r="D168" s="4">
        <v>2040000</v>
      </c>
      <c r="E168" s="3">
        <v>814</v>
      </c>
    </row>
    <row r="169" spans="2:5" x14ac:dyDescent="0.3">
      <c r="B169" s="5">
        <v>168</v>
      </c>
      <c r="C169" s="3">
        <v>28</v>
      </c>
      <c r="D169" s="4">
        <v>580000</v>
      </c>
      <c r="E169" s="3">
        <v>544</v>
      </c>
    </row>
    <row r="170" spans="2:5" x14ac:dyDescent="0.3">
      <c r="B170" s="5">
        <v>169</v>
      </c>
      <c r="C170" s="3">
        <v>46</v>
      </c>
      <c r="D170" s="4">
        <v>1750000</v>
      </c>
      <c r="E170" s="3">
        <v>816</v>
      </c>
    </row>
    <row r="171" spans="2:5" x14ac:dyDescent="0.3">
      <c r="B171" s="5">
        <v>170</v>
      </c>
      <c r="C171" s="3">
        <v>26</v>
      </c>
      <c r="D171" s="4">
        <v>590000</v>
      </c>
      <c r="E171" s="3">
        <v>563</v>
      </c>
    </row>
    <row r="172" spans="2:5" x14ac:dyDescent="0.3">
      <c r="B172" s="5">
        <v>171</v>
      </c>
      <c r="C172" s="3">
        <v>47</v>
      </c>
      <c r="D172" s="4">
        <v>1610000</v>
      </c>
      <c r="E172" s="3">
        <v>692</v>
      </c>
    </row>
    <row r="173" spans="2:5" x14ac:dyDescent="0.3">
      <c r="B173" s="5">
        <v>172</v>
      </c>
      <c r="C173" s="3">
        <v>58</v>
      </c>
      <c r="D173" s="4">
        <v>1170000</v>
      </c>
      <c r="E173" s="3">
        <v>608</v>
      </c>
    </row>
    <row r="174" spans="2:5" x14ac:dyDescent="0.3">
      <c r="B174" s="5">
        <v>173</v>
      </c>
      <c r="C174" s="3">
        <v>40</v>
      </c>
      <c r="D174" s="4">
        <v>1210000</v>
      </c>
      <c r="E174" s="3">
        <v>819</v>
      </c>
    </row>
    <row r="175" spans="2:5" x14ac:dyDescent="0.3">
      <c r="B175" s="5">
        <v>174</v>
      </c>
      <c r="C175" s="3">
        <v>29</v>
      </c>
      <c r="D175" s="4">
        <v>2460000</v>
      </c>
      <c r="E175" s="3">
        <v>602</v>
      </c>
    </row>
    <row r="176" spans="2:5" x14ac:dyDescent="0.3">
      <c r="B176" s="5">
        <v>175</v>
      </c>
      <c r="C176" s="3">
        <v>38</v>
      </c>
      <c r="D176" s="4">
        <v>1530000</v>
      </c>
      <c r="E176" s="3">
        <v>703</v>
      </c>
    </row>
    <row r="177" spans="2:5" x14ac:dyDescent="0.3">
      <c r="B177" s="5">
        <v>176</v>
      </c>
      <c r="C177" s="3">
        <v>68</v>
      </c>
      <c r="D177" s="4">
        <v>1410000</v>
      </c>
      <c r="E177" s="3">
        <v>819</v>
      </c>
    </row>
    <row r="178" spans="2:5" x14ac:dyDescent="0.3">
      <c r="B178" s="5">
        <v>177</v>
      </c>
      <c r="C178" s="3">
        <v>55</v>
      </c>
      <c r="D178" s="4">
        <v>1250000</v>
      </c>
      <c r="E178" s="3">
        <v>774</v>
      </c>
    </row>
    <row r="179" spans="2:5" x14ac:dyDescent="0.3">
      <c r="B179" s="5">
        <v>178</v>
      </c>
      <c r="C179" s="3">
        <v>53</v>
      </c>
      <c r="D179" s="4">
        <v>590000</v>
      </c>
      <c r="E179" s="3">
        <v>602</v>
      </c>
    </row>
    <row r="180" spans="2:5" x14ac:dyDescent="0.3">
      <c r="B180" s="5">
        <v>179</v>
      </c>
      <c r="C180" s="3">
        <v>26</v>
      </c>
      <c r="D180" s="4">
        <v>1100000</v>
      </c>
      <c r="E180" s="3">
        <v>567</v>
      </c>
    </row>
    <row r="181" spans="2:5" x14ac:dyDescent="0.3">
      <c r="B181" s="5">
        <v>180</v>
      </c>
      <c r="C181" s="3">
        <v>34</v>
      </c>
      <c r="D181" s="4">
        <v>1300000</v>
      </c>
      <c r="E181" s="3">
        <v>852</v>
      </c>
    </row>
    <row r="182" spans="2:5" x14ac:dyDescent="0.3">
      <c r="B182" s="5">
        <v>181</v>
      </c>
      <c r="C182" s="3">
        <v>68</v>
      </c>
      <c r="D182" s="4">
        <v>1400000</v>
      </c>
      <c r="E182" s="3">
        <v>579</v>
      </c>
    </row>
    <row r="183" spans="2:5" x14ac:dyDescent="0.3">
      <c r="B183" s="5">
        <v>182</v>
      </c>
      <c r="C183" s="3">
        <v>37</v>
      </c>
      <c r="D183" s="4">
        <v>2190000</v>
      </c>
      <c r="E183" s="3">
        <v>691</v>
      </c>
    </row>
    <row r="184" spans="2:5" x14ac:dyDescent="0.3">
      <c r="B184" s="5">
        <v>183</v>
      </c>
      <c r="C184" s="3">
        <v>65</v>
      </c>
      <c r="D184" s="4">
        <v>2170000</v>
      </c>
      <c r="E184" s="3">
        <v>578</v>
      </c>
    </row>
    <row r="185" spans="2:5" x14ac:dyDescent="0.3">
      <c r="B185" s="5">
        <v>184</v>
      </c>
      <c r="C185" s="3">
        <v>56</v>
      </c>
      <c r="D185" s="4">
        <v>560000</v>
      </c>
      <c r="E185" s="3">
        <v>760</v>
      </c>
    </row>
    <row r="186" spans="2:5" x14ac:dyDescent="0.3">
      <c r="B186" s="5">
        <v>185</v>
      </c>
      <c r="C186" s="3">
        <v>22</v>
      </c>
      <c r="D186" s="4">
        <v>580000</v>
      </c>
      <c r="E186" s="3">
        <v>676</v>
      </c>
    </row>
    <row r="187" spans="2:5" x14ac:dyDescent="0.3">
      <c r="B187" s="5">
        <v>186</v>
      </c>
      <c r="C187" s="3">
        <v>22</v>
      </c>
      <c r="D187" s="4">
        <v>2110000</v>
      </c>
      <c r="E187" s="3">
        <v>821</v>
      </c>
    </row>
    <row r="188" spans="2:5" x14ac:dyDescent="0.3">
      <c r="B188" s="5">
        <v>187</v>
      </c>
      <c r="C188" s="3">
        <v>29</v>
      </c>
      <c r="D188" s="4">
        <v>1110000</v>
      </c>
      <c r="E188" s="3">
        <v>528</v>
      </c>
    </row>
    <row r="189" spans="2:5" x14ac:dyDescent="0.3">
      <c r="B189" s="5">
        <v>188</v>
      </c>
      <c r="C189" s="3">
        <v>56</v>
      </c>
      <c r="D189" s="4">
        <v>1710000</v>
      </c>
      <c r="E189" s="3">
        <v>841</v>
      </c>
    </row>
    <row r="190" spans="2:5" x14ac:dyDescent="0.3">
      <c r="B190" s="5">
        <v>189</v>
      </c>
      <c r="C190" s="3">
        <v>37</v>
      </c>
      <c r="D190" s="4">
        <v>1930000</v>
      </c>
      <c r="E190" s="3">
        <v>611</v>
      </c>
    </row>
    <row r="191" spans="2:5" x14ac:dyDescent="0.3">
      <c r="B191" s="5">
        <v>190</v>
      </c>
      <c r="C191" s="3">
        <v>22</v>
      </c>
      <c r="D191" s="4">
        <v>1540000</v>
      </c>
      <c r="E191" s="3">
        <v>800</v>
      </c>
    </row>
    <row r="192" spans="2:5" x14ac:dyDescent="0.3">
      <c r="B192" s="5">
        <v>191</v>
      </c>
      <c r="C192" s="3">
        <v>41</v>
      </c>
      <c r="D192" s="4">
        <v>1810000</v>
      </c>
      <c r="E192" s="3">
        <v>822</v>
      </c>
    </row>
    <row r="193" spans="2:5" x14ac:dyDescent="0.3">
      <c r="B193" s="5">
        <v>192</v>
      </c>
      <c r="C193" s="3">
        <v>24</v>
      </c>
      <c r="D193" s="4">
        <v>1410000</v>
      </c>
      <c r="E193" s="3">
        <v>752</v>
      </c>
    </row>
    <row r="194" spans="2:5" x14ac:dyDescent="0.3">
      <c r="B194" s="5">
        <v>193</v>
      </c>
      <c r="C194" s="3">
        <v>60</v>
      </c>
      <c r="D194" s="4">
        <v>2350000</v>
      </c>
      <c r="E194" s="3">
        <v>579</v>
      </c>
    </row>
    <row r="195" spans="2:5" x14ac:dyDescent="0.3">
      <c r="B195" s="5">
        <v>194</v>
      </c>
      <c r="C195" s="3">
        <v>44</v>
      </c>
      <c r="D195" s="4">
        <v>900000</v>
      </c>
      <c r="E195" s="3">
        <v>626</v>
      </c>
    </row>
    <row r="196" spans="2:5" x14ac:dyDescent="0.3">
      <c r="B196" s="5">
        <v>195</v>
      </c>
      <c r="C196" s="3">
        <v>68</v>
      </c>
      <c r="D196" s="4">
        <v>2010000</v>
      </c>
      <c r="E196" s="3">
        <v>822</v>
      </c>
    </row>
    <row r="197" spans="2:5" x14ac:dyDescent="0.3">
      <c r="B197" s="5">
        <v>196</v>
      </c>
      <c r="C197" s="3">
        <v>61</v>
      </c>
      <c r="D197" s="4">
        <v>1810000</v>
      </c>
      <c r="E197" s="3">
        <v>733</v>
      </c>
    </row>
    <row r="198" spans="2:5" x14ac:dyDescent="0.3">
      <c r="B198" s="5">
        <v>197</v>
      </c>
      <c r="C198" s="3">
        <v>24</v>
      </c>
      <c r="D198" s="4">
        <v>600000</v>
      </c>
      <c r="E198" s="3">
        <v>852</v>
      </c>
    </row>
    <row r="199" spans="2:5" x14ac:dyDescent="0.3">
      <c r="B199" s="5">
        <v>198</v>
      </c>
      <c r="C199" s="3">
        <v>25</v>
      </c>
      <c r="D199" s="4">
        <v>790000</v>
      </c>
      <c r="E199" s="3">
        <v>626</v>
      </c>
    </row>
    <row r="200" spans="2:5" x14ac:dyDescent="0.3">
      <c r="B200" s="5">
        <v>199</v>
      </c>
      <c r="C200" s="3">
        <v>53</v>
      </c>
      <c r="D200" s="4">
        <v>1360000</v>
      </c>
      <c r="E200" s="3">
        <v>833</v>
      </c>
    </row>
    <row r="201" spans="2:5" x14ac:dyDescent="0.3">
      <c r="B201" s="5">
        <v>200</v>
      </c>
      <c r="C201" s="3">
        <v>54</v>
      </c>
      <c r="D201" s="4">
        <v>1180000</v>
      </c>
      <c r="E201" s="3">
        <v>612</v>
      </c>
    </row>
  </sheetData>
  <autoFilter ref="C1:C201" xr:uid="{8268662C-82A6-4887-B197-E2E4714D817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58F5-91C7-4CE5-A71D-A1CB6A99E493}">
  <dimension ref="B2:I97"/>
  <sheetViews>
    <sheetView showGridLines="0" workbookViewId="0">
      <selection activeCell="F2" sqref="F2"/>
    </sheetView>
  </sheetViews>
  <sheetFormatPr defaultRowHeight="14.4" x14ac:dyDescent="0.3"/>
  <cols>
    <col min="3" max="3" width="11.6640625" style="12" bestFit="1" customWidth="1"/>
    <col min="4" max="4" width="17.33203125" style="8" bestFit="1" customWidth="1"/>
    <col min="5" max="5" width="19.33203125" bestFit="1" customWidth="1"/>
    <col min="7" max="7" width="11.88671875" bestFit="1" customWidth="1"/>
    <col min="8" max="8" width="12.33203125" style="12" bestFit="1" customWidth="1"/>
    <col min="9" max="9" width="32.44140625" bestFit="1" customWidth="1"/>
  </cols>
  <sheetData>
    <row r="2" spans="2:9" x14ac:dyDescent="0.3">
      <c r="C2" s="13" t="s">
        <v>60</v>
      </c>
      <c r="D2" s="11" t="s">
        <v>61</v>
      </c>
      <c r="E2" s="10" t="s">
        <v>57</v>
      </c>
      <c r="G2" s="3"/>
      <c r="H2" s="13" t="s">
        <v>54</v>
      </c>
      <c r="I2" s="10" t="s">
        <v>55</v>
      </c>
    </row>
    <row r="3" spans="2:9" x14ac:dyDescent="0.3">
      <c r="B3" t="str">
        <f>TEXT(D3,"DD")</f>
        <v>13</v>
      </c>
      <c r="C3" s="14" t="s">
        <v>16</v>
      </c>
      <c r="D3" s="23" t="str">
        <f>TEXT(C3,"DD-MMM-YYYY")</f>
        <v>13-May-2020</v>
      </c>
      <c r="E3" s="7">
        <f>NETWORKDAYS.INTL(DATE(YEAR(D3),MONTH(D3),DAY(0)),D3,,$G$3:$G$97)</f>
        <v>8</v>
      </c>
      <c r="G3" s="3" t="str">
        <f>TEXT(H3,"DD-MMM-YYYY")</f>
        <v>05-Jan-2020</v>
      </c>
      <c r="H3" s="14">
        <v>43835</v>
      </c>
      <c r="I3" s="3" t="s">
        <v>34</v>
      </c>
    </row>
    <row r="4" spans="2:9" x14ac:dyDescent="0.3">
      <c r="B4" t="str">
        <f t="shared" ref="B4:B32" si="0">TEXT(D4,"DD")</f>
        <v>20</v>
      </c>
      <c r="C4" s="14" t="s">
        <v>17</v>
      </c>
      <c r="D4" s="23" t="str">
        <f t="shared" ref="D4:D32" si="1">TEXT(C4,"DD-MMM-YYYY")</f>
        <v>20-Feb-2020</v>
      </c>
      <c r="E4" s="7">
        <f t="shared" ref="E4:E32" si="2">NETWORKDAYS.INTL(DATE(YEAR(D4),MONTH(D4),DAY(0)),D4,,$G$3:$G$97)</f>
        <v>14</v>
      </c>
      <c r="G4" s="3" t="str">
        <f t="shared" ref="G4:G67" si="3">TEXT(H4,"DD-MMM-YYYY")</f>
        <v>11-Jan-2020</v>
      </c>
      <c r="H4" s="14">
        <v>43841</v>
      </c>
      <c r="I4" s="3" t="s">
        <v>35</v>
      </c>
    </row>
    <row r="5" spans="2:9" x14ac:dyDescent="0.3">
      <c r="B5" t="str">
        <f t="shared" si="0"/>
        <v>24</v>
      </c>
      <c r="C5" s="14" t="s">
        <v>18</v>
      </c>
      <c r="D5" s="23" t="str">
        <f t="shared" si="1"/>
        <v>24-Jun-2020</v>
      </c>
      <c r="E5" s="7">
        <f t="shared" si="2"/>
        <v>18</v>
      </c>
      <c r="G5" s="3" t="str">
        <f t="shared" si="3"/>
        <v>12-Jan-2020</v>
      </c>
      <c r="H5" s="14">
        <v>43842</v>
      </c>
      <c r="I5" s="3" t="s">
        <v>34</v>
      </c>
    </row>
    <row r="6" spans="2:9" x14ac:dyDescent="0.3">
      <c r="B6" t="str">
        <f t="shared" si="0"/>
        <v>29</v>
      </c>
      <c r="C6" s="14" t="s">
        <v>19</v>
      </c>
      <c r="D6" s="23" t="str">
        <f t="shared" si="1"/>
        <v>29-Feb-2020</v>
      </c>
      <c r="E6" s="7">
        <f t="shared" si="2"/>
        <v>19</v>
      </c>
      <c r="G6" s="3" t="str">
        <f t="shared" si="3"/>
        <v>19-Jan-2020</v>
      </c>
      <c r="H6" s="14">
        <v>43849</v>
      </c>
      <c r="I6" s="3" t="s">
        <v>34</v>
      </c>
    </row>
    <row r="7" spans="2:9" x14ac:dyDescent="0.3">
      <c r="B7" t="str">
        <f t="shared" si="0"/>
        <v>17</v>
      </c>
      <c r="C7" s="14" t="s">
        <v>20</v>
      </c>
      <c r="D7" s="23" t="str">
        <f t="shared" si="1"/>
        <v>17-Dec-2020</v>
      </c>
      <c r="E7" s="7">
        <f t="shared" si="2"/>
        <v>13</v>
      </c>
      <c r="G7" s="3" t="str">
        <f t="shared" si="3"/>
        <v>25-Jan-2020</v>
      </c>
      <c r="H7" s="14">
        <v>43855</v>
      </c>
      <c r="I7" s="3" t="s">
        <v>35</v>
      </c>
    </row>
    <row r="8" spans="2:9" x14ac:dyDescent="0.3">
      <c r="B8" t="str">
        <f t="shared" si="0"/>
        <v>28</v>
      </c>
      <c r="C8" s="14" t="s">
        <v>21</v>
      </c>
      <c r="D8" s="23" t="str">
        <f t="shared" si="1"/>
        <v>28-Dec-2020</v>
      </c>
      <c r="E8" s="7">
        <f t="shared" si="2"/>
        <v>19</v>
      </c>
      <c r="G8" s="3" t="str">
        <f t="shared" si="3"/>
        <v>26-Jan-2020</v>
      </c>
      <c r="H8" s="14">
        <v>43856</v>
      </c>
      <c r="I8" s="3" t="s">
        <v>34</v>
      </c>
    </row>
    <row r="9" spans="2:9" x14ac:dyDescent="0.3">
      <c r="B9" t="str">
        <f t="shared" si="0"/>
        <v>15</v>
      </c>
      <c r="C9" s="14" t="s">
        <v>22</v>
      </c>
      <c r="D9" s="23" t="str">
        <f t="shared" si="1"/>
        <v>15-Nov-2020</v>
      </c>
      <c r="E9" s="7">
        <f t="shared" si="2"/>
        <v>10</v>
      </c>
      <c r="G9" s="3" t="str">
        <f t="shared" si="3"/>
        <v>02-Feb-2020</v>
      </c>
      <c r="H9" s="14">
        <v>43863</v>
      </c>
      <c r="I9" s="3" t="s">
        <v>34</v>
      </c>
    </row>
    <row r="10" spans="2:9" x14ac:dyDescent="0.3">
      <c r="B10" t="str">
        <f t="shared" si="0"/>
        <v>13</v>
      </c>
      <c r="C10" s="14" t="s">
        <v>23</v>
      </c>
      <c r="D10" s="23" t="str">
        <f t="shared" si="1"/>
        <v>13-Oct-2020</v>
      </c>
      <c r="E10" s="7">
        <f t="shared" si="2"/>
        <v>9</v>
      </c>
      <c r="G10" s="3" t="str">
        <f t="shared" si="3"/>
        <v>08-Feb-2020</v>
      </c>
      <c r="H10" s="14">
        <v>43869</v>
      </c>
      <c r="I10" s="3" t="s">
        <v>35</v>
      </c>
    </row>
    <row r="11" spans="2:9" x14ac:dyDescent="0.3">
      <c r="B11" t="str">
        <f t="shared" si="0"/>
        <v>11</v>
      </c>
      <c r="C11" s="14">
        <v>43841</v>
      </c>
      <c r="D11" s="23" t="str">
        <f t="shared" si="1"/>
        <v>11-Jan-2020</v>
      </c>
      <c r="E11" s="7">
        <f t="shared" si="2"/>
        <v>9</v>
      </c>
      <c r="G11" s="3" t="str">
        <f t="shared" si="3"/>
        <v>09-Feb-2020</v>
      </c>
      <c r="H11" s="14">
        <v>43870</v>
      </c>
      <c r="I11" s="3" t="s">
        <v>34</v>
      </c>
    </row>
    <row r="12" spans="2:9" x14ac:dyDescent="0.3">
      <c r="B12" t="str">
        <f t="shared" si="0"/>
        <v>29</v>
      </c>
      <c r="C12" s="14" t="s">
        <v>24</v>
      </c>
      <c r="D12" s="23" t="str">
        <f t="shared" si="1"/>
        <v>29-Mar-2020</v>
      </c>
      <c r="E12" s="7">
        <f t="shared" si="2"/>
        <v>18</v>
      </c>
      <c r="G12" s="3" t="str">
        <f t="shared" si="3"/>
        <v>16-Feb-2020</v>
      </c>
      <c r="H12" s="14">
        <v>43877</v>
      </c>
      <c r="I12" s="3" t="s">
        <v>34</v>
      </c>
    </row>
    <row r="13" spans="2:9" x14ac:dyDescent="0.3">
      <c r="B13" t="str">
        <f t="shared" si="0"/>
        <v>16</v>
      </c>
      <c r="C13" s="14" t="s">
        <v>25</v>
      </c>
      <c r="D13" s="23" t="str">
        <f t="shared" si="1"/>
        <v>16-Aug-2020</v>
      </c>
      <c r="E13" s="7">
        <f t="shared" si="2"/>
        <v>11</v>
      </c>
      <c r="G13" s="3" t="str">
        <f t="shared" si="3"/>
        <v>19-Feb-2020</v>
      </c>
      <c r="H13" s="14">
        <v>43880</v>
      </c>
      <c r="I13" s="3" t="s">
        <v>36</v>
      </c>
    </row>
    <row r="14" spans="2:9" x14ac:dyDescent="0.3">
      <c r="B14" t="str">
        <f t="shared" si="0"/>
        <v>25</v>
      </c>
      <c r="C14" s="14" t="s">
        <v>26</v>
      </c>
      <c r="D14" s="23" t="str">
        <f t="shared" si="1"/>
        <v>25-Oct-2020</v>
      </c>
      <c r="E14" s="7">
        <f t="shared" si="2"/>
        <v>17</v>
      </c>
      <c r="G14" s="3" t="str">
        <f t="shared" si="3"/>
        <v>21-Feb-2020</v>
      </c>
      <c r="H14" s="14">
        <v>43882</v>
      </c>
      <c r="I14" s="3" t="s">
        <v>37</v>
      </c>
    </row>
    <row r="15" spans="2:9" x14ac:dyDescent="0.3">
      <c r="B15" t="str">
        <f t="shared" si="0"/>
        <v>27</v>
      </c>
      <c r="C15" s="14" t="s">
        <v>27</v>
      </c>
      <c r="D15" s="23" t="str">
        <f t="shared" si="1"/>
        <v>27-Feb-2020</v>
      </c>
      <c r="E15" s="7">
        <f t="shared" si="2"/>
        <v>18</v>
      </c>
      <c r="G15" s="3" t="str">
        <f t="shared" si="3"/>
        <v>22-Feb-2020</v>
      </c>
      <c r="H15" s="14">
        <v>43883</v>
      </c>
      <c r="I15" s="3" t="s">
        <v>35</v>
      </c>
    </row>
    <row r="16" spans="2:9" x14ac:dyDescent="0.3">
      <c r="B16" t="str">
        <f t="shared" si="0"/>
        <v>20</v>
      </c>
      <c r="C16" s="14" t="s">
        <v>28</v>
      </c>
      <c r="D16" s="23" t="str">
        <f t="shared" si="1"/>
        <v>20-Mar-2020</v>
      </c>
      <c r="E16" s="7">
        <f t="shared" si="2"/>
        <v>14</v>
      </c>
      <c r="G16" s="3" t="str">
        <f t="shared" si="3"/>
        <v>23-Feb-2020</v>
      </c>
      <c r="H16" s="14">
        <v>43884</v>
      </c>
      <c r="I16" s="3" t="s">
        <v>34</v>
      </c>
    </row>
    <row r="17" spans="2:9" x14ac:dyDescent="0.3">
      <c r="B17" t="str">
        <f t="shared" si="0"/>
        <v>10</v>
      </c>
      <c r="C17" s="14">
        <v>43961</v>
      </c>
      <c r="D17" s="23" t="str">
        <f t="shared" si="1"/>
        <v>10-May-2020</v>
      </c>
      <c r="E17" s="7">
        <f t="shared" si="2"/>
        <v>5</v>
      </c>
      <c r="G17" s="3" t="str">
        <f t="shared" si="3"/>
        <v>01-Mar-2020</v>
      </c>
      <c r="H17" s="14">
        <v>43891</v>
      </c>
      <c r="I17" s="3" t="s">
        <v>34</v>
      </c>
    </row>
    <row r="18" spans="2:9" x14ac:dyDescent="0.3">
      <c r="B18" t="str">
        <f t="shared" si="0"/>
        <v>16</v>
      </c>
      <c r="C18" s="14" t="s">
        <v>29</v>
      </c>
      <c r="D18" s="23" t="str">
        <f t="shared" si="1"/>
        <v>16-May-2020</v>
      </c>
      <c r="E18" s="7">
        <f t="shared" si="2"/>
        <v>10</v>
      </c>
      <c r="G18" s="3" t="str">
        <f t="shared" si="3"/>
        <v>08-Mar-2020</v>
      </c>
      <c r="H18" s="14">
        <v>43898</v>
      </c>
      <c r="I18" s="3" t="s">
        <v>34</v>
      </c>
    </row>
    <row r="19" spans="2:9" x14ac:dyDescent="0.3">
      <c r="B19" t="str">
        <f t="shared" si="0"/>
        <v>16</v>
      </c>
      <c r="C19" s="14" t="s">
        <v>25</v>
      </c>
      <c r="D19" s="23" t="str">
        <f t="shared" si="1"/>
        <v>16-Aug-2020</v>
      </c>
      <c r="E19" s="7">
        <f t="shared" si="2"/>
        <v>11</v>
      </c>
      <c r="G19" s="3" t="str">
        <f t="shared" si="3"/>
        <v>10-Mar-2020</v>
      </c>
      <c r="H19" s="14">
        <v>43900</v>
      </c>
      <c r="I19" s="3" t="s">
        <v>38</v>
      </c>
    </row>
    <row r="20" spans="2:9" x14ac:dyDescent="0.3">
      <c r="B20" t="str">
        <f t="shared" si="0"/>
        <v>10</v>
      </c>
      <c r="C20" s="14">
        <v>43931</v>
      </c>
      <c r="D20" s="23" t="str">
        <f t="shared" si="1"/>
        <v>10-Apr-2020</v>
      </c>
      <c r="E20" s="7">
        <f t="shared" si="2"/>
        <v>5</v>
      </c>
      <c r="G20" s="3" t="str">
        <f t="shared" si="3"/>
        <v>14-Mar-2020</v>
      </c>
      <c r="H20" s="14">
        <v>43904</v>
      </c>
      <c r="I20" s="3" t="s">
        <v>35</v>
      </c>
    </row>
    <row r="21" spans="2:9" x14ac:dyDescent="0.3">
      <c r="B21" t="str">
        <f t="shared" si="0"/>
        <v>10</v>
      </c>
      <c r="C21" s="14">
        <v>43992</v>
      </c>
      <c r="D21" s="23" t="str">
        <f t="shared" si="1"/>
        <v>10-Jun-2020</v>
      </c>
      <c r="E21" s="7">
        <f t="shared" si="2"/>
        <v>8</v>
      </c>
      <c r="G21" s="3" t="str">
        <f t="shared" si="3"/>
        <v>15-Mar-2020</v>
      </c>
      <c r="H21" s="14">
        <v>43905</v>
      </c>
      <c r="I21" s="3" t="s">
        <v>34</v>
      </c>
    </row>
    <row r="22" spans="2:9" x14ac:dyDescent="0.3">
      <c r="B22" t="str">
        <f t="shared" si="0"/>
        <v>02</v>
      </c>
      <c r="C22" s="14">
        <v>43953</v>
      </c>
      <c r="D22" s="23" t="str">
        <f t="shared" si="1"/>
        <v>02-May-2020</v>
      </c>
      <c r="E22" s="7">
        <f t="shared" si="2"/>
        <v>1</v>
      </c>
      <c r="G22" s="3" t="str">
        <f t="shared" si="3"/>
        <v>22-Mar-2020</v>
      </c>
      <c r="H22" s="14">
        <v>43912</v>
      </c>
      <c r="I22" s="3" t="s">
        <v>34</v>
      </c>
    </row>
    <row r="23" spans="2:9" x14ac:dyDescent="0.3">
      <c r="B23" t="str">
        <f t="shared" si="0"/>
        <v>25</v>
      </c>
      <c r="C23" s="14" t="s">
        <v>30</v>
      </c>
      <c r="D23" s="23" t="str">
        <f t="shared" si="1"/>
        <v>25-Nov-2020</v>
      </c>
      <c r="E23" s="7">
        <f t="shared" si="2"/>
        <v>17</v>
      </c>
      <c r="G23" s="3" t="str">
        <f t="shared" si="3"/>
        <v>25-Mar-2020</v>
      </c>
      <c r="H23" s="14">
        <v>43915</v>
      </c>
      <c r="I23" s="3" t="s">
        <v>39</v>
      </c>
    </row>
    <row r="24" spans="2:9" x14ac:dyDescent="0.3">
      <c r="B24" t="str">
        <f t="shared" si="0"/>
        <v>02</v>
      </c>
      <c r="C24" s="14">
        <v>43863</v>
      </c>
      <c r="D24" s="23" t="str">
        <f t="shared" si="1"/>
        <v>02-Feb-2020</v>
      </c>
      <c r="E24" s="7">
        <f t="shared" si="2"/>
        <v>1</v>
      </c>
      <c r="G24" s="3" t="str">
        <f t="shared" si="3"/>
        <v>28-Mar-2020</v>
      </c>
      <c r="H24" s="14">
        <v>43918</v>
      </c>
      <c r="I24" s="3" t="s">
        <v>35</v>
      </c>
    </row>
    <row r="25" spans="2:9" x14ac:dyDescent="0.3">
      <c r="B25" t="str">
        <f t="shared" si="0"/>
        <v>10</v>
      </c>
      <c r="C25" s="14">
        <v>44053</v>
      </c>
      <c r="D25" s="23" t="str">
        <f t="shared" si="1"/>
        <v>10-Aug-2020</v>
      </c>
      <c r="E25" s="7">
        <f t="shared" si="2"/>
        <v>7</v>
      </c>
      <c r="G25" s="3" t="str">
        <f t="shared" si="3"/>
        <v>29-Mar-2020</v>
      </c>
      <c r="H25" s="14">
        <v>43919</v>
      </c>
      <c r="I25" s="3" t="s">
        <v>34</v>
      </c>
    </row>
    <row r="26" spans="2:9" x14ac:dyDescent="0.3">
      <c r="B26" t="str">
        <f t="shared" si="0"/>
        <v>05</v>
      </c>
      <c r="C26" s="14">
        <v>44109</v>
      </c>
      <c r="D26" s="23" t="str">
        <f t="shared" si="1"/>
        <v>05-Oct-2020</v>
      </c>
      <c r="E26" s="7">
        <f t="shared" si="2"/>
        <v>3</v>
      </c>
      <c r="G26" s="3" t="str">
        <f t="shared" si="3"/>
        <v>01-Apr-2020</v>
      </c>
      <c r="H26" s="14">
        <v>43922</v>
      </c>
      <c r="I26" s="3" t="s">
        <v>40</v>
      </c>
    </row>
    <row r="27" spans="2:9" x14ac:dyDescent="0.3">
      <c r="B27" t="str">
        <f t="shared" si="0"/>
        <v>26</v>
      </c>
      <c r="C27" s="14" t="s">
        <v>31</v>
      </c>
      <c r="D27" s="23" t="str">
        <f t="shared" si="1"/>
        <v>26-Jun-2020</v>
      </c>
      <c r="E27" s="7">
        <f t="shared" si="2"/>
        <v>20</v>
      </c>
      <c r="G27" s="3" t="str">
        <f t="shared" si="3"/>
        <v>02-Apr-2020</v>
      </c>
      <c r="H27" s="14">
        <v>43923</v>
      </c>
      <c r="I27" s="3" t="s">
        <v>41</v>
      </c>
    </row>
    <row r="28" spans="2:9" x14ac:dyDescent="0.3">
      <c r="B28" t="str">
        <f t="shared" si="0"/>
        <v>13</v>
      </c>
      <c r="C28" s="14" t="s">
        <v>32</v>
      </c>
      <c r="D28" s="23" t="str">
        <f t="shared" si="1"/>
        <v>13-Mar-2020</v>
      </c>
      <c r="E28" s="7">
        <f t="shared" si="2"/>
        <v>9</v>
      </c>
      <c r="G28" s="3" t="str">
        <f t="shared" si="3"/>
        <v>05-Apr-2020</v>
      </c>
      <c r="H28" s="14">
        <v>43926</v>
      </c>
      <c r="I28" s="3" t="s">
        <v>34</v>
      </c>
    </row>
    <row r="29" spans="2:9" x14ac:dyDescent="0.3">
      <c r="B29" t="str">
        <f t="shared" si="0"/>
        <v>26</v>
      </c>
      <c r="C29" s="14" t="s">
        <v>31</v>
      </c>
      <c r="D29" s="23" t="str">
        <f t="shared" si="1"/>
        <v>26-Jun-2020</v>
      </c>
      <c r="E29" s="7">
        <f t="shared" si="2"/>
        <v>20</v>
      </c>
      <c r="G29" s="3" t="str">
        <f t="shared" si="3"/>
        <v>06-Apr-2020</v>
      </c>
      <c r="H29" s="14">
        <v>43927</v>
      </c>
      <c r="I29" s="3" t="s">
        <v>42</v>
      </c>
    </row>
    <row r="30" spans="2:9" x14ac:dyDescent="0.3">
      <c r="B30" t="str">
        <f t="shared" si="0"/>
        <v>03</v>
      </c>
      <c r="C30" s="14">
        <v>43924</v>
      </c>
      <c r="D30" s="23" t="str">
        <f t="shared" si="1"/>
        <v>03-Apr-2020</v>
      </c>
      <c r="E30" s="7">
        <f t="shared" si="2"/>
        <v>2</v>
      </c>
      <c r="G30" s="3" t="str">
        <f t="shared" si="3"/>
        <v>10-Apr-2020</v>
      </c>
      <c r="H30" s="14">
        <v>43931</v>
      </c>
      <c r="I30" s="3" t="s">
        <v>43</v>
      </c>
    </row>
    <row r="31" spans="2:9" x14ac:dyDescent="0.3">
      <c r="B31" t="str">
        <f t="shared" si="0"/>
        <v>22</v>
      </c>
      <c r="C31" s="14" t="s">
        <v>33</v>
      </c>
      <c r="D31" s="23" t="str">
        <f t="shared" si="1"/>
        <v>22-Jul-2020</v>
      </c>
      <c r="E31" s="7">
        <f t="shared" si="2"/>
        <v>17</v>
      </c>
      <c r="G31" s="3" t="str">
        <f t="shared" si="3"/>
        <v>11-Apr-2020</v>
      </c>
      <c r="H31" s="14">
        <v>43932</v>
      </c>
      <c r="I31" s="3" t="s">
        <v>35</v>
      </c>
    </row>
    <row r="32" spans="2:9" x14ac:dyDescent="0.3">
      <c r="B32" t="str">
        <f t="shared" si="0"/>
        <v>05</v>
      </c>
      <c r="C32" s="14">
        <v>44079</v>
      </c>
      <c r="D32" s="23" t="str">
        <f t="shared" si="1"/>
        <v>05-Sep-2020</v>
      </c>
      <c r="E32" s="7">
        <f t="shared" si="2"/>
        <v>5</v>
      </c>
      <c r="G32" s="3" t="str">
        <f t="shared" si="3"/>
        <v>12-Apr-2020</v>
      </c>
      <c r="H32" s="14">
        <v>43933</v>
      </c>
      <c r="I32" s="3" t="s">
        <v>34</v>
      </c>
    </row>
    <row r="33" spans="7:9" x14ac:dyDescent="0.3">
      <c r="G33" s="3" t="str">
        <f t="shared" si="3"/>
        <v>14-Apr-2020</v>
      </c>
      <c r="H33" s="14">
        <v>43935</v>
      </c>
      <c r="I33" s="3" t="s">
        <v>44</v>
      </c>
    </row>
    <row r="34" spans="7:9" x14ac:dyDescent="0.3">
      <c r="G34" s="3" t="str">
        <f t="shared" si="3"/>
        <v>19-Apr-2020</v>
      </c>
      <c r="H34" s="14">
        <v>43940</v>
      </c>
      <c r="I34" s="3" t="s">
        <v>34</v>
      </c>
    </row>
    <row r="35" spans="7:9" x14ac:dyDescent="0.3">
      <c r="G35" s="3" t="str">
        <f t="shared" si="3"/>
        <v>25-Apr-2020</v>
      </c>
      <c r="H35" s="14">
        <v>43946</v>
      </c>
      <c r="I35" s="3" t="s">
        <v>35</v>
      </c>
    </row>
    <row r="36" spans="7:9" x14ac:dyDescent="0.3">
      <c r="G36" s="3" t="str">
        <f t="shared" si="3"/>
        <v>26-Apr-2020</v>
      </c>
      <c r="H36" s="14">
        <v>43947</v>
      </c>
      <c r="I36" s="3" t="s">
        <v>34</v>
      </c>
    </row>
    <row r="37" spans="7:9" x14ac:dyDescent="0.3">
      <c r="G37" s="3" t="str">
        <f t="shared" si="3"/>
        <v>01-May-2020</v>
      </c>
      <c r="H37" s="14">
        <v>43952</v>
      </c>
      <c r="I37" s="3" t="s">
        <v>56</v>
      </c>
    </row>
    <row r="38" spans="7:9" x14ac:dyDescent="0.3">
      <c r="G38" s="3" t="str">
        <f t="shared" si="3"/>
        <v>03-May-2020</v>
      </c>
      <c r="H38" s="14">
        <v>43954</v>
      </c>
      <c r="I38" s="3" t="s">
        <v>34</v>
      </c>
    </row>
    <row r="39" spans="7:9" x14ac:dyDescent="0.3">
      <c r="G39" s="3" t="str">
        <f t="shared" si="3"/>
        <v>07-May-2020</v>
      </c>
      <c r="H39" s="14">
        <v>43958</v>
      </c>
      <c r="I39" s="3" t="s">
        <v>45</v>
      </c>
    </row>
    <row r="40" spans="7:9" x14ac:dyDescent="0.3">
      <c r="G40" s="3" t="str">
        <f t="shared" si="3"/>
        <v>09-May-2020</v>
      </c>
      <c r="H40" s="14">
        <v>43960</v>
      </c>
      <c r="I40" s="3" t="s">
        <v>35</v>
      </c>
    </row>
    <row r="41" spans="7:9" x14ac:dyDescent="0.3">
      <c r="G41" s="3" t="str">
        <f t="shared" si="3"/>
        <v>10-May-2020</v>
      </c>
      <c r="H41" s="14">
        <v>43961</v>
      </c>
      <c r="I41" s="3" t="s">
        <v>34</v>
      </c>
    </row>
    <row r="42" spans="7:9" x14ac:dyDescent="0.3">
      <c r="G42" s="3" t="str">
        <f t="shared" si="3"/>
        <v>17-May-2020</v>
      </c>
      <c r="H42" s="14">
        <v>43968</v>
      </c>
      <c r="I42" s="3" t="s">
        <v>34</v>
      </c>
    </row>
    <row r="43" spans="7:9" x14ac:dyDescent="0.3">
      <c r="G43" s="3" t="str">
        <f t="shared" si="3"/>
        <v>23-May-2020</v>
      </c>
      <c r="H43" s="14">
        <v>43974</v>
      </c>
      <c r="I43" s="3" t="s">
        <v>35</v>
      </c>
    </row>
    <row r="44" spans="7:9" x14ac:dyDescent="0.3">
      <c r="G44" s="3" t="str">
        <f t="shared" si="3"/>
        <v>24-May-2020</v>
      </c>
      <c r="H44" s="14">
        <v>43975</v>
      </c>
      <c r="I44" s="3" t="s">
        <v>34</v>
      </c>
    </row>
    <row r="45" spans="7:9" x14ac:dyDescent="0.3">
      <c r="G45" s="3" t="str">
        <f t="shared" si="3"/>
        <v>25-May-2020</v>
      </c>
      <c r="H45" s="14">
        <v>43976</v>
      </c>
      <c r="I45" s="3" t="s">
        <v>46</v>
      </c>
    </row>
    <row r="46" spans="7:9" x14ac:dyDescent="0.3">
      <c r="G46" s="3" t="str">
        <f t="shared" si="3"/>
        <v>31-May-2020</v>
      </c>
      <c r="H46" s="14">
        <v>43982</v>
      </c>
      <c r="I46" s="3" t="s">
        <v>34</v>
      </c>
    </row>
    <row r="47" spans="7:9" x14ac:dyDescent="0.3">
      <c r="G47" s="3" t="str">
        <f t="shared" si="3"/>
        <v>07-Jun-2020</v>
      </c>
      <c r="H47" s="14">
        <v>43989</v>
      </c>
      <c r="I47" s="3" t="s">
        <v>34</v>
      </c>
    </row>
    <row r="48" spans="7:9" x14ac:dyDescent="0.3">
      <c r="G48" s="3" t="str">
        <f t="shared" si="3"/>
        <v>13-Jun-2020</v>
      </c>
      <c r="H48" s="14">
        <v>43995</v>
      </c>
      <c r="I48" s="3" t="s">
        <v>35</v>
      </c>
    </row>
    <row r="49" spans="7:9" x14ac:dyDescent="0.3">
      <c r="G49" s="3" t="str">
        <f t="shared" si="3"/>
        <v>14-Jun-2020</v>
      </c>
      <c r="H49" s="14">
        <v>43996</v>
      </c>
      <c r="I49" s="3" t="s">
        <v>34</v>
      </c>
    </row>
    <row r="50" spans="7:9" x14ac:dyDescent="0.3">
      <c r="G50" s="3" t="str">
        <f t="shared" si="3"/>
        <v>21-Jun-2020</v>
      </c>
      <c r="H50" s="14">
        <v>44003</v>
      </c>
      <c r="I50" s="3" t="s">
        <v>34</v>
      </c>
    </row>
    <row r="51" spans="7:9" x14ac:dyDescent="0.3">
      <c r="G51" s="3" t="str">
        <f t="shared" si="3"/>
        <v>27-Jun-2020</v>
      </c>
      <c r="H51" s="14">
        <v>44009</v>
      </c>
      <c r="I51" s="3" t="s">
        <v>35</v>
      </c>
    </row>
    <row r="52" spans="7:9" x14ac:dyDescent="0.3">
      <c r="G52" s="3" t="str">
        <f t="shared" si="3"/>
        <v>28-Jun-2020</v>
      </c>
      <c r="H52" s="14">
        <v>44010</v>
      </c>
      <c r="I52" s="3" t="s">
        <v>34</v>
      </c>
    </row>
    <row r="53" spans="7:9" x14ac:dyDescent="0.3">
      <c r="G53" s="3" t="str">
        <f t="shared" si="3"/>
        <v>05-Jul-2020</v>
      </c>
      <c r="H53" s="14">
        <v>44017</v>
      </c>
      <c r="I53" s="3" t="s">
        <v>34</v>
      </c>
    </row>
    <row r="54" spans="7:9" x14ac:dyDescent="0.3">
      <c r="G54" s="3" t="str">
        <f t="shared" si="3"/>
        <v>11-Jul-2020</v>
      </c>
      <c r="H54" s="14">
        <v>44023</v>
      </c>
      <c r="I54" s="3" t="s">
        <v>35</v>
      </c>
    </row>
    <row r="55" spans="7:9" x14ac:dyDescent="0.3">
      <c r="G55" s="3" t="str">
        <f t="shared" si="3"/>
        <v>12-Jul-2020</v>
      </c>
      <c r="H55" s="14">
        <v>44024</v>
      </c>
      <c r="I55" s="3" t="s">
        <v>34</v>
      </c>
    </row>
    <row r="56" spans="7:9" x14ac:dyDescent="0.3">
      <c r="G56" s="3" t="str">
        <f t="shared" si="3"/>
        <v>19-Jul-2020</v>
      </c>
      <c r="H56" s="14">
        <v>44031</v>
      </c>
      <c r="I56" s="3" t="s">
        <v>34</v>
      </c>
    </row>
    <row r="57" spans="7:9" x14ac:dyDescent="0.3">
      <c r="G57" s="3" t="str">
        <f t="shared" si="3"/>
        <v>25-Jul-2020</v>
      </c>
      <c r="H57" s="14">
        <v>44037</v>
      </c>
      <c r="I57" s="3" t="s">
        <v>35</v>
      </c>
    </row>
    <row r="58" spans="7:9" x14ac:dyDescent="0.3">
      <c r="G58" s="3" t="str">
        <f t="shared" si="3"/>
        <v>26-Jul-2020</v>
      </c>
      <c r="H58" s="14">
        <v>44038</v>
      </c>
      <c r="I58" s="3" t="s">
        <v>34</v>
      </c>
    </row>
    <row r="59" spans="7:9" x14ac:dyDescent="0.3">
      <c r="G59" s="3" t="str">
        <f t="shared" si="3"/>
        <v>01-Aug-2020</v>
      </c>
      <c r="H59" s="14">
        <v>44044</v>
      </c>
      <c r="I59" s="3" t="s">
        <v>47</v>
      </c>
    </row>
    <row r="60" spans="7:9" x14ac:dyDescent="0.3">
      <c r="G60" s="3" t="str">
        <f t="shared" si="3"/>
        <v>02-Aug-2020</v>
      </c>
      <c r="H60" s="14">
        <v>44045</v>
      </c>
      <c r="I60" s="3" t="s">
        <v>34</v>
      </c>
    </row>
    <row r="61" spans="7:9" x14ac:dyDescent="0.3">
      <c r="G61" s="3" t="str">
        <f t="shared" si="3"/>
        <v>08-Aug-2020</v>
      </c>
      <c r="H61" s="14">
        <v>44051</v>
      </c>
      <c r="I61" s="3" t="s">
        <v>35</v>
      </c>
    </row>
    <row r="62" spans="7:9" x14ac:dyDescent="0.3">
      <c r="G62" s="3" t="str">
        <f t="shared" si="3"/>
        <v>09-Aug-2020</v>
      </c>
      <c r="H62" s="14">
        <v>44052</v>
      </c>
      <c r="I62" s="3" t="s">
        <v>34</v>
      </c>
    </row>
    <row r="63" spans="7:9" x14ac:dyDescent="0.3">
      <c r="G63" s="3" t="str">
        <f t="shared" si="3"/>
        <v>15-Aug-2020</v>
      </c>
      <c r="H63" s="14">
        <v>44058</v>
      </c>
      <c r="I63" s="3" t="s">
        <v>48</v>
      </c>
    </row>
    <row r="64" spans="7:9" x14ac:dyDescent="0.3">
      <c r="G64" s="3" t="str">
        <f t="shared" si="3"/>
        <v>16-Aug-2020</v>
      </c>
      <c r="H64" s="14">
        <v>44059</v>
      </c>
      <c r="I64" s="3" t="s">
        <v>34</v>
      </c>
    </row>
    <row r="65" spans="7:9" x14ac:dyDescent="0.3">
      <c r="G65" s="3" t="str">
        <f t="shared" si="3"/>
        <v>22-Aug-2020</v>
      </c>
      <c r="H65" s="14">
        <v>44065</v>
      </c>
      <c r="I65" s="3" t="s">
        <v>35</v>
      </c>
    </row>
    <row r="66" spans="7:9" x14ac:dyDescent="0.3">
      <c r="G66" s="3" t="str">
        <f t="shared" si="3"/>
        <v>23-Aug-2020</v>
      </c>
      <c r="H66" s="14">
        <v>44066</v>
      </c>
      <c r="I66" s="3" t="s">
        <v>34</v>
      </c>
    </row>
    <row r="67" spans="7:9" x14ac:dyDescent="0.3">
      <c r="G67" s="3" t="str">
        <f t="shared" si="3"/>
        <v>30-Aug-2020</v>
      </c>
      <c r="H67" s="14">
        <v>44073</v>
      </c>
      <c r="I67" s="3" t="s">
        <v>34</v>
      </c>
    </row>
    <row r="68" spans="7:9" x14ac:dyDescent="0.3">
      <c r="G68" s="3" t="str">
        <f t="shared" ref="G68:G97" si="4">TEXT(H68,"DD-MMM-YYYY")</f>
        <v>06-Sep-2020</v>
      </c>
      <c r="H68" s="14">
        <v>44080</v>
      </c>
      <c r="I68" s="3" t="s">
        <v>34</v>
      </c>
    </row>
    <row r="69" spans="7:9" x14ac:dyDescent="0.3">
      <c r="G69" s="3" t="str">
        <f t="shared" si="4"/>
        <v>12-Sep-2020</v>
      </c>
      <c r="H69" s="14">
        <v>44086</v>
      </c>
      <c r="I69" s="3" t="s">
        <v>35</v>
      </c>
    </row>
    <row r="70" spans="7:9" x14ac:dyDescent="0.3">
      <c r="G70" s="3" t="str">
        <f t="shared" si="4"/>
        <v>13-Sep-2020</v>
      </c>
      <c r="H70" s="14">
        <v>44087</v>
      </c>
      <c r="I70" s="3" t="s">
        <v>34</v>
      </c>
    </row>
    <row r="71" spans="7:9" x14ac:dyDescent="0.3">
      <c r="G71" s="3" t="str">
        <f t="shared" si="4"/>
        <v>20-Sep-2020</v>
      </c>
      <c r="H71" s="14">
        <v>44094</v>
      </c>
      <c r="I71" s="3" t="s">
        <v>34</v>
      </c>
    </row>
    <row r="72" spans="7:9" x14ac:dyDescent="0.3">
      <c r="G72" s="3" t="str">
        <f t="shared" si="4"/>
        <v>26-Sep-2020</v>
      </c>
      <c r="H72" s="14">
        <v>44100</v>
      </c>
      <c r="I72" s="3" t="s">
        <v>35</v>
      </c>
    </row>
    <row r="73" spans="7:9" x14ac:dyDescent="0.3">
      <c r="G73" s="3" t="str">
        <f t="shared" si="4"/>
        <v>27-Sep-2020</v>
      </c>
      <c r="H73" s="14">
        <v>44101</v>
      </c>
      <c r="I73" s="3" t="s">
        <v>34</v>
      </c>
    </row>
    <row r="74" spans="7:9" x14ac:dyDescent="0.3">
      <c r="G74" s="3" t="str">
        <f t="shared" si="4"/>
        <v>02-Oct-2020</v>
      </c>
      <c r="H74" s="14">
        <v>44106</v>
      </c>
      <c r="I74" s="3" t="s">
        <v>49</v>
      </c>
    </row>
    <row r="75" spans="7:9" x14ac:dyDescent="0.3">
      <c r="G75" s="3" t="str">
        <f t="shared" si="4"/>
        <v>04-Oct-2020</v>
      </c>
      <c r="H75" s="14">
        <v>44108</v>
      </c>
      <c r="I75" s="3" t="s">
        <v>34</v>
      </c>
    </row>
    <row r="76" spans="7:9" x14ac:dyDescent="0.3">
      <c r="G76" s="3" t="str">
        <f t="shared" si="4"/>
        <v>10-Oct-2020</v>
      </c>
      <c r="H76" s="14">
        <v>44114</v>
      </c>
      <c r="I76" s="3" t="s">
        <v>35</v>
      </c>
    </row>
    <row r="77" spans="7:9" x14ac:dyDescent="0.3">
      <c r="G77" s="3" t="str">
        <f t="shared" si="4"/>
        <v>11-Oct-2020</v>
      </c>
      <c r="H77" s="14">
        <v>44115</v>
      </c>
      <c r="I77" s="3" t="s">
        <v>34</v>
      </c>
    </row>
    <row r="78" spans="7:9" x14ac:dyDescent="0.3">
      <c r="G78" s="3" t="str">
        <f t="shared" si="4"/>
        <v>18-Oct-2020</v>
      </c>
      <c r="H78" s="14">
        <v>44122</v>
      </c>
      <c r="I78" s="3" t="s">
        <v>34</v>
      </c>
    </row>
    <row r="79" spans="7:9" x14ac:dyDescent="0.3">
      <c r="G79" s="3" t="str">
        <f t="shared" si="4"/>
        <v>24-Oct-2020</v>
      </c>
      <c r="H79" s="14">
        <v>44128</v>
      </c>
      <c r="I79" s="3" t="s">
        <v>35</v>
      </c>
    </row>
    <row r="80" spans="7:9" x14ac:dyDescent="0.3">
      <c r="G80" s="3" t="str">
        <f t="shared" si="4"/>
        <v>25-Oct-2020</v>
      </c>
      <c r="H80" s="14">
        <v>44129</v>
      </c>
      <c r="I80" s="3" t="s">
        <v>34</v>
      </c>
    </row>
    <row r="81" spans="7:9" x14ac:dyDescent="0.3">
      <c r="G81" s="3" t="str">
        <f t="shared" si="4"/>
        <v>30-Oct-2020</v>
      </c>
      <c r="H81" s="14">
        <v>44134</v>
      </c>
      <c r="I81" s="3" t="s">
        <v>50</v>
      </c>
    </row>
    <row r="82" spans="7:9" x14ac:dyDescent="0.3">
      <c r="G82" s="3" t="str">
        <f t="shared" si="4"/>
        <v>01-Nov-2020</v>
      </c>
      <c r="H82" s="14">
        <v>44136</v>
      </c>
      <c r="I82" s="3" t="s">
        <v>34</v>
      </c>
    </row>
    <row r="83" spans="7:9" x14ac:dyDescent="0.3">
      <c r="G83" s="3" t="str">
        <f t="shared" si="4"/>
        <v>08-Nov-2020</v>
      </c>
      <c r="H83" s="14">
        <v>44143</v>
      </c>
      <c r="I83" s="3" t="s">
        <v>34</v>
      </c>
    </row>
    <row r="84" spans="7:9" x14ac:dyDescent="0.3">
      <c r="G84" s="3" t="str">
        <f t="shared" si="4"/>
        <v>14-Nov-2020</v>
      </c>
      <c r="H84" s="14">
        <v>44149</v>
      </c>
      <c r="I84" s="3" t="s">
        <v>35</v>
      </c>
    </row>
    <row r="85" spans="7:9" x14ac:dyDescent="0.3">
      <c r="G85" s="3" t="str">
        <f t="shared" si="4"/>
        <v>15-Nov-2020</v>
      </c>
      <c r="H85" s="14">
        <v>44150</v>
      </c>
      <c r="I85" s="3" t="s">
        <v>34</v>
      </c>
    </row>
    <row r="86" spans="7:9" x14ac:dyDescent="0.3">
      <c r="G86" s="3" t="str">
        <f t="shared" si="4"/>
        <v>16-Nov-2020</v>
      </c>
      <c r="H86" s="14">
        <v>44151</v>
      </c>
      <c r="I86" s="3" t="s">
        <v>51</v>
      </c>
    </row>
    <row r="87" spans="7:9" x14ac:dyDescent="0.3">
      <c r="G87" s="3" t="str">
        <f t="shared" si="4"/>
        <v>22-Nov-2020</v>
      </c>
      <c r="H87" s="14">
        <v>44157</v>
      </c>
      <c r="I87" s="3" t="s">
        <v>34</v>
      </c>
    </row>
    <row r="88" spans="7:9" x14ac:dyDescent="0.3">
      <c r="G88" s="3" t="str">
        <f t="shared" si="4"/>
        <v>28-Nov-2020</v>
      </c>
      <c r="H88" s="14">
        <v>44163</v>
      </c>
      <c r="I88" s="3" t="s">
        <v>35</v>
      </c>
    </row>
    <row r="89" spans="7:9" x14ac:dyDescent="0.3">
      <c r="G89" s="3" t="str">
        <f t="shared" si="4"/>
        <v>29-Nov-2020</v>
      </c>
      <c r="H89" s="14">
        <v>44164</v>
      </c>
      <c r="I89" s="3" t="s">
        <v>34</v>
      </c>
    </row>
    <row r="90" spans="7:9" x14ac:dyDescent="0.3">
      <c r="G90" s="3" t="str">
        <f t="shared" si="4"/>
        <v>30-Nov-2020</v>
      </c>
      <c r="H90" s="14">
        <v>44165</v>
      </c>
      <c r="I90" s="3" t="s">
        <v>52</v>
      </c>
    </row>
    <row r="91" spans="7:9" x14ac:dyDescent="0.3">
      <c r="G91" s="3" t="str">
        <f t="shared" si="4"/>
        <v>06-Dec-2020</v>
      </c>
      <c r="H91" s="14">
        <v>44171</v>
      </c>
      <c r="I91" s="3" t="s">
        <v>34</v>
      </c>
    </row>
    <row r="92" spans="7:9" x14ac:dyDescent="0.3">
      <c r="G92" s="3" t="str">
        <f t="shared" si="4"/>
        <v>12-Dec-2020</v>
      </c>
      <c r="H92" s="14">
        <v>44177</v>
      </c>
      <c r="I92" s="3" t="s">
        <v>35</v>
      </c>
    </row>
    <row r="93" spans="7:9" x14ac:dyDescent="0.3">
      <c r="G93" s="3" t="str">
        <f t="shared" si="4"/>
        <v>13-Dec-2020</v>
      </c>
      <c r="H93" s="14">
        <v>44178</v>
      </c>
      <c r="I93" s="3" t="s">
        <v>34</v>
      </c>
    </row>
    <row r="94" spans="7:9" x14ac:dyDescent="0.3">
      <c r="G94" s="3" t="str">
        <f t="shared" si="4"/>
        <v>20-Dec-2020</v>
      </c>
      <c r="H94" s="14">
        <v>44185</v>
      </c>
      <c r="I94" s="3" t="s">
        <v>34</v>
      </c>
    </row>
    <row r="95" spans="7:9" x14ac:dyDescent="0.3">
      <c r="G95" s="3" t="str">
        <f t="shared" si="4"/>
        <v>25-Dec-2020</v>
      </c>
      <c r="H95" s="14">
        <v>44190</v>
      </c>
      <c r="I95" s="3" t="s">
        <v>53</v>
      </c>
    </row>
    <row r="96" spans="7:9" x14ac:dyDescent="0.3">
      <c r="G96" s="3" t="str">
        <f t="shared" si="4"/>
        <v>26-Dec-2020</v>
      </c>
      <c r="H96" s="14">
        <v>44191</v>
      </c>
      <c r="I96" s="3" t="s">
        <v>35</v>
      </c>
    </row>
    <row r="97" spans="7:9" x14ac:dyDescent="0.3">
      <c r="G97" s="3" t="str">
        <f t="shared" si="4"/>
        <v>27-Dec-2020</v>
      </c>
      <c r="H97" s="14">
        <v>44192</v>
      </c>
      <c r="I97" s="3" t="s">
        <v>34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5737-E8D1-49B4-817D-D806F3371660}">
  <dimension ref="D2:V24"/>
  <sheetViews>
    <sheetView workbookViewId="0">
      <selection activeCell="M23" sqref="M23"/>
    </sheetView>
  </sheetViews>
  <sheetFormatPr defaultRowHeight="14.4" x14ac:dyDescent="0.3"/>
  <cols>
    <col min="4" max="5" width="9.77734375" bestFit="1" customWidth="1"/>
    <col min="6" max="6" width="19" bestFit="1" customWidth="1"/>
    <col min="7" max="7" width="10.109375" bestFit="1" customWidth="1"/>
    <col min="8" max="9" width="7.88671875" bestFit="1" customWidth="1"/>
    <col min="10" max="10" width="19.109375" bestFit="1" customWidth="1"/>
    <col min="11" max="11" width="10.44140625" customWidth="1"/>
    <col min="12" max="12" width="6.109375" bestFit="1" customWidth="1"/>
    <col min="13" max="13" width="10.44140625" bestFit="1" customWidth="1"/>
    <col min="14" max="14" width="19.109375" bestFit="1" customWidth="1"/>
    <col min="18" max="18" width="19.109375" bestFit="1" customWidth="1"/>
    <col min="20" max="20" width="6.109375" bestFit="1" customWidth="1"/>
    <col min="21" max="21" width="6" bestFit="1" customWidth="1"/>
    <col min="22" max="22" width="19.109375" bestFit="1" customWidth="1"/>
  </cols>
  <sheetData>
    <row r="2" spans="4:22" x14ac:dyDescent="0.3">
      <c r="D2" s="15"/>
    </row>
    <row r="3" spans="4:22" x14ac:dyDescent="0.3">
      <c r="D3" s="3"/>
      <c r="E3" s="47" t="s">
        <v>67</v>
      </c>
      <c r="F3" s="47"/>
      <c r="G3" s="47"/>
      <c r="H3" s="47"/>
      <c r="I3" s="47"/>
    </row>
    <row r="4" spans="4:22" x14ac:dyDescent="0.3">
      <c r="D4" s="9" t="s">
        <v>68</v>
      </c>
      <c r="E4" s="9" t="s">
        <v>62</v>
      </c>
      <c r="F4" s="9" t="s">
        <v>63</v>
      </c>
      <c r="G4" s="9" t="s">
        <v>64</v>
      </c>
      <c r="H4" s="9" t="s">
        <v>65</v>
      </c>
      <c r="I4" s="9" t="s">
        <v>66</v>
      </c>
    </row>
    <row r="5" spans="4:22" x14ac:dyDescent="0.3">
      <c r="D5" s="5">
        <v>2015</v>
      </c>
      <c r="E5" s="5">
        <v>4869</v>
      </c>
      <c r="F5" s="5">
        <v>3452</v>
      </c>
      <c r="G5" s="5">
        <v>1232</v>
      </c>
      <c r="H5" s="5">
        <v>4750</v>
      </c>
      <c r="I5" s="5">
        <v>914</v>
      </c>
      <c r="J5" s="35"/>
    </row>
    <row r="6" spans="4:22" x14ac:dyDescent="0.3">
      <c r="D6" s="5">
        <v>2016</v>
      </c>
      <c r="E6" s="5">
        <v>2560</v>
      </c>
      <c r="F6" s="5">
        <v>3110</v>
      </c>
      <c r="G6" s="5">
        <v>1332</v>
      </c>
      <c r="H6" s="5">
        <v>4503</v>
      </c>
      <c r="I6" s="5">
        <v>1291</v>
      </c>
      <c r="J6" s="35"/>
    </row>
    <row r="7" spans="4:22" x14ac:dyDescent="0.3">
      <c r="D7" s="5">
        <v>2017</v>
      </c>
      <c r="E7" s="5">
        <v>1845</v>
      </c>
      <c r="F7" s="5">
        <v>2900</v>
      </c>
      <c r="G7" s="5">
        <v>1563</v>
      </c>
      <c r="H7" s="5">
        <v>4321</v>
      </c>
      <c r="I7" s="5">
        <v>1155</v>
      </c>
      <c r="J7" s="35"/>
    </row>
    <row r="8" spans="4:22" x14ac:dyDescent="0.3">
      <c r="D8" s="5">
        <v>2018</v>
      </c>
      <c r="E8" s="5">
        <v>3363</v>
      </c>
      <c r="F8" s="5">
        <v>3393</v>
      </c>
      <c r="G8" s="5">
        <v>1451</v>
      </c>
      <c r="H8" s="5">
        <v>4100</v>
      </c>
      <c r="I8" s="5">
        <v>1301</v>
      </c>
      <c r="J8" s="35"/>
    </row>
    <row r="9" spans="4:22" x14ac:dyDescent="0.3">
      <c r="D9" s="5">
        <v>2019</v>
      </c>
      <c r="E9" s="5">
        <v>5339</v>
      </c>
      <c r="F9" s="5">
        <v>3456</v>
      </c>
      <c r="G9" s="5">
        <v>956</v>
      </c>
      <c r="H9" s="5">
        <v>3800</v>
      </c>
      <c r="I9" s="5">
        <v>1434</v>
      </c>
      <c r="J9" s="35"/>
    </row>
    <row r="10" spans="4:22" x14ac:dyDescent="0.3">
      <c r="D10" s="5">
        <v>2020</v>
      </c>
      <c r="E10" s="5">
        <v>4890</v>
      </c>
      <c r="F10" s="5">
        <v>3600</v>
      </c>
      <c r="G10" s="5">
        <v>1139</v>
      </c>
      <c r="H10" s="5">
        <v>4250</v>
      </c>
      <c r="I10" s="5">
        <v>1082</v>
      </c>
      <c r="J10" s="35"/>
    </row>
    <row r="11" spans="4:22" x14ac:dyDescent="0.3">
      <c r="D11" s="5">
        <v>2021</v>
      </c>
      <c r="E11" s="5">
        <v>5400</v>
      </c>
      <c r="F11" s="5">
        <v>3890</v>
      </c>
      <c r="G11" s="5">
        <v>1343</v>
      </c>
      <c r="H11" s="5">
        <v>4890</v>
      </c>
      <c r="I11" s="5">
        <v>1025</v>
      </c>
      <c r="J11" s="35"/>
    </row>
    <row r="12" spans="4:22" x14ac:dyDescent="0.3">
      <c r="E12">
        <f>E11-E5</f>
        <v>531</v>
      </c>
      <c r="F12">
        <f t="shared" ref="F12:I12" si="0">F11-F5</f>
        <v>438</v>
      </c>
      <c r="G12">
        <f t="shared" si="0"/>
        <v>111</v>
      </c>
      <c r="H12">
        <f t="shared" si="0"/>
        <v>140</v>
      </c>
      <c r="I12">
        <f t="shared" si="0"/>
        <v>111</v>
      </c>
    </row>
    <row r="13" spans="4:22" x14ac:dyDescent="0.3">
      <c r="D13" s="10" t="s">
        <v>82</v>
      </c>
      <c r="E13" s="36">
        <f>(E11/E5)^(1/7)-1</f>
        <v>1.4897068111996203E-2</v>
      </c>
      <c r="F13" s="36">
        <f t="shared" ref="F13:I13" si="1">(F11/F5)^(1/7)-1</f>
        <v>1.7211494780732028E-2</v>
      </c>
      <c r="G13" s="36">
        <f t="shared" si="1"/>
        <v>1.2400116369304826E-2</v>
      </c>
      <c r="H13" s="36">
        <f t="shared" si="1"/>
        <v>4.1582911482032081E-3</v>
      </c>
      <c r="I13" s="36">
        <f t="shared" si="1"/>
        <v>1.6508689879929372E-2</v>
      </c>
      <c r="J13" s="15"/>
      <c r="L13" s="15"/>
      <c r="M13" s="21"/>
      <c r="N13" s="15"/>
      <c r="P13" s="15"/>
      <c r="Q13" s="21"/>
      <c r="R13" s="15"/>
      <c r="T13" s="10" t="s">
        <v>76</v>
      </c>
      <c r="U13" s="9" t="s">
        <v>66</v>
      </c>
      <c r="V13" s="10" t="s">
        <v>77</v>
      </c>
    </row>
    <row r="14" spans="4:22" x14ac:dyDescent="0.3">
      <c r="D14" s="5"/>
      <c r="E14" s="5" t="b">
        <f>E5&gt;E11</f>
        <v>0</v>
      </c>
      <c r="F14" s="5" t="b">
        <f t="shared" ref="F14:I14" si="2">F5&gt;F11</f>
        <v>0</v>
      </c>
      <c r="G14" s="5" t="b">
        <f t="shared" si="2"/>
        <v>0</v>
      </c>
      <c r="H14" s="5" t="b">
        <f t="shared" si="2"/>
        <v>0</v>
      </c>
      <c r="I14" s="5" t="b">
        <f t="shared" si="2"/>
        <v>0</v>
      </c>
      <c r="L14" s="6"/>
      <c r="M14" s="6"/>
      <c r="P14" s="6"/>
      <c r="Q14" s="6"/>
      <c r="T14" s="5">
        <v>2015</v>
      </c>
      <c r="U14" s="5">
        <v>914</v>
      </c>
      <c r="V14" s="3"/>
    </row>
    <row r="15" spans="4:22" x14ac:dyDescent="0.3">
      <c r="D15" s="6"/>
      <c r="E15" s="6"/>
      <c r="F15" s="6"/>
      <c r="G15" s="6"/>
      <c r="H15" s="6"/>
      <c r="I15" s="6"/>
      <c r="L15" s="6"/>
      <c r="M15" s="6"/>
      <c r="P15" s="6"/>
      <c r="Q15" s="6"/>
      <c r="T15" s="5">
        <v>2016</v>
      </c>
      <c r="U15" s="5">
        <v>1291</v>
      </c>
      <c r="V15" s="24">
        <f>(U15-U14)/U14</f>
        <v>0.41247264770240699</v>
      </c>
    </row>
    <row r="16" spans="4:22" x14ac:dyDescent="0.3">
      <c r="D16" s="28"/>
      <c r="F16" s="6"/>
      <c r="G16" s="6"/>
      <c r="H16" s="28"/>
      <c r="J16" s="6"/>
      <c r="K16" s="6"/>
      <c r="L16" s="28"/>
      <c r="N16" s="6"/>
      <c r="O16" s="6"/>
      <c r="P16" s="28"/>
      <c r="T16" s="5">
        <v>2017</v>
      </c>
      <c r="U16" s="5">
        <v>1155</v>
      </c>
      <c r="V16" s="24">
        <f>(U16-U15)/U15</f>
        <v>-0.10534469403563129</v>
      </c>
    </row>
    <row r="17" spans="4:22" x14ac:dyDescent="0.3">
      <c r="D17" s="3"/>
      <c r="E17" s="3" t="s">
        <v>62</v>
      </c>
      <c r="F17" s="3" t="s">
        <v>63</v>
      </c>
      <c r="G17" s="3" t="s">
        <v>64</v>
      </c>
      <c r="H17" s="3" t="s">
        <v>65</v>
      </c>
      <c r="I17" s="3" t="s">
        <v>66</v>
      </c>
      <c r="K17" s="6"/>
      <c r="L17" s="6"/>
      <c r="M17" s="28"/>
      <c r="O17" s="6"/>
      <c r="P17" s="6"/>
      <c r="Q17" s="28"/>
      <c r="T17" s="5">
        <v>2018</v>
      </c>
      <c r="U17" s="5">
        <v>1301</v>
      </c>
      <c r="V17" s="24">
        <f>(U17-U16)/U16</f>
        <v>0.12640692640692641</v>
      </c>
    </row>
    <row r="18" spans="4:22" x14ac:dyDescent="0.3">
      <c r="D18" s="3" t="s">
        <v>85</v>
      </c>
      <c r="E18" s="3"/>
      <c r="F18" s="3"/>
      <c r="G18" s="3"/>
      <c r="H18" s="3"/>
      <c r="I18" s="3"/>
      <c r="J18" s="6"/>
      <c r="K18" s="6"/>
      <c r="L18" s="28"/>
      <c r="N18" s="6"/>
      <c r="O18" s="6"/>
      <c r="P18" s="28"/>
      <c r="T18" s="5">
        <v>2019</v>
      </c>
      <c r="U18" s="5">
        <v>1434</v>
      </c>
      <c r="V18" s="24">
        <f t="shared" ref="V18:V20" si="3">(U18-U17)/U17</f>
        <v>0.10222905457340507</v>
      </c>
    </row>
    <row r="19" spans="4:22" x14ac:dyDescent="0.3">
      <c r="D19" s="3" t="s">
        <v>84</v>
      </c>
      <c r="E19" s="5" t="str">
        <f>IF(E5&gt;E11,"unchanged"," ")</f>
        <v xml:space="preserve"> </v>
      </c>
      <c r="F19" s="5" t="str">
        <f>IF(F5&gt;F11,"unchanged"," ")</f>
        <v xml:space="preserve"> </v>
      </c>
      <c r="G19" s="5" t="str">
        <f>IF(G5&gt;G11,"unchanged"," ")</f>
        <v xml:space="preserve"> </v>
      </c>
      <c r="H19" s="5" t="str">
        <f>IF(H5&gt;H11,"unchanged"," ")</f>
        <v xml:space="preserve"> </v>
      </c>
      <c r="I19" s="5" t="str">
        <f>IF(I5&gt;I11,"unchanged"," ")</f>
        <v xml:space="preserve"> </v>
      </c>
      <c r="J19" s="6"/>
      <c r="K19" s="6"/>
      <c r="L19" s="28"/>
      <c r="N19" s="6"/>
      <c r="O19" s="6"/>
      <c r="P19" s="28"/>
      <c r="T19" s="5">
        <v>2020</v>
      </c>
      <c r="U19" s="5">
        <v>1082</v>
      </c>
      <c r="V19" s="24">
        <f t="shared" si="3"/>
        <v>-0.24546722454672246</v>
      </c>
    </row>
    <row r="20" spans="4:22" x14ac:dyDescent="0.3">
      <c r="D20" s="3" t="s">
        <v>83</v>
      </c>
      <c r="E20" s="3" t="str">
        <f>IF(E5&gt;E11,"Decrease"," ")</f>
        <v xml:space="preserve"> </v>
      </c>
      <c r="F20" s="3" t="str">
        <f>IF(F5&gt;F11,"Decrease"," ")</f>
        <v xml:space="preserve"> </v>
      </c>
      <c r="G20" s="3" t="str">
        <f>IF(G5&gt;G11,"Decrease"," ")</f>
        <v xml:space="preserve"> </v>
      </c>
      <c r="H20" s="3" t="str">
        <f>IF(H5&gt;H11,"Decrease"," ")</f>
        <v xml:space="preserve"> </v>
      </c>
      <c r="I20" s="3" t="str">
        <f>IF(I5&gt;I11,"Decrease"," ")</f>
        <v xml:space="preserve"> </v>
      </c>
      <c r="J20" s="6"/>
      <c r="K20" s="6"/>
      <c r="L20" s="28"/>
      <c r="N20" s="6"/>
      <c r="O20" s="6"/>
      <c r="P20" s="28"/>
      <c r="T20" s="5">
        <v>2021</v>
      </c>
      <c r="U20" s="5">
        <v>1025</v>
      </c>
      <c r="V20" s="24">
        <f t="shared" si="3"/>
        <v>-5.2680221811460259E-2</v>
      </c>
    </row>
    <row r="21" spans="4:22" x14ac:dyDescent="0.3">
      <c r="D21" s="28"/>
      <c r="F21" s="6"/>
      <c r="G21" s="6"/>
      <c r="H21" s="28"/>
      <c r="J21" s="6"/>
      <c r="K21" s="6"/>
      <c r="L21" s="28"/>
      <c r="N21" s="6"/>
      <c r="O21" s="6"/>
      <c r="P21" s="28"/>
    </row>
    <row r="23" spans="4:22" x14ac:dyDescent="0.3">
      <c r="D23" s="27"/>
      <c r="F23" s="15"/>
      <c r="G23" s="25"/>
      <c r="H23" s="27"/>
      <c r="J23" s="15"/>
      <c r="K23" s="25"/>
      <c r="L23" s="27"/>
      <c r="N23" s="15"/>
      <c r="O23" s="25"/>
      <c r="P23" s="27"/>
      <c r="T23" s="15" t="s">
        <v>78</v>
      </c>
      <c r="U23" s="25">
        <f>AVERAGE(V15:V20)</f>
        <v>3.9602748048154078E-2</v>
      </c>
      <c r="V23" s="27" t="b">
        <f>U14&gt;U20</f>
        <v>0</v>
      </c>
    </row>
    <row r="24" spans="4:22" x14ac:dyDescent="0.3">
      <c r="E24" s="29"/>
      <c r="H24" s="15"/>
      <c r="I24" s="29"/>
      <c r="L24" s="15"/>
      <c r="M24" s="29"/>
      <c r="P24" s="15"/>
      <c r="Q24" s="29"/>
      <c r="T24" s="15" t="s">
        <v>79</v>
      </c>
      <c r="U24" s="26">
        <f>POWER((U20/U14),(1/(ROW(U20)-ROW(U14))))-1</f>
        <v>1.9286514234612362E-2</v>
      </c>
    </row>
  </sheetData>
  <mergeCells count="1">
    <mergeCell ref="E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AC0B-DD03-4E62-B7EE-AD046FD527CD}">
  <dimension ref="B1:P31"/>
  <sheetViews>
    <sheetView zoomScaleNormal="100" workbookViewId="0">
      <selection activeCell="K29" sqref="K29"/>
    </sheetView>
  </sheetViews>
  <sheetFormatPr defaultRowHeight="14.4" x14ac:dyDescent="0.3"/>
  <cols>
    <col min="2" max="2" width="23.6640625" bestFit="1" customWidth="1"/>
    <col min="3" max="3" width="8.6640625" customWidth="1"/>
    <col min="4" max="5" width="9.6640625" bestFit="1" customWidth="1"/>
    <col min="7" max="7" width="9.6640625" bestFit="1" customWidth="1"/>
    <col min="8" max="8" width="17.44140625" bestFit="1" customWidth="1"/>
    <col min="9" max="9" width="10.44140625" bestFit="1" customWidth="1"/>
    <col min="10" max="10" width="12.77734375" style="37" bestFit="1" customWidth="1"/>
  </cols>
  <sheetData>
    <row r="1" spans="2:13" x14ac:dyDescent="0.3">
      <c r="B1" s="15" t="s">
        <v>74</v>
      </c>
    </row>
    <row r="2" spans="2:13" x14ac:dyDescent="0.3">
      <c r="G2" s="39" t="s">
        <v>86</v>
      </c>
      <c r="H2" s="39" t="s">
        <v>88</v>
      </c>
      <c r="I2" s="39" t="s">
        <v>89</v>
      </c>
      <c r="J2" s="45" t="s">
        <v>90</v>
      </c>
      <c r="K2" s="39"/>
    </row>
    <row r="3" spans="2:13" x14ac:dyDescent="0.3">
      <c r="B3" s="21" t="s">
        <v>75</v>
      </c>
      <c r="C3" s="18">
        <v>100000</v>
      </c>
      <c r="D3" s="6"/>
      <c r="G3" s="3"/>
      <c r="H3" s="3"/>
      <c r="I3" s="3"/>
      <c r="J3" s="46">
        <v>100000</v>
      </c>
      <c r="K3" s="3"/>
    </row>
    <row r="4" spans="2:13" x14ac:dyDescent="0.3">
      <c r="B4" s="21" t="s">
        <v>69</v>
      </c>
      <c r="C4" s="20">
        <v>0.24</v>
      </c>
      <c r="D4" s="6"/>
      <c r="G4" s="3" cm="1">
        <f t="array" ref="G4:G27">_xlfn.SEQUENCE(24)</f>
        <v>1</v>
      </c>
      <c r="H4" s="38">
        <f>IPMT($C$4/52,G4,$C$5,-J3)</f>
        <v>461.53846153846149</v>
      </c>
      <c r="I4" s="38">
        <f>PPMT($C$4/52,G4,$C$5,-$J$3)</f>
        <v>3949.7551296906886</v>
      </c>
      <c r="J4" s="40">
        <f>J3-I4</f>
        <v>96050.24487030931</v>
      </c>
      <c r="K4" s="3"/>
    </row>
    <row r="5" spans="2:13" x14ac:dyDescent="0.3">
      <c r="B5" s="21" t="s">
        <v>70</v>
      </c>
      <c r="C5" s="19">
        <v>24</v>
      </c>
      <c r="D5" s="6" t="s">
        <v>71</v>
      </c>
      <c r="G5" s="3">
        <v>2</v>
      </c>
      <c r="H5" s="38">
        <f>IPMT($C$4/52,G5,24,-J4)</f>
        <v>425.79920952214059</v>
      </c>
      <c r="I5" s="38">
        <f t="shared" ref="I5:I27" si="0">PPMT($C$4/52,G5,$C$5,-$J$3)</f>
        <v>3967.984768750799</v>
      </c>
      <c r="J5" s="40">
        <f t="shared" ref="J5:J26" si="1">J4-I5</f>
        <v>92082.26010155851</v>
      </c>
      <c r="K5" s="3"/>
    </row>
    <row r="6" spans="2:13" x14ac:dyDescent="0.3">
      <c r="B6" s="21" t="s">
        <v>72</v>
      </c>
      <c r="C6" s="19" t="s">
        <v>73</v>
      </c>
      <c r="D6" s="6"/>
      <c r="G6" s="3">
        <v>3</v>
      </c>
      <c r="H6" s="38">
        <f t="shared" ref="H6:H27" si="2">IPMT($C$4/52,G6,24,-J5)</f>
        <v>391.34504424974182</v>
      </c>
      <c r="I6" s="38">
        <f t="shared" si="0"/>
        <v>3986.2985446065722</v>
      </c>
      <c r="J6" s="40">
        <f t="shared" si="1"/>
        <v>88095.961556951937</v>
      </c>
      <c r="K6" s="3"/>
    </row>
    <row r="7" spans="2:13" x14ac:dyDescent="0.3">
      <c r="G7" s="3">
        <v>4</v>
      </c>
      <c r="H7" s="38">
        <f t="shared" si="2"/>
        <v>358.19531273741319</v>
      </c>
      <c r="I7" s="38">
        <f t="shared" si="0"/>
        <v>4004.6968455816791</v>
      </c>
      <c r="J7" s="40">
        <f>J6-I7</f>
        <v>84091.264711370255</v>
      </c>
      <c r="K7" s="3"/>
    </row>
    <row r="8" spans="2:13" x14ac:dyDescent="0.3">
      <c r="D8" s="16"/>
      <c r="E8" s="16"/>
      <c r="F8" s="16"/>
      <c r="G8" s="3">
        <v>5</v>
      </c>
      <c r="H8" s="38">
        <f t="shared" si="2"/>
        <v>326.36957541958816</v>
      </c>
      <c r="I8" s="38">
        <f t="shared" si="0"/>
        <v>4023.1800617920567</v>
      </c>
      <c r="J8" s="40">
        <f t="shared" si="1"/>
        <v>80068.084649578203</v>
      </c>
      <c r="K8" s="3"/>
    </row>
    <row r="9" spans="2:13" x14ac:dyDescent="0.3">
      <c r="D9" s="16"/>
      <c r="E9" s="16"/>
      <c r="F9" s="16"/>
      <c r="G9" s="3">
        <v>6</v>
      </c>
      <c r="H9" s="38">
        <f t="shared" si="2"/>
        <v>295.88760828240089</v>
      </c>
      <c r="I9" s="38">
        <f t="shared" si="0"/>
        <v>4041.7485851541737</v>
      </c>
      <c r="J9" s="40">
        <f t="shared" si="1"/>
        <v>76026.336064424031</v>
      </c>
      <c r="K9" s="3"/>
      <c r="M9" s="37"/>
    </row>
    <row r="10" spans="2:13" x14ac:dyDescent="0.3">
      <c r="D10" s="16"/>
      <c r="E10" s="16"/>
      <c r="F10" s="16"/>
      <c r="G10" s="3">
        <v>7</v>
      </c>
      <c r="H10" s="38">
        <f t="shared" si="2"/>
        <v>266.76940501757269</v>
      </c>
      <c r="I10" s="38">
        <f t="shared" si="0"/>
        <v>4060.4028093933462</v>
      </c>
      <c r="J10" s="40">
        <f t="shared" si="1"/>
        <v>71965.933255030686</v>
      </c>
      <c r="K10" s="3"/>
    </row>
    <row r="11" spans="2:13" x14ac:dyDescent="0.3">
      <c r="D11" s="16"/>
      <c r="E11" s="16"/>
      <c r="F11" s="16"/>
      <c r="G11" s="3">
        <v>8</v>
      </c>
      <c r="H11" s="38">
        <f t="shared" si="2"/>
        <v>239.03517919696299</v>
      </c>
      <c r="I11" s="38">
        <f t="shared" si="0"/>
        <v>4079.1431300520853</v>
      </c>
      <c r="J11" s="40">
        <f t="shared" si="1"/>
        <v>67886.790124978608</v>
      </c>
      <c r="K11" s="3"/>
    </row>
    <row r="12" spans="2:13" x14ac:dyDescent="0.3">
      <c r="D12" s="16"/>
      <c r="E12" s="16"/>
      <c r="F12" s="16"/>
      <c r="G12" s="3">
        <v>9</v>
      </c>
      <c r="H12" s="38">
        <f t="shared" si="2"/>
        <v>212.70536646797964</v>
      </c>
      <c r="I12" s="38">
        <f t="shared" si="0"/>
        <v>4097.969944498479</v>
      </c>
      <c r="J12" s="40">
        <f t="shared" si="1"/>
        <v>63788.820180480128</v>
      </c>
      <c r="K12" s="3"/>
    </row>
    <row r="13" spans="2:13" x14ac:dyDescent="0.3">
      <c r="D13" s="16"/>
      <c r="E13" s="16"/>
      <c r="F13" s="16"/>
      <c r="G13" s="3">
        <v>10</v>
      </c>
      <c r="H13" s="38">
        <f t="shared" si="2"/>
        <v>187.80062677004437</v>
      </c>
      <c r="I13" s="38">
        <f t="shared" si="0"/>
        <v>4116.883651934626</v>
      </c>
      <c r="J13" s="40">
        <f t="shared" si="1"/>
        <v>59671.936528545499</v>
      </c>
      <c r="K13" s="3"/>
    </row>
    <row r="14" spans="2:13" x14ac:dyDescent="0.3">
      <c r="D14" s="16"/>
      <c r="E14" s="16"/>
      <c r="F14" s="16"/>
      <c r="G14" s="3">
        <v>11</v>
      </c>
      <c r="H14" s="38">
        <f t="shared" si="2"/>
        <v>164.34184657231205</v>
      </c>
      <c r="I14" s="38">
        <f t="shared" si="0"/>
        <v>4135.8846534050936</v>
      </c>
      <c r="J14" s="40">
        <f t="shared" si="1"/>
        <v>55536.051875140402</v>
      </c>
      <c r="K14" s="3"/>
    </row>
    <row r="15" spans="2:13" x14ac:dyDescent="0.3">
      <c r="D15" s="16"/>
      <c r="E15" s="16"/>
      <c r="F15" s="16"/>
      <c r="G15" s="3">
        <v>12</v>
      </c>
      <c r="H15" s="38">
        <f t="shared" si="2"/>
        <v>142.3501411328439</v>
      </c>
      <c r="I15" s="38">
        <f t="shared" si="0"/>
        <v>4154.9733518054254</v>
      </c>
      <c r="J15" s="40">
        <f t="shared" si="1"/>
        <v>51381.078523334974</v>
      </c>
      <c r="K15" s="3"/>
    </row>
    <row r="16" spans="2:13" x14ac:dyDescent="0.3">
      <c r="D16" s="16"/>
      <c r="E16" s="16"/>
      <c r="F16" s="16"/>
      <c r="G16" s="3">
        <v>13</v>
      </c>
      <c r="H16" s="38">
        <f t="shared" si="2"/>
        <v>121.84685677943605</v>
      </c>
      <c r="I16" s="38">
        <f t="shared" si="0"/>
        <v>4174.1501518906807</v>
      </c>
      <c r="J16" s="40">
        <f t="shared" si="1"/>
        <v>47206.928371444294</v>
      </c>
      <c r="K16" s="3"/>
    </row>
    <row r="17" spans="4:16" x14ac:dyDescent="0.3">
      <c r="D17" s="16"/>
      <c r="E17" s="16"/>
      <c r="F17" s="16"/>
      <c r="G17" s="3">
        <v>14</v>
      </c>
      <c r="H17" s="38">
        <f t="shared" si="2"/>
        <v>102.85357321230794</v>
      </c>
      <c r="I17" s="38">
        <f t="shared" si="0"/>
        <v>4193.4154602840226</v>
      </c>
      <c r="J17" s="40">
        <f t="shared" si="1"/>
        <v>43013.512911160273</v>
      </c>
      <c r="K17" s="3"/>
    </row>
    <row r="18" spans="4:16" x14ac:dyDescent="0.3">
      <c r="D18" s="16"/>
      <c r="E18" s="16"/>
      <c r="F18" s="16"/>
      <c r="G18" s="3">
        <v>15</v>
      </c>
      <c r="H18" s="38">
        <f t="shared" si="2"/>
        <v>85.392105828856216</v>
      </c>
      <c r="I18" s="38">
        <f t="shared" si="0"/>
        <v>4212.7696854853339</v>
      </c>
      <c r="J18" s="40">
        <f t="shared" si="1"/>
        <v>38800.743225674938</v>
      </c>
      <c r="K18" s="3"/>
    </row>
    <row r="19" spans="4:16" x14ac:dyDescent="0.3">
      <c r="D19" s="16"/>
      <c r="E19" s="16"/>
      <c r="F19" s="16"/>
      <c r="G19" s="3">
        <v>16</v>
      </c>
      <c r="H19" s="38">
        <f t="shared" si="2"/>
        <v>69.484508070681215</v>
      </c>
      <c r="I19" s="38">
        <f t="shared" si="0"/>
        <v>4232.2132378798806</v>
      </c>
      <c r="J19" s="40">
        <f t="shared" si="1"/>
        <v>34568.52998779506</v>
      </c>
      <c r="K19" s="3"/>
    </row>
    <row r="20" spans="4:16" x14ac:dyDescent="0.3">
      <c r="D20" s="16"/>
      <c r="E20" s="16"/>
      <c r="F20" s="16"/>
      <c r="G20" s="3">
        <v>17</v>
      </c>
      <c r="H20" s="38">
        <f t="shared" si="2"/>
        <v>55.15307379309629</v>
      </c>
      <c r="I20" s="38">
        <f t="shared" si="0"/>
        <v>4251.7465297470189</v>
      </c>
      <c r="J20" s="40">
        <f t="shared" si="1"/>
        <v>30316.783458048041</v>
      </c>
      <c r="K20" s="3"/>
    </row>
    <row r="21" spans="4:16" x14ac:dyDescent="0.3">
      <c r="D21" s="16"/>
      <c r="E21" s="16"/>
      <c r="F21" s="16"/>
      <c r="G21" s="3">
        <v>18</v>
      </c>
      <c r="H21" s="38">
        <f t="shared" si="2"/>
        <v>42.420339657331162</v>
      </c>
      <c r="I21" s="38">
        <f t="shared" si="0"/>
        <v>4271.3699752689281</v>
      </c>
      <c r="J21" s="40">
        <f t="shared" si="1"/>
        <v>26045.413482779113</v>
      </c>
      <c r="K21" s="3"/>
    </row>
    <row r="22" spans="4:16" x14ac:dyDescent="0.3">
      <c r="D22" s="16"/>
      <c r="E22" s="16"/>
      <c r="F22" s="16"/>
      <c r="G22" s="3">
        <v>19</v>
      </c>
      <c r="H22" s="38">
        <f t="shared" si="2"/>
        <v>31.309087545643013</v>
      </c>
      <c r="I22" s="38">
        <f t="shared" si="0"/>
        <v>4291.0839905394005</v>
      </c>
      <c r="J22" s="40">
        <f t="shared" si="1"/>
        <v>21754.329492239711</v>
      </c>
      <c r="K22" s="3"/>
    </row>
    <row r="23" spans="4:16" x14ac:dyDescent="0.3">
      <c r="D23" s="16"/>
      <c r="E23" s="16"/>
      <c r="F23" s="16"/>
      <c r="G23" s="3">
        <v>20</v>
      </c>
      <c r="H23" s="38">
        <f t="shared" si="2"/>
        <v>21.842346999550635</v>
      </c>
      <c r="I23" s="38">
        <f t="shared" si="0"/>
        <v>4310.8889935726584</v>
      </c>
      <c r="J23" s="40">
        <f t="shared" si="1"/>
        <v>17443.440498667052</v>
      </c>
      <c r="K23" s="3"/>
    </row>
    <row r="24" spans="4:16" x14ac:dyDescent="0.3">
      <c r="D24" s="16"/>
      <c r="E24" s="16"/>
      <c r="F24" s="16"/>
      <c r="G24" s="3">
        <v>21</v>
      </c>
      <c r="H24" s="38">
        <f t="shared" si="2"/>
        <v>14.043397681409441</v>
      </c>
      <c r="I24" s="38">
        <f t="shared" si="0"/>
        <v>4330.7854043122252</v>
      </c>
      <c r="J24" s="40">
        <f t="shared" si="1"/>
        <v>13112.655094354828</v>
      </c>
      <c r="K24" s="3"/>
    </row>
    <row r="25" spans="4:16" x14ac:dyDescent="0.3">
      <c r="D25" s="16"/>
      <c r="E25" s="16"/>
      <c r="F25" s="16"/>
      <c r="G25" s="3">
        <v>22</v>
      </c>
      <c r="H25" s="38">
        <f t="shared" si="2"/>
        <v>7.9357718595466</v>
      </c>
      <c r="I25" s="38">
        <f t="shared" si="0"/>
        <v>4350.7736446398194</v>
      </c>
      <c r="J25" s="40">
        <f t="shared" si="1"/>
        <v>8761.8814497150088</v>
      </c>
      <c r="K25" s="3"/>
    </row>
    <row r="26" spans="4:16" x14ac:dyDescent="0.3">
      <c r="D26" s="16"/>
      <c r="E26" s="16"/>
      <c r="F26" s="16"/>
      <c r="G26" s="3">
        <v>23</v>
      </c>
      <c r="H26" s="38">
        <f t="shared" si="2"/>
        <v>3.5432569171781538</v>
      </c>
      <c r="I26" s="38">
        <f t="shared" si="0"/>
        <v>4370.8541383843112</v>
      </c>
      <c r="J26" s="40">
        <f t="shared" si="1"/>
        <v>4391.0273113306976</v>
      </c>
      <c r="K26" s="3"/>
    </row>
    <row r="27" spans="4:16" x14ac:dyDescent="0.3">
      <c r="D27" s="16"/>
      <c r="E27" s="16"/>
      <c r="F27" s="16"/>
      <c r="G27" s="3">
        <v>24</v>
      </c>
      <c r="H27" s="38">
        <f t="shared" si="2"/>
        <v>0.8898978853316355</v>
      </c>
      <c r="I27" s="38">
        <f t="shared" si="0"/>
        <v>4391.0273113307003</v>
      </c>
      <c r="J27" s="40">
        <f>J26-I27</f>
        <v>0</v>
      </c>
      <c r="K27" s="3"/>
    </row>
    <row r="28" spans="4:16" x14ac:dyDescent="0.3">
      <c r="D28" s="16"/>
      <c r="E28" s="16"/>
      <c r="F28" s="16"/>
      <c r="G28" s="17"/>
      <c r="I28" s="16"/>
      <c r="P28" t="s">
        <v>91</v>
      </c>
    </row>
    <row r="29" spans="4:16" x14ac:dyDescent="0.3">
      <c r="D29" s="16"/>
      <c r="E29" s="16"/>
      <c r="F29" s="16"/>
      <c r="G29" s="17"/>
    </row>
    <row r="30" spans="4:16" x14ac:dyDescent="0.3">
      <c r="D30" s="16"/>
      <c r="E30" s="16"/>
      <c r="F30" s="16"/>
      <c r="G30" s="17"/>
    </row>
    <row r="31" spans="4:16" x14ac:dyDescent="0.3">
      <c r="D31" s="16"/>
      <c r="E31" s="16"/>
      <c r="F31" s="16"/>
      <c r="G31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542E-3E63-448B-B105-E782F93E7FF5}">
  <dimension ref="B1:O35"/>
  <sheetViews>
    <sheetView tabSelected="1" workbookViewId="0">
      <selection activeCell="R6" sqref="R6"/>
    </sheetView>
  </sheetViews>
  <sheetFormatPr defaultRowHeight="14.4" x14ac:dyDescent="0.3"/>
  <cols>
    <col min="1" max="1" width="10.6640625" bestFit="1" customWidth="1"/>
    <col min="2" max="2" width="16.6640625" bestFit="1" customWidth="1"/>
    <col min="3" max="3" width="12.77734375" bestFit="1" customWidth="1"/>
    <col min="8" max="8" width="11.109375" bestFit="1" customWidth="1"/>
    <col min="9" max="9" width="10.44140625" bestFit="1" customWidth="1"/>
    <col min="10" max="10" width="13.44140625" customWidth="1"/>
    <col min="13" max="13" width="9.44140625" bestFit="1" customWidth="1"/>
    <col min="14" max="14" width="10.44140625" bestFit="1" customWidth="1"/>
    <col min="15" max="15" width="14.44140625" bestFit="1" customWidth="1"/>
  </cols>
  <sheetData>
    <row r="1" spans="2:15" x14ac:dyDescent="0.3">
      <c r="G1" s="48" t="s">
        <v>92</v>
      </c>
      <c r="H1" s="49"/>
      <c r="I1" s="49"/>
      <c r="J1" s="49"/>
      <c r="L1" s="48" t="s">
        <v>93</v>
      </c>
      <c r="M1" s="49"/>
      <c r="N1" s="49"/>
      <c r="O1" s="49"/>
    </row>
    <row r="3" spans="2:15" x14ac:dyDescent="0.3">
      <c r="B3" s="39" t="s">
        <v>87</v>
      </c>
      <c r="C3" s="43">
        <v>11352</v>
      </c>
      <c r="G3" s="7" t="s">
        <v>94</v>
      </c>
      <c r="H3" s="7" t="s">
        <v>95</v>
      </c>
      <c r="I3" s="7" t="s">
        <v>89</v>
      </c>
      <c r="J3" s="7" t="s">
        <v>96</v>
      </c>
      <c r="L3" s="7" t="s">
        <v>94</v>
      </c>
      <c r="M3" s="7" t="s">
        <v>95</v>
      </c>
      <c r="N3" s="7" t="s">
        <v>89</v>
      </c>
      <c r="O3" s="7" t="s">
        <v>97</v>
      </c>
    </row>
    <row r="4" spans="2:15" x14ac:dyDescent="0.3">
      <c r="B4" s="3" t="s">
        <v>101</v>
      </c>
      <c r="C4" s="44">
        <v>0.22</v>
      </c>
      <c r="E4" s="16"/>
      <c r="G4" s="3"/>
      <c r="H4" s="3"/>
      <c r="I4" s="3"/>
      <c r="J4" s="41">
        <f>C12</f>
        <v>266632.56826611451</v>
      </c>
      <c r="L4" s="3"/>
      <c r="M4" s="3"/>
      <c r="N4" s="3"/>
      <c r="O4" s="41">
        <f>C16</f>
        <v>329048.83874129999</v>
      </c>
    </row>
    <row r="5" spans="2:15" x14ac:dyDescent="0.3">
      <c r="G5" s="3" cm="1">
        <f t="array" ref="G5:G35">_xlfn.SEQUENCE(31)</f>
        <v>1</v>
      </c>
      <c r="H5" s="38">
        <f>IPMT($C$4/12,G5,31,-J4)</f>
        <v>4888.2637515454326</v>
      </c>
      <c r="I5" s="38">
        <f>PPMT($C$4/12,G5,31,-$J$4)</f>
        <v>6463.7362484545629</v>
      </c>
      <c r="J5" s="40">
        <f>J4-I5</f>
        <v>260168.83201765994</v>
      </c>
      <c r="L5" s="3" cm="1">
        <f t="array" ref="L5:L21">_xlfn.SEQUENCE(17)</f>
        <v>1</v>
      </c>
      <c r="M5" s="38">
        <f t="shared" ref="M5:M21" si="0">IPMT($C$4/12,L5,17,-$C$16)</f>
        <v>6032.5620435905003</v>
      </c>
      <c r="N5" s="38">
        <f t="shared" ref="N5:N21" si="1">PPMT($C$4/12,L5,17,-$C$16)</f>
        <v>16671.437956409485</v>
      </c>
      <c r="O5" s="40">
        <f>O4-N5</f>
        <v>312377.40078489052</v>
      </c>
    </row>
    <row r="6" spans="2:15" x14ac:dyDescent="0.3">
      <c r="B6" s="39" t="s">
        <v>100</v>
      </c>
      <c r="C6" s="3"/>
      <c r="G6" s="3">
        <v>2</v>
      </c>
      <c r="H6" s="38">
        <f t="shared" ref="H6:H35" si="2">IPMT($C$4/12,G6,31,-J5)</f>
        <v>4654.1328236182026</v>
      </c>
      <c r="I6" s="38">
        <f t="shared" ref="I6:I35" si="3">PPMT($C$4/12,G6,31,-$J$4)</f>
        <v>6582.2380796762309</v>
      </c>
      <c r="J6" s="40">
        <f t="shared" ref="J6:J34" si="4">J5-I6</f>
        <v>253586.59393798371</v>
      </c>
      <c r="L6" s="3">
        <v>2</v>
      </c>
      <c r="M6" s="38">
        <f t="shared" si="0"/>
        <v>5726.9190143896585</v>
      </c>
      <c r="N6" s="38">
        <f t="shared" si="1"/>
        <v>16977.080985610326</v>
      </c>
      <c r="O6" s="40">
        <f t="shared" ref="O6:O21" si="5">O5-N6</f>
        <v>295400.3197992802</v>
      </c>
    </row>
    <row r="7" spans="2:15" x14ac:dyDescent="0.3">
      <c r="B7" s="3" t="s">
        <v>99</v>
      </c>
      <c r="C7" s="42">
        <f>C3*((1+C4/12)^(66)-1)/((C4/12)*((1+C4/12)^66))</f>
        <v>432521.80329502426</v>
      </c>
      <c r="G7" s="3">
        <v>3</v>
      </c>
      <c r="H7" s="38">
        <f t="shared" si="2"/>
        <v>4421.613930334227</v>
      </c>
      <c r="I7" s="38">
        <f t="shared" si="3"/>
        <v>6702.9124444702948</v>
      </c>
      <c r="J7" s="40">
        <f t="shared" si="4"/>
        <v>246883.6814935134</v>
      </c>
      <c r="L7" s="3">
        <v>3</v>
      </c>
      <c r="M7" s="38">
        <f t="shared" si="0"/>
        <v>5415.6725296534696</v>
      </c>
      <c r="N7" s="38">
        <f t="shared" si="1"/>
        <v>17288.327470346518</v>
      </c>
      <c r="O7" s="40">
        <f t="shared" si="5"/>
        <v>278111.99232893367</v>
      </c>
    </row>
    <row r="8" spans="2:15" x14ac:dyDescent="0.3">
      <c r="G8" s="3">
        <v>4</v>
      </c>
      <c r="H8" s="38">
        <f t="shared" si="2"/>
        <v>4190.9551061577495</v>
      </c>
      <c r="I8" s="38">
        <f t="shared" si="3"/>
        <v>6825.7991726189166</v>
      </c>
      <c r="J8" s="40">
        <f t="shared" si="4"/>
        <v>240057.88232089448</v>
      </c>
      <c r="L8" s="3">
        <v>4</v>
      </c>
      <c r="M8" s="38">
        <f t="shared" si="0"/>
        <v>5098.7198593637831</v>
      </c>
      <c r="N8" s="38">
        <f t="shared" si="1"/>
        <v>17605.280140636205</v>
      </c>
      <c r="O8" s="40">
        <f t="shared" si="5"/>
        <v>260506.71218829748</v>
      </c>
    </row>
    <row r="9" spans="2:15" x14ac:dyDescent="0.3">
      <c r="G9" s="3">
        <v>5</v>
      </c>
      <c r="H9" s="38">
        <f t="shared" si="2"/>
        <v>3962.4170172367608</v>
      </c>
      <c r="I9" s="38">
        <f t="shared" si="3"/>
        <v>6950.9388241169299</v>
      </c>
      <c r="J9" s="40">
        <f t="shared" si="4"/>
        <v>233106.94349677756</v>
      </c>
      <c r="L9" s="3">
        <v>5</v>
      </c>
      <c r="M9" s="38">
        <f t="shared" si="0"/>
        <v>4775.9563901187867</v>
      </c>
      <c r="N9" s="38">
        <f t="shared" si="1"/>
        <v>17928.043609881202</v>
      </c>
      <c r="O9" s="40">
        <f t="shared" si="5"/>
        <v>242578.66857841628</v>
      </c>
    </row>
    <row r="10" spans="2:15" x14ac:dyDescent="0.3">
      <c r="G10" s="3">
        <v>6</v>
      </c>
      <c r="H10" s="38">
        <f t="shared" si="2"/>
        <v>3736.2734921285783</v>
      </c>
      <c r="I10" s="38">
        <f t="shared" si="3"/>
        <v>7078.3727025590724</v>
      </c>
      <c r="J10" s="40">
        <f t="shared" si="4"/>
        <v>226028.57079421848</v>
      </c>
      <c r="L10" s="3">
        <v>6</v>
      </c>
      <c r="M10" s="38">
        <f t="shared" si="0"/>
        <v>4447.2755906042976</v>
      </c>
      <c r="N10" s="38">
        <f t="shared" si="1"/>
        <v>18256.724409395691</v>
      </c>
      <c r="O10" s="40">
        <f t="shared" si="5"/>
        <v>224321.9441690206</v>
      </c>
    </row>
    <row r="11" spans="2:15" x14ac:dyDescent="0.3">
      <c r="B11" s="39" t="s">
        <v>92</v>
      </c>
      <c r="C11" s="3"/>
      <c r="G11" s="3">
        <v>7</v>
      </c>
      <c r="H11" s="38">
        <f t="shared" si="2"/>
        <v>3512.8120733245746</v>
      </c>
      <c r="I11" s="38">
        <f t="shared" si="3"/>
        <v>7208.1428687726557</v>
      </c>
      <c r="J11" s="40">
        <f t="shared" si="4"/>
        <v>218820.42792544584</v>
      </c>
      <c r="L11" s="3">
        <v>7</v>
      </c>
      <c r="M11" s="38">
        <f t="shared" si="0"/>
        <v>4112.5689764320432</v>
      </c>
      <c r="N11" s="38">
        <f t="shared" si="1"/>
        <v>18591.431023567944</v>
      </c>
      <c r="O11" s="40">
        <f t="shared" si="5"/>
        <v>205730.51314545266</v>
      </c>
    </row>
    <row r="12" spans="2:15" x14ac:dyDescent="0.3">
      <c r="B12" s="3" t="s">
        <v>98</v>
      </c>
      <c r="C12" s="40">
        <f>C3*((1+C4/12)^(31)-1)/((C4/12)*((1+C4/12)^31))</f>
        <v>266632.56826611451</v>
      </c>
      <c r="G12" s="3">
        <v>8</v>
      </c>
      <c r="H12" s="38">
        <f t="shared" si="2"/>
        <v>3292.3345903649756</v>
      </c>
      <c r="I12" s="38">
        <f t="shared" si="3"/>
        <v>7340.2921547001552</v>
      </c>
      <c r="J12" s="40">
        <f t="shared" si="4"/>
        <v>211480.13577074569</v>
      </c>
      <c r="L12" s="3">
        <v>8</v>
      </c>
      <c r="M12" s="38">
        <f t="shared" si="0"/>
        <v>3771.7260743332977</v>
      </c>
      <c r="N12" s="38">
        <f t="shared" si="1"/>
        <v>18932.273925666686</v>
      </c>
      <c r="O12" s="40">
        <f t="shared" si="5"/>
        <v>186798.23921978596</v>
      </c>
    </row>
    <row r="13" spans="2:15" x14ac:dyDescent="0.3">
      <c r="G13" s="3">
        <v>9</v>
      </c>
      <c r="H13" s="38">
        <f t="shared" si="2"/>
        <v>3075.1577553642842</v>
      </c>
      <c r="I13" s="38">
        <f t="shared" si="3"/>
        <v>7474.8641775363249</v>
      </c>
      <c r="J13" s="40">
        <f t="shared" si="4"/>
        <v>204005.27159320936</v>
      </c>
      <c r="L13" s="3">
        <v>9</v>
      </c>
      <c r="M13" s="38">
        <f t="shared" si="0"/>
        <v>3424.6343856960752</v>
      </c>
      <c r="N13" s="38">
        <f t="shared" si="1"/>
        <v>19279.365614303912</v>
      </c>
      <c r="O13" s="40">
        <f t="shared" si="5"/>
        <v>167518.87360548205</v>
      </c>
    </row>
    <row r="14" spans="2:15" x14ac:dyDescent="0.3">
      <c r="G14" s="3">
        <v>10</v>
      </c>
      <c r="H14" s="38">
        <f t="shared" si="2"/>
        <v>2861.6137817986541</v>
      </c>
      <c r="I14" s="38">
        <f t="shared" si="3"/>
        <v>7611.9033541244899</v>
      </c>
      <c r="J14" s="40">
        <f t="shared" si="4"/>
        <v>196393.36823908487</v>
      </c>
      <c r="L14" s="3">
        <v>10</v>
      </c>
      <c r="M14" s="38">
        <f t="shared" si="0"/>
        <v>3071.1793494338372</v>
      </c>
      <c r="N14" s="38">
        <f t="shared" si="1"/>
        <v>19632.820650566151</v>
      </c>
      <c r="O14" s="40">
        <f t="shared" si="5"/>
        <v>147886.05295491591</v>
      </c>
    </row>
    <row r="15" spans="2:15" x14ac:dyDescent="0.3">
      <c r="B15" s="39" t="s">
        <v>93</v>
      </c>
      <c r="C15" s="3"/>
      <c r="G15" s="3">
        <v>11</v>
      </c>
      <c r="H15" s="38">
        <f t="shared" si="2"/>
        <v>2652.0510274384487</v>
      </c>
      <c r="I15" s="38">
        <f t="shared" si="3"/>
        <v>7751.4549156167741</v>
      </c>
      <c r="J15" s="40">
        <f t="shared" si="4"/>
        <v>188641.91332346809</v>
      </c>
      <c r="L15" s="3">
        <v>11</v>
      </c>
      <c r="M15" s="38">
        <f t="shared" si="0"/>
        <v>2711.2443041734568</v>
      </c>
      <c r="N15" s="38">
        <f t="shared" si="1"/>
        <v>19992.75569582653</v>
      </c>
      <c r="O15" s="40">
        <f t="shared" si="5"/>
        <v>127893.29725908938</v>
      </c>
    </row>
    <row r="16" spans="2:15" x14ac:dyDescent="0.3">
      <c r="B16" s="3" t="s">
        <v>98</v>
      </c>
      <c r="C16" s="40">
        <f>(C3*2)*((1+C4/12)^(17)-1)/((C4/12)*((1+C4/12)^17))</f>
        <v>329048.83874129999</v>
      </c>
      <c r="G16" s="3">
        <v>12</v>
      </c>
      <c r="H16" s="38">
        <f t="shared" si="2"/>
        <v>2446.8346623423013</v>
      </c>
      <c r="I16" s="38">
        <f t="shared" si="3"/>
        <v>7893.5649224030803</v>
      </c>
      <c r="J16" s="40">
        <f t="shared" si="4"/>
        <v>180748.34840106501</v>
      </c>
      <c r="L16" s="3">
        <v>12</v>
      </c>
      <c r="M16" s="38">
        <f t="shared" si="0"/>
        <v>2344.7104497499713</v>
      </c>
      <c r="N16" s="38">
        <f t="shared" si="1"/>
        <v>20359.289550250018</v>
      </c>
      <c r="O16" s="40">
        <f t="shared" si="5"/>
        <v>107534.00770883936</v>
      </c>
    </row>
    <row r="17" spans="7:15" x14ac:dyDescent="0.3">
      <c r="G17" s="3">
        <v>13</v>
      </c>
      <c r="H17" s="38">
        <f t="shared" si="2"/>
        <v>2246.3473628633469</v>
      </c>
      <c r="I17" s="38">
        <f t="shared" si="3"/>
        <v>8038.2802793138044</v>
      </c>
      <c r="J17" s="40">
        <f t="shared" si="4"/>
        <v>172710.06812175122</v>
      </c>
      <c r="L17" s="3">
        <v>13</v>
      </c>
      <c r="M17" s="38">
        <f t="shared" si="0"/>
        <v>1971.4568079953876</v>
      </c>
      <c r="N17" s="38">
        <f t="shared" si="1"/>
        <v>20732.543192004603</v>
      </c>
      <c r="O17" s="40">
        <f t="shared" si="5"/>
        <v>86801.464516834763</v>
      </c>
    </row>
    <row r="18" spans="7:15" x14ac:dyDescent="0.3">
      <c r="G18" s="3">
        <v>14</v>
      </c>
      <c r="H18" s="38">
        <f t="shared" si="2"/>
        <v>2050.9900326538541</v>
      </c>
      <c r="I18" s="38">
        <f t="shared" si="3"/>
        <v>8185.6487511012228</v>
      </c>
      <c r="J18" s="40">
        <f t="shared" si="4"/>
        <v>164524.41937064999</v>
      </c>
      <c r="L18" s="3">
        <v>14</v>
      </c>
      <c r="M18" s="38">
        <f t="shared" si="0"/>
        <v>1591.3601828086366</v>
      </c>
      <c r="N18" s="38">
        <f t="shared" si="1"/>
        <v>21112.639817191353</v>
      </c>
      <c r="O18" s="40">
        <f t="shared" si="5"/>
        <v>65688.824699643417</v>
      </c>
    </row>
    <row r="19" spans="7:15" x14ac:dyDescent="0.3">
      <c r="G19" s="3">
        <v>15</v>
      </c>
      <c r="H19" s="38">
        <f t="shared" si="2"/>
        <v>1861.18255169146</v>
      </c>
      <c r="I19" s="38">
        <f t="shared" si="3"/>
        <v>8335.7189782047462</v>
      </c>
      <c r="J19" s="40">
        <f t="shared" si="4"/>
        <v>156188.70039244526</v>
      </c>
      <c r="L19" s="3">
        <v>15</v>
      </c>
      <c r="M19" s="38">
        <f t="shared" si="0"/>
        <v>1204.2951194934619</v>
      </c>
      <c r="N19" s="38">
        <f t="shared" si="1"/>
        <v>21499.704880506524</v>
      </c>
      <c r="O19" s="40">
        <f t="shared" si="5"/>
        <v>44189.119819136889</v>
      </c>
    </row>
    <row r="20" spans="7:15" x14ac:dyDescent="0.3">
      <c r="G20" s="3">
        <v>16</v>
      </c>
      <c r="H20" s="38">
        <f t="shared" si="2"/>
        <v>1677.3645543884991</v>
      </c>
      <c r="I20" s="38">
        <f t="shared" si="3"/>
        <v>8488.5404928051667</v>
      </c>
      <c r="J20" s="40">
        <f t="shared" si="4"/>
        <v>147700.1598996401</v>
      </c>
      <c r="L20" s="3">
        <v>16</v>
      </c>
      <c r="M20" s="38">
        <f t="shared" si="0"/>
        <v>810.13386335084226</v>
      </c>
      <c r="N20" s="38">
        <f t="shared" si="1"/>
        <v>21893.866136649147</v>
      </c>
      <c r="O20" s="40">
        <f t="shared" si="5"/>
        <v>22295.253682487742</v>
      </c>
    </row>
    <row r="21" spans="7:15" x14ac:dyDescent="0.3">
      <c r="G21" s="3">
        <v>17</v>
      </c>
      <c r="H21" s="38">
        <f t="shared" si="2"/>
        <v>1499.9962378856219</v>
      </c>
      <c r="I21" s="38">
        <f t="shared" si="3"/>
        <v>8644.1637351732606</v>
      </c>
      <c r="J21" s="40">
        <f t="shared" si="4"/>
        <v>139055.99616446684</v>
      </c>
      <c r="L21" s="3">
        <v>17</v>
      </c>
      <c r="M21" s="38">
        <f t="shared" si="0"/>
        <v>408.74631751227469</v>
      </c>
      <c r="N21" s="38">
        <f t="shared" si="1"/>
        <v>22295.253682487713</v>
      </c>
      <c r="O21" s="40">
        <f t="shared" si="5"/>
        <v>2.9103830456733704E-11</v>
      </c>
    </row>
    <row r="22" spans="7:15" x14ac:dyDescent="0.3">
      <c r="G22" s="3">
        <v>18</v>
      </c>
      <c r="H22" s="38">
        <f t="shared" si="2"/>
        <v>1329.5592016721512</v>
      </c>
      <c r="I22" s="38">
        <f t="shared" si="3"/>
        <v>8802.6400703181043</v>
      </c>
      <c r="J22" s="40">
        <f t="shared" si="4"/>
        <v>130253.35609414874</v>
      </c>
    </row>
    <row r="23" spans="7:15" x14ac:dyDescent="0.3">
      <c r="G23" s="3">
        <v>19</v>
      </c>
      <c r="H23" s="38">
        <f t="shared" si="2"/>
        <v>1166.5573197183323</v>
      </c>
      <c r="I23" s="38">
        <f t="shared" si="3"/>
        <v>8964.021804940603</v>
      </c>
      <c r="J23" s="40">
        <f t="shared" si="4"/>
        <v>121289.33428920814</v>
      </c>
    </row>
    <row r="24" spans="7:15" x14ac:dyDescent="0.3">
      <c r="G24" s="3">
        <v>20</v>
      </c>
      <c r="H24" s="38">
        <f t="shared" si="2"/>
        <v>1011.5176463489662</v>
      </c>
      <c r="I24" s="38">
        <f t="shared" si="3"/>
        <v>9128.3622046978471</v>
      </c>
      <c r="J24" s="40">
        <f t="shared" si="4"/>
        <v>112160.9720845103</v>
      </c>
    </row>
    <row r="25" spans="7:15" x14ac:dyDescent="0.3">
      <c r="G25" s="3">
        <v>21</v>
      </c>
      <c r="H25" s="38">
        <f t="shared" si="2"/>
        <v>864.99135713391945</v>
      </c>
      <c r="I25" s="38">
        <f t="shared" si="3"/>
        <v>9295.7155117839739</v>
      </c>
      <c r="J25" s="40">
        <f t="shared" si="4"/>
        <v>102865.25657272633</v>
      </c>
    </row>
    <row r="26" spans="7:15" x14ac:dyDescent="0.3">
      <c r="G26" s="3">
        <v>22</v>
      </c>
      <c r="H26" s="38">
        <f t="shared" si="2"/>
        <v>727.55472611866162</v>
      </c>
      <c r="I26" s="38">
        <f t="shared" si="3"/>
        <v>9466.136962833345</v>
      </c>
      <c r="J26" s="40">
        <f t="shared" si="4"/>
        <v>93399.119609892979</v>
      </c>
    </row>
    <row r="27" spans="7:15" x14ac:dyDescent="0.3">
      <c r="G27" s="3">
        <v>23</v>
      </c>
      <c r="H27" s="38">
        <f t="shared" si="2"/>
        <v>599.81014076746953</v>
      </c>
      <c r="I27" s="38">
        <f t="shared" si="3"/>
        <v>9639.6828071519576</v>
      </c>
      <c r="J27" s="40">
        <f t="shared" si="4"/>
        <v>83759.436802741024</v>
      </c>
    </row>
    <row r="28" spans="7:15" x14ac:dyDescent="0.3">
      <c r="G28" s="3">
        <v>24</v>
      </c>
      <c r="H28" s="38">
        <f t="shared" si="2"/>
        <v>482.38715604323016</v>
      </c>
      <c r="I28" s="38">
        <f t="shared" si="3"/>
        <v>9816.4103252830773</v>
      </c>
      <c r="J28" s="40">
        <f t="shared" si="4"/>
        <v>73943.026477457941</v>
      </c>
    </row>
    <row r="29" spans="7:15" x14ac:dyDescent="0.3">
      <c r="G29" s="3">
        <v>25</v>
      </c>
      <c r="H29" s="38">
        <f t="shared" si="2"/>
        <v>375.94358910098879</v>
      </c>
      <c r="I29" s="38">
        <f t="shared" si="3"/>
        <v>9996.377847913267</v>
      </c>
      <c r="J29" s="40">
        <f t="shared" si="4"/>
        <v>63946.648629544674</v>
      </c>
    </row>
    <row r="30" spans="7:15" x14ac:dyDescent="0.3">
      <c r="G30" s="3">
        <v>26</v>
      </c>
      <c r="H30" s="38">
        <f t="shared" si="2"/>
        <v>281.16665612757788</v>
      </c>
      <c r="I30" s="38">
        <f t="shared" si="3"/>
        <v>10179.644775125011</v>
      </c>
      <c r="J30" s="40">
        <f t="shared" si="4"/>
        <v>53767.003854419665</v>
      </c>
    </row>
    <row r="31" spans="7:15" x14ac:dyDescent="0.3">
      <c r="G31" s="3">
        <v>27</v>
      </c>
      <c r="H31" s="38">
        <f t="shared" si="2"/>
        <v>198.77415291690201</v>
      </c>
      <c r="I31" s="38">
        <f t="shared" si="3"/>
        <v>10366.271596002302</v>
      </c>
      <c r="J31" s="40">
        <f t="shared" si="4"/>
        <v>43400.732258417367</v>
      </c>
    </row>
    <row r="32" spans="7:15" x14ac:dyDescent="0.3">
      <c r="G32" s="3">
        <v>28</v>
      </c>
      <c r="H32" s="38">
        <f t="shared" si="2"/>
        <v>129.51568082982976</v>
      </c>
      <c r="I32" s="38">
        <f t="shared" si="3"/>
        <v>10556.319908595678</v>
      </c>
      <c r="J32" s="40">
        <f t="shared" si="4"/>
        <v>32844.412349821687</v>
      </c>
    </row>
    <row r="33" spans="7:10" x14ac:dyDescent="0.3">
      <c r="G33" s="3">
        <v>29</v>
      </c>
      <c r="H33" s="38">
        <f t="shared" si="2"/>
        <v>74.173919849212766</v>
      </c>
      <c r="I33" s="38">
        <f t="shared" si="3"/>
        <v>10749.852440253264</v>
      </c>
      <c r="J33" s="40">
        <f t="shared" si="4"/>
        <v>22094.559909568423</v>
      </c>
    </row>
    <row r="34" spans="7:10" x14ac:dyDescent="0.3">
      <c r="G34" s="3">
        <v>30</v>
      </c>
      <c r="H34" s="38">
        <f t="shared" si="2"/>
        <v>33.565950504423256</v>
      </c>
      <c r="I34" s="38">
        <f t="shared" si="3"/>
        <v>10946.933068324575</v>
      </c>
      <c r="J34" s="40">
        <f t="shared" si="4"/>
        <v>11147.626841243848</v>
      </c>
    </row>
    <row r="35" spans="7:10" x14ac:dyDescent="0.3">
      <c r="G35" s="3">
        <v>31</v>
      </c>
      <c r="H35" s="38">
        <f t="shared" si="2"/>
        <v>8.5446265060382931</v>
      </c>
      <c r="I35" s="38">
        <f t="shared" si="3"/>
        <v>11147.626841243859</v>
      </c>
      <c r="J35" s="40">
        <v>0</v>
      </c>
    </row>
  </sheetData>
  <mergeCells count="2"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Gromor Finance Private Limited</dc:creator>
  <cp:lastModifiedBy>HP</cp:lastModifiedBy>
  <dcterms:created xsi:type="dcterms:W3CDTF">2021-05-15T03:21:33Z</dcterms:created>
  <dcterms:modified xsi:type="dcterms:W3CDTF">2023-03-28T09:45:47Z</dcterms:modified>
</cp:coreProperties>
</file>