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2.xml" ContentType="application/vnd.openxmlformats-officedocument.spreadsheetml.table+xml"/>
  <Override PartName="/xl/pivotTables/pivotTable1.xml" ContentType="application/vnd.openxmlformats-officedocument.spreadsheetml.pivotTable+xml"/>
  <Override PartName="/xl/drawings/drawing3.xml" ContentType="application/vnd.openxmlformats-officedocument.drawing+xml"/>
  <Override PartName="/xl/tables/table3.xml" ContentType="application/vnd.openxmlformats-officedocument.spreadsheetml.table+xml"/>
  <Override PartName="/xl/tables/table4.xml" ContentType="application/vnd.openxmlformats-officedocument.spreadsheetml.tab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5.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D:\MY PROJECTS\"/>
    </mc:Choice>
  </mc:AlternateContent>
  <xr:revisionPtr revIDLastSave="0" documentId="13_ncr:1_{CDEB9DB1-8843-4811-B312-DAFA1A43A6CC}" xr6:coauthVersionLast="47" xr6:coauthVersionMax="47" xr10:uidLastSave="{00000000-0000-0000-0000-000000000000}"/>
  <bookViews>
    <workbookView xWindow="-120" yWindow="-120" windowWidth="20730" windowHeight="11160" tabRatio="729" activeTab="5" xr2:uid="{11B91F2B-F1EE-4CF1-BB79-36AC95E830CF}"/>
  </bookViews>
  <sheets>
    <sheet name="Abstract" sheetId="9" r:id="rId1"/>
    <sheet name="Income Datas" sheetId="1" r:id="rId2"/>
    <sheet name="Income" sheetId="5" r:id="rId3"/>
    <sheet name="Expense Datas" sheetId="2" r:id="rId4"/>
    <sheet name="Expense" sheetId="6" r:id="rId5"/>
    <sheet name="s" sheetId="10" r:id="rId6"/>
    <sheet name="Investment" sheetId="3" r:id="rId7"/>
    <sheet name="Dashboard" sheetId="8" r:id="rId8"/>
  </sheets>
  <definedNames>
    <definedName name="_xlnm._FilterDatabase" localSheetId="3" hidden="1">'Expense Datas'!$B$2:$E$123</definedName>
    <definedName name="_xlnm.Print_Area" localSheetId="7">Dashboard!$A$1:$AB$36</definedName>
    <definedName name="Slicer_Column1">#N/A</definedName>
    <definedName name="Slicer_Week">#N/A</definedName>
  </definedNames>
  <calcPr calcId="191029"/>
  <pivotCaches>
    <pivotCache cacheId="0" r:id="rId9"/>
  </pivotCaches>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0"/>
        <x14:slicerCache r:id="rId11"/>
      </x15:slicerCache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2" i="5" l="1"/>
  <c r="B2" i="5"/>
  <c r="D2" i="1"/>
  <c r="D3" i="1"/>
  <c r="D4" i="1"/>
  <c r="D5" i="1"/>
  <c r="D6" i="1"/>
  <c r="D7" i="1"/>
  <c r="D8" i="1"/>
  <c r="D9" i="1"/>
  <c r="D10" i="1"/>
  <c r="D11" i="1"/>
  <c r="D12" i="1"/>
  <c r="D13" i="1"/>
  <c r="D15" i="1"/>
  <c r="D17"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C38" i="3"/>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2" i="1"/>
  <c r="O124" i="1" s="1"/>
  <c r="G2" i="1"/>
  <c r="I3" i="3"/>
  <c r="I4" i="3"/>
  <c r="I2" i="3"/>
  <c r="I5" i="3" s="1"/>
  <c r="D37" i="3"/>
  <c r="D34" i="3"/>
  <c r="D31" i="3"/>
  <c r="D28" i="3"/>
  <c r="D25" i="3"/>
  <c r="D22" i="3"/>
  <c r="D19" i="3"/>
  <c r="D16" i="3"/>
  <c r="D13" i="3"/>
  <c r="D10" i="3"/>
  <c r="D7" i="3"/>
  <c r="D4" i="3"/>
  <c r="F37" i="3"/>
  <c r="F35" i="3"/>
  <c r="F34" i="3"/>
  <c r="F32" i="3"/>
  <c r="F31" i="3"/>
  <c r="F29" i="3"/>
  <c r="F28" i="3"/>
  <c r="F26" i="3"/>
  <c r="F25" i="3"/>
  <c r="F23" i="3"/>
  <c r="F22" i="3"/>
  <c r="F20" i="3"/>
  <c r="F19" i="3"/>
  <c r="F17" i="3"/>
  <c r="F16" i="3"/>
  <c r="F14" i="3"/>
  <c r="F13" i="3"/>
  <c r="F11" i="3"/>
  <c r="F10" i="3"/>
  <c r="F8" i="3"/>
  <c r="F7" i="3"/>
  <c r="F4" i="3"/>
  <c r="G3" i="1"/>
  <c r="J3" i="1"/>
  <c r="L3" i="1"/>
  <c r="M3" i="1"/>
  <c r="C21" i="6"/>
  <c r="D21" i="6"/>
  <c r="E21" i="6"/>
  <c r="F21" i="6"/>
  <c r="G21" i="6"/>
  <c r="H21" i="6"/>
  <c r="I21" i="6"/>
  <c r="B21" i="6"/>
  <c r="J21" i="6" s="1"/>
  <c r="C20" i="6"/>
  <c r="D20" i="6"/>
  <c r="E20" i="6"/>
  <c r="F20" i="6"/>
  <c r="G20" i="6"/>
  <c r="H20" i="6"/>
  <c r="I20" i="6"/>
  <c r="B20" i="6"/>
  <c r="J20" i="6" s="1"/>
  <c r="C19" i="6"/>
  <c r="D19" i="6"/>
  <c r="E19" i="6"/>
  <c r="F19" i="6"/>
  <c r="G19" i="6"/>
  <c r="H19" i="6"/>
  <c r="I19" i="6"/>
  <c r="B19" i="6"/>
  <c r="J19" i="6" s="1"/>
  <c r="C18" i="6"/>
  <c r="D18" i="6"/>
  <c r="E18" i="6"/>
  <c r="F18" i="6"/>
  <c r="G18" i="6"/>
  <c r="H18" i="6"/>
  <c r="I18" i="6"/>
  <c r="B18" i="6"/>
  <c r="J18" i="6" s="1"/>
  <c r="C17" i="6"/>
  <c r="D17" i="6"/>
  <c r="E17" i="6"/>
  <c r="F17" i="6"/>
  <c r="G17" i="6"/>
  <c r="H17" i="6"/>
  <c r="I17" i="6"/>
  <c r="B17" i="6"/>
  <c r="J17" i="6" s="1"/>
  <c r="C16" i="6"/>
  <c r="D16" i="6"/>
  <c r="E16" i="6"/>
  <c r="F16" i="6"/>
  <c r="G16" i="6"/>
  <c r="H16" i="6"/>
  <c r="I16" i="6"/>
  <c r="B16" i="6"/>
  <c r="J16" i="6" s="1"/>
  <c r="D13" i="2"/>
  <c r="D89" i="2"/>
  <c r="D86" i="2"/>
  <c r="D85" i="2"/>
  <c r="D81" i="2"/>
  <c r="D80" i="2"/>
  <c r="D68" i="2"/>
  <c r="D66" i="2"/>
  <c r="D58" i="2"/>
  <c r="D57" i="2"/>
  <c r="D56" i="2"/>
  <c r="D53" i="2"/>
  <c r="D47" i="2"/>
  <c r="D38" i="2"/>
  <c r="D33" i="2"/>
  <c r="D16" i="2"/>
  <c r="D3" i="2"/>
  <c r="D2" i="2"/>
  <c r="E3" i="5"/>
  <c r="E4" i="5"/>
  <c r="E5" i="5"/>
  <c r="E6" i="5"/>
  <c r="E7" i="5"/>
  <c r="E8" i="5"/>
  <c r="E16" i="5"/>
  <c r="E17" i="5"/>
  <c r="E18" i="5"/>
  <c r="E19" i="5"/>
  <c r="E20" i="5"/>
  <c r="E21" i="5"/>
  <c r="E2" i="5"/>
  <c r="N66" i="1"/>
  <c r="N50" i="1"/>
  <c r="N37" i="1"/>
  <c r="N29" i="1"/>
  <c r="N15" i="1"/>
  <c r="L123" i="1"/>
  <c r="L122" i="1"/>
  <c r="L121" i="1"/>
  <c r="L120" i="1"/>
  <c r="L119" i="1"/>
  <c r="L118" i="1"/>
  <c r="L117" i="1"/>
  <c r="L116" i="1"/>
  <c r="L115" i="1"/>
  <c r="L114" i="1"/>
  <c r="L113" i="1"/>
  <c r="L112" i="1"/>
  <c r="L111" i="1"/>
  <c r="L110" i="1"/>
  <c r="L109" i="1"/>
  <c r="L108" i="1"/>
  <c r="L107" i="1"/>
  <c r="L106" i="1"/>
  <c r="L105" i="1"/>
  <c r="L104" i="1"/>
  <c r="L103" i="1"/>
  <c r="L102" i="1"/>
  <c r="L101" i="1"/>
  <c r="L100" i="1"/>
  <c r="L99" i="1"/>
  <c r="L98" i="1"/>
  <c r="L97" i="1"/>
  <c r="L96" i="1"/>
  <c r="L95" i="1"/>
  <c r="L94" i="1"/>
  <c r="J123" i="1"/>
  <c r="M123" i="1" s="1"/>
  <c r="J122" i="1"/>
  <c r="M122" i="1" s="1"/>
  <c r="J121" i="1"/>
  <c r="M121" i="1" s="1"/>
  <c r="J120" i="1"/>
  <c r="M120" i="1" s="1"/>
  <c r="J119" i="1"/>
  <c r="M119" i="1" s="1"/>
  <c r="J118" i="1"/>
  <c r="M118" i="1" s="1"/>
  <c r="J117" i="1"/>
  <c r="M117" i="1" s="1"/>
  <c r="J116" i="1"/>
  <c r="M116" i="1" s="1"/>
  <c r="J115" i="1"/>
  <c r="M115" i="1" s="1"/>
  <c r="J114" i="1"/>
  <c r="M114" i="1" s="1"/>
  <c r="J113" i="1"/>
  <c r="M113" i="1" s="1"/>
  <c r="J112" i="1"/>
  <c r="M112" i="1" s="1"/>
  <c r="J111" i="1"/>
  <c r="M111" i="1" s="1"/>
  <c r="J110" i="1"/>
  <c r="M110" i="1" s="1"/>
  <c r="J109" i="1"/>
  <c r="M109" i="1" s="1"/>
  <c r="J108" i="1"/>
  <c r="M108" i="1" s="1"/>
  <c r="J107" i="1"/>
  <c r="M107" i="1" s="1"/>
  <c r="J106" i="1"/>
  <c r="M106" i="1" s="1"/>
  <c r="J105" i="1"/>
  <c r="M105" i="1" s="1"/>
  <c r="J104" i="1"/>
  <c r="M104" i="1" s="1"/>
  <c r="J103" i="1"/>
  <c r="M103" i="1" s="1"/>
  <c r="J102" i="1"/>
  <c r="M102" i="1" s="1"/>
  <c r="J101" i="1"/>
  <c r="M101" i="1" s="1"/>
  <c r="J100" i="1"/>
  <c r="M100" i="1" s="1"/>
  <c r="J99" i="1"/>
  <c r="M99" i="1" s="1"/>
  <c r="J98" i="1"/>
  <c r="M98" i="1" s="1"/>
  <c r="J97" i="1"/>
  <c r="M97" i="1" s="1"/>
  <c r="J96" i="1"/>
  <c r="M96" i="1" s="1"/>
  <c r="J95" i="1"/>
  <c r="M95" i="1" s="1"/>
  <c r="G123" i="1"/>
  <c r="G122" i="1"/>
  <c r="G121" i="1"/>
  <c r="G120" i="1"/>
  <c r="G119" i="1"/>
  <c r="G118" i="1"/>
  <c r="G117" i="1"/>
  <c r="G116" i="1"/>
  <c r="G115" i="1"/>
  <c r="G114" i="1"/>
  <c r="G113" i="1"/>
  <c r="G112" i="1"/>
  <c r="G111" i="1"/>
  <c r="G110" i="1"/>
  <c r="G109" i="1"/>
  <c r="G108" i="1"/>
  <c r="G107" i="1"/>
  <c r="G106" i="1"/>
  <c r="G105" i="1"/>
  <c r="G104" i="1"/>
  <c r="G103" i="1"/>
  <c r="G102" i="1"/>
  <c r="G101" i="1"/>
  <c r="G100" i="1"/>
  <c r="G99" i="1"/>
  <c r="G98" i="1"/>
  <c r="G97" i="1"/>
  <c r="G96" i="1"/>
  <c r="G95" i="1"/>
  <c r="L93" i="1"/>
  <c r="L92" i="1"/>
  <c r="L91" i="1"/>
  <c r="L90" i="1"/>
  <c r="L89" i="1"/>
  <c r="L88" i="1"/>
  <c r="L87" i="1"/>
  <c r="L86" i="1"/>
  <c r="L85" i="1"/>
  <c r="L84" i="1"/>
  <c r="L83" i="1"/>
  <c r="L82" i="1"/>
  <c r="L81" i="1"/>
  <c r="L80" i="1"/>
  <c r="L79" i="1"/>
  <c r="L78" i="1"/>
  <c r="L77" i="1"/>
  <c r="L76" i="1"/>
  <c r="L75" i="1"/>
  <c r="L74" i="1"/>
  <c r="L73" i="1"/>
  <c r="L72" i="1"/>
  <c r="L71" i="1"/>
  <c r="L70" i="1"/>
  <c r="L69" i="1"/>
  <c r="L68" i="1"/>
  <c r="L67" i="1"/>
  <c r="L66" i="1"/>
  <c r="L65" i="1"/>
  <c r="L64" i="1"/>
  <c r="L63" i="1"/>
  <c r="J94" i="1"/>
  <c r="M94" i="1" s="1"/>
  <c r="J93" i="1"/>
  <c r="M93" i="1" s="1"/>
  <c r="J92" i="1"/>
  <c r="M92" i="1" s="1"/>
  <c r="J91" i="1"/>
  <c r="M91" i="1" s="1"/>
  <c r="J90" i="1"/>
  <c r="M90" i="1" s="1"/>
  <c r="J89" i="1"/>
  <c r="M89" i="1" s="1"/>
  <c r="J88" i="1"/>
  <c r="M88" i="1" s="1"/>
  <c r="J87" i="1"/>
  <c r="M87" i="1" s="1"/>
  <c r="J86" i="1"/>
  <c r="M86" i="1" s="1"/>
  <c r="J85" i="1"/>
  <c r="M85" i="1" s="1"/>
  <c r="J84" i="1"/>
  <c r="M84" i="1" s="1"/>
  <c r="J83" i="1"/>
  <c r="M83" i="1" s="1"/>
  <c r="J82" i="1"/>
  <c r="M82" i="1" s="1"/>
  <c r="J81" i="1"/>
  <c r="M81" i="1" s="1"/>
  <c r="J80" i="1"/>
  <c r="M80" i="1" s="1"/>
  <c r="J79" i="1"/>
  <c r="M79" i="1" s="1"/>
  <c r="J78" i="1"/>
  <c r="M78" i="1" s="1"/>
  <c r="J77" i="1"/>
  <c r="M77" i="1" s="1"/>
  <c r="J76" i="1"/>
  <c r="M76" i="1" s="1"/>
  <c r="J75" i="1"/>
  <c r="M75" i="1" s="1"/>
  <c r="J74" i="1"/>
  <c r="M74" i="1" s="1"/>
  <c r="J73" i="1"/>
  <c r="M73" i="1" s="1"/>
  <c r="J72" i="1"/>
  <c r="M72" i="1" s="1"/>
  <c r="J71" i="1"/>
  <c r="M71" i="1" s="1"/>
  <c r="J70" i="1"/>
  <c r="M70" i="1" s="1"/>
  <c r="J69" i="1"/>
  <c r="M69" i="1" s="1"/>
  <c r="J68" i="1"/>
  <c r="M68" i="1" s="1"/>
  <c r="J67" i="1"/>
  <c r="M67" i="1" s="1"/>
  <c r="J66" i="1"/>
  <c r="M66" i="1" s="1"/>
  <c r="J65" i="1"/>
  <c r="M65" i="1" s="1"/>
  <c r="J64" i="1"/>
  <c r="M64" i="1" s="1"/>
  <c r="J63" i="1"/>
  <c r="M63" i="1" s="1"/>
  <c r="G94" i="1"/>
  <c r="G93" i="1"/>
  <c r="G92" i="1"/>
  <c r="G91" i="1"/>
  <c r="G90" i="1"/>
  <c r="G89" i="1"/>
  <c r="G88" i="1"/>
  <c r="G87" i="1"/>
  <c r="G86" i="1"/>
  <c r="G85" i="1"/>
  <c r="G84" i="1"/>
  <c r="G83" i="1"/>
  <c r="G82" i="1"/>
  <c r="G81" i="1"/>
  <c r="G80" i="1"/>
  <c r="G79" i="1"/>
  <c r="G78" i="1"/>
  <c r="G77" i="1"/>
  <c r="G76" i="1"/>
  <c r="G75" i="1"/>
  <c r="G74" i="1"/>
  <c r="G73" i="1"/>
  <c r="G72" i="1"/>
  <c r="G71" i="1"/>
  <c r="G70" i="1"/>
  <c r="G69" i="1"/>
  <c r="G68" i="1"/>
  <c r="G67" i="1"/>
  <c r="G66" i="1"/>
  <c r="G65" i="1"/>
  <c r="G64" i="1"/>
  <c r="L62" i="1"/>
  <c r="L61" i="1"/>
  <c r="L60" i="1"/>
  <c r="L59" i="1"/>
  <c r="L58" i="1"/>
  <c r="L57" i="1"/>
  <c r="L56" i="1"/>
  <c r="L55" i="1"/>
  <c r="L54" i="1"/>
  <c r="L53" i="1"/>
  <c r="L52" i="1"/>
  <c r="L51" i="1"/>
  <c r="L50" i="1"/>
  <c r="L49" i="1"/>
  <c r="L48" i="1"/>
  <c r="L47" i="1"/>
  <c r="L46" i="1"/>
  <c r="L45" i="1"/>
  <c r="L44" i="1"/>
  <c r="L43" i="1"/>
  <c r="L42" i="1"/>
  <c r="L41" i="1"/>
  <c r="L40" i="1"/>
  <c r="L39" i="1"/>
  <c r="L38" i="1"/>
  <c r="L37" i="1"/>
  <c r="L36" i="1"/>
  <c r="L35" i="1"/>
  <c r="L34" i="1"/>
  <c r="L33" i="1"/>
  <c r="J62" i="1"/>
  <c r="M62" i="1" s="1"/>
  <c r="J61" i="1"/>
  <c r="M61" i="1" s="1"/>
  <c r="J60" i="1"/>
  <c r="M60" i="1" s="1"/>
  <c r="J59" i="1"/>
  <c r="M59" i="1" s="1"/>
  <c r="J58" i="1"/>
  <c r="M58" i="1" s="1"/>
  <c r="J57" i="1"/>
  <c r="M57" i="1" s="1"/>
  <c r="J56" i="1"/>
  <c r="M56" i="1" s="1"/>
  <c r="J55" i="1"/>
  <c r="M55" i="1" s="1"/>
  <c r="J54" i="1"/>
  <c r="M54" i="1" s="1"/>
  <c r="J53" i="1"/>
  <c r="M53" i="1" s="1"/>
  <c r="J52" i="1"/>
  <c r="M52" i="1" s="1"/>
  <c r="J51" i="1"/>
  <c r="M51" i="1" s="1"/>
  <c r="J50" i="1"/>
  <c r="M50" i="1" s="1"/>
  <c r="J49" i="1"/>
  <c r="M49" i="1" s="1"/>
  <c r="J48" i="1"/>
  <c r="M48" i="1" s="1"/>
  <c r="J47" i="1"/>
  <c r="M47" i="1" s="1"/>
  <c r="J46" i="1"/>
  <c r="M46" i="1" s="1"/>
  <c r="J45" i="1"/>
  <c r="M45" i="1" s="1"/>
  <c r="J44" i="1"/>
  <c r="M44" i="1" s="1"/>
  <c r="J43" i="1"/>
  <c r="M43" i="1" s="1"/>
  <c r="J42" i="1"/>
  <c r="M42" i="1" s="1"/>
  <c r="J41" i="1"/>
  <c r="M41" i="1" s="1"/>
  <c r="J40" i="1"/>
  <c r="M40" i="1" s="1"/>
  <c r="J39" i="1"/>
  <c r="M39" i="1" s="1"/>
  <c r="J38" i="1"/>
  <c r="M38" i="1" s="1"/>
  <c r="J37" i="1"/>
  <c r="M37" i="1" s="1"/>
  <c r="J36" i="1"/>
  <c r="M36" i="1" s="1"/>
  <c r="J35" i="1"/>
  <c r="M35" i="1" s="1"/>
  <c r="J34" i="1"/>
  <c r="M34" i="1" s="1"/>
  <c r="J33" i="1"/>
  <c r="M33" i="1" s="1"/>
  <c r="G63" i="1"/>
  <c r="G62" i="1"/>
  <c r="G61" i="1"/>
  <c r="G60" i="1"/>
  <c r="G59" i="1"/>
  <c r="G58" i="1"/>
  <c r="G57" i="1"/>
  <c r="G56" i="1"/>
  <c r="G55" i="1"/>
  <c r="G54" i="1"/>
  <c r="G53" i="1"/>
  <c r="G52" i="1"/>
  <c r="G51" i="1"/>
  <c r="G50" i="1"/>
  <c r="G49" i="1"/>
  <c r="G48" i="1"/>
  <c r="G47" i="1"/>
  <c r="G46" i="1"/>
  <c r="G45" i="1"/>
  <c r="G44" i="1"/>
  <c r="G43" i="1"/>
  <c r="G42" i="1"/>
  <c r="G41" i="1"/>
  <c r="G40" i="1"/>
  <c r="G39" i="1"/>
  <c r="G38" i="1"/>
  <c r="G37" i="1"/>
  <c r="G36" i="1"/>
  <c r="G35" i="1"/>
  <c r="G34" i="1"/>
  <c r="B21" i="5"/>
  <c r="B19" i="5"/>
  <c r="B18" i="5"/>
  <c r="B17" i="5"/>
  <c r="B16" i="5"/>
  <c r="B15" i="5"/>
  <c r="B14" i="5"/>
  <c r="B12" i="5"/>
  <c r="B11" i="5"/>
  <c r="B10" i="5"/>
  <c r="B9" i="5"/>
  <c r="B8" i="5"/>
  <c r="B7" i="5"/>
  <c r="L32" i="1"/>
  <c r="L31" i="1"/>
  <c r="L30" i="1"/>
  <c r="L29" i="1"/>
  <c r="J29" i="1"/>
  <c r="M29" i="1" s="1"/>
  <c r="J30" i="1"/>
  <c r="M30" i="1" s="1"/>
  <c r="J31" i="1"/>
  <c r="M31" i="1" s="1"/>
  <c r="J32" i="1"/>
  <c r="M32" i="1" s="1"/>
  <c r="L28" i="1"/>
  <c r="J28" i="1"/>
  <c r="M28" i="1" s="1"/>
  <c r="L27" i="1"/>
  <c r="J27" i="1"/>
  <c r="M27" i="1" s="1"/>
  <c r="L26" i="1"/>
  <c r="L25" i="1"/>
  <c r="J25" i="1"/>
  <c r="M25" i="1" s="1"/>
  <c r="L24" i="1"/>
  <c r="J24" i="1"/>
  <c r="M24" i="1" s="1"/>
  <c r="L23" i="1"/>
  <c r="J23" i="1"/>
  <c r="M23" i="1" s="1"/>
  <c r="G24" i="1"/>
  <c r="B5" i="5"/>
  <c r="J26" i="1"/>
  <c r="M26" i="1" s="1"/>
  <c r="L22" i="1"/>
  <c r="J22" i="1"/>
  <c r="M22" i="1" s="1"/>
  <c r="L21" i="1"/>
  <c r="J21" i="1"/>
  <c r="M21" i="1" s="1"/>
  <c r="D21" i="5" s="1"/>
  <c r="D84" i="2"/>
  <c r="L20" i="1"/>
  <c r="J20" i="1"/>
  <c r="M20" i="1" s="1"/>
  <c r="D20" i="5" s="1"/>
  <c r="L19" i="1"/>
  <c r="D62" i="2"/>
  <c r="D75" i="2"/>
  <c r="J19" i="1"/>
  <c r="M19" i="1" s="1"/>
  <c r="D19" i="5" s="1"/>
  <c r="L18" i="1"/>
  <c r="J18" i="1"/>
  <c r="M18" i="1" s="1"/>
  <c r="D18" i="5" s="1"/>
  <c r="D69" i="2"/>
  <c r="L17" i="1"/>
  <c r="J17" i="1"/>
  <c r="M17" i="1" s="1"/>
  <c r="D17" i="5" s="1"/>
  <c r="L16" i="1"/>
  <c r="J16" i="1"/>
  <c r="M16" i="1" s="1"/>
  <c r="D16" i="5" s="1"/>
  <c r="D61" i="2"/>
  <c r="L15" i="1"/>
  <c r="J15" i="1"/>
  <c r="M15" i="1" s="1"/>
  <c r="D15" i="5" s="1"/>
  <c r="D55" i="2"/>
  <c r="D54" i="2"/>
  <c r="D52" i="2"/>
  <c r="L14" i="1"/>
  <c r="J14" i="1"/>
  <c r="M14" i="1" s="1"/>
  <c r="D14" i="5" s="1"/>
  <c r="L13" i="1"/>
  <c r="J13" i="1"/>
  <c r="M13" i="1" s="1"/>
  <c r="D13" i="5" s="1"/>
  <c r="D50" i="2"/>
  <c r="D48" i="2"/>
  <c r="D44" i="2"/>
  <c r="D45" i="2"/>
  <c r="L12" i="1"/>
  <c r="L11" i="1"/>
  <c r="J12" i="1"/>
  <c r="M12" i="1" s="1"/>
  <c r="D12" i="5" s="1"/>
  <c r="J11" i="1"/>
  <c r="M11" i="1" s="1"/>
  <c r="D11" i="5" s="1"/>
  <c r="L10" i="1"/>
  <c r="J10" i="1"/>
  <c r="M10" i="1" s="1"/>
  <c r="D10" i="5" s="1"/>
  <c r="D39" i="2"/>
  <c r="D36" i="2"/>
  <c r="D34" i="2"/>
  <c r="L9" i="1"/>
  <c r="J9" i="1"/>
  <c r="M9" i="1" s="1"/>
  <c r="D9" i="5" s="1"/>
  <c r="D24" i="2"/>
  <c r="D31" i="2"/>
  <c r="L8" i="1"/>
  <c r="J8" i="1"/>
  <c r="M8" i="1" s="1"/>
  <c r="D8" i="5" s="1"/>
  <c r="L7" i="1"/>
  <c r="J7" i="1"/>
  <c r="M7" i="1" s="1"/>
  <c r="D7" i="5" s="1"/>
  <c r="D28" i="2"/>
  <c r="D26" i="2"/>
  <c r="D23" i="2"/>
  <c r="D22" i="2"/>
  <c r="L6" i="1"/>
  <c r="J6" i="1"/>
  <c r="M6" i="1" s="1"/>
  <c r="D6" i="5" s="1"/>
  <c r="L5" i="1"/>
  <c r="D18" i="2"/>
  <c r="J5" i="1"/>
  <c r="M5" i="1" s="1"/>
  <c r="D5" i="5" s="1"/>
  <c r="D12" i="2"/>
  <c r="D10" i="2"/>
  <c r="D7" i="2"/>
  <c r="L4" i="1"/>
  <c r="J4" i="1"/>
  <c r="M4" i="1" s="1"/>
  <c r="D4" i="5" s="1"/>
  <c r="D3" i="5"/>
  <c r="G4" i="1"/>
  <c r="G5" i="1"/>
  <c r="G6" i="1"/>
  <c r="G7" i="1"/>
  <c r="G8" i="1"/>
  <c r="G9" i="1"/>
  <c r="G10" i="1"/>
  <c r="G11" i="1"/>
  <c r="G12" i="1"/>
  <c r="G13" i="1"/>
  <c r="G14" i="1"/>
  <c r="G15" i="1"/>
  <c r="G16" i="1"/>
  <c r="G17" i="1"/>
  <c r="G18" i="1"/>
  <c r="G19" i="1"/>
  <c r="G20" i="1"/>
  <c r="G21" i="1"/>
  <c r="G22" i="1"/>
  <c r="G23" i="1"/>
  <c r="G25" i="1"/>
  <c r="G26" i="1"/>
  <c r="G27" i="1"/>
  <c r="G28" i="1"/>
  <c r="G29" i="1"/>
  <c r="G30" i="1"/>
  <c r="G31" i="1"/>
  <c r="G32" i="1"/>
  <c r="G33" i="1"/>
  <c r="M2" i="1"/>
  <c r="D2" i="5" s="1"/>
  <c r="D22" i="5" s="1"/>
  <c r="L2" i="1"/>
  <c r="J2" i="1"/>
  <c r="C3" i="6" l="1"/>
  <c r="D3" i="6"/>
  <c r="E3" i="6"/>
  <c r="F3" i="6"/>
  <c r="G3" i="6"/>
  <c r="H3" i="6"/>
  <c r="I3" i="6"/>
  <c r="B3" i="6"/>
  <c r="J3" i="6" s="1"/>
  <c r="C5" i="6"/>
  <c r="D5" i="6"/>
  <c r="E5" i="6"/>
  <c r="F5" i="6"/>
  <c r="G5" i="6"/>
  <c r="H5" i="6"/>
  <c r="I5" i="6"/>
  <c r="B5" i="6"/>
  <c r="J5" i="6" s="1"/>
  <c r="C6" i="6"/>
  <c r="D6" i="6"/>
  <c r="E6" i="6"/>
  <c r="F6" i="6"/>
  <c r="G6" i="6"/>
  <c r="H6" i="6"/>
  <c r="I6" i="6"/>
  <c r="B6" i="6"/>
  <c r="J6" i="6" s="1"/>
  <c r="C8" i="6"/>
  <c r="D8" i="6"/>
  <c r="E8" i="6"/>
  <c r="F8" i="6"/>
  <c r="G8" i="6"/>
  <c r="H8" i="6"/>
  <c r="I8" i="6"/>
  <c r="B8" i="6"/>
  <c r="J8" i="6" s="1"/>
  <c r="C10" i="6"/>
  <c r="D10" i="6"/>
  <c r="E10" i="6"/>
  <c r="F10" i="6"/>
  <c r="G10" i="6"/>
  <c r="H10" i="6"/>
  <c r="I10" i="6"/>
  <c r="B10" i="6"/>
  <c r="J10" i="6" s="1"/>
  <c r="C11" i="6"/>
  <c r="D11" i="6"/>
  <c r="E11" i="6"/>
  <c r="F11" i="6"/>
  <c r="G11" i="6"/>
  <c r="H11" i="6"/>
  <c r="I11" i="6"/>
  <c r="B11" i="6"/>
  <c r="J11" i="6" s="1"/>
  <c r="C13" i="6"/>
  <c r="D13" i="6"/>
  <c r="E13" i="6"/>
  <c r="F13" i="6"/>
  <c r="G13" i="6"/>
  <c r="H13" i="6"/>
  <c r="I13" i="6"/>
  <c r="B13" i="6"/>
  <c r="J13" i="6" s="1"/>
  <c r="C15" i="6"/>
  <c r="D15" i="6"/>
  <c r="E15" i="6"/>
  <c r="F15" i="6"/>
  <c r="G15" i="6"/>
  <c r="H15" i="6"/>
  <c r="I15" i="6"/>
  <c r="B15" i="6"/>
  <c r="J15" i="6" s="1"/>
  <c r="C2" i="6"/>
  <c r="D2" i="6"/>
  <c r="E2" i="6"/>
  <c r="F2" i="6"/>
  <c r="G2" i="6"/>
  <c r="H2" i="6"/>
  <c r="I2" i="6"/>
  <c r="B2" i="6"/>
  <c r="C4" i="6"/>
  <c r="D4" i="6"/>
  <c r="E4" i="6"/>
  <c r="F4" i="6"/>
  <c r="G4" i="6"/>
  <c r="H4" i="6"/>
  <c r="I4" i="6"/>
  <c r="B4" i="6"/>
  <c r="J4" i="6" s="1"/>
  <c r="C7" i="6"/>
  <c r="D7" i="6"/>
  <c r="E7" i="6"/>
  <c r="F7" i="6"/>
  <c r="G7" i="6"/>
  <c r="H7" i="6"/>
  <c r="I7" i="6"/>
  <c r="B7" i="6"/>
  <c r="J7" i="6" s="1"/>
  <c r="C9" i="6"/>
  <c r="D9" i="6"/>
  <c r="E9" i="6"/>
  <c r="F9" i="6"/>
  <c r="G9" i="6"/>
  <c r="H9" i="6"/>
  <c r="I9" i="6"/>
  <c r="B9" i="6"/>
  <c r="J9" i="6" s="1"/>
  <c r="C12" i="6"/>
  <c r="D12" i="6"/>
  <c r="E12" i="6"/>
  <c r="F12" i="6"/>
  <c r="G12" i="6"/>
  <c r="H12" i="6"/>
  <c r="I12" i="6"/>
  <c r="B12" i="6"/>
  <c r="J12" i="6" s="1"/>
  <c r="C14" i="6"/>
  <c r="D14" i="6"/>
  <c r="E14" i="6"/>
  <c r="F14" i="6"/>
  <c r="G14" i="6"/>
  <c r="H14" i="6"/>
  <c r="I14" i="6"/>
  <c r="B14" i="6"/>
  <c r="J14" i="6" s="1"/>
  <c r="B6" i="5"/>
  <c r="B13" i="5"/>
  <c r="B20" i="5"/>
  <c r="F2" i="5"/>
  <c r="J2" i="6"/>
  <c r="J22" i="6" s="1"/>
  <c r="B22" i="6"/>
  <c r="M5" i="6" s="1"/>
  <c r="B4" i="5"/>
  <c r="B3" i="5"/>
  <c r="C21" i="5"/>
  <c r="F21" i="5" s="1"/>
  <c r="C20" i="5"/>
  <c r="F20" i="5" s="1"/>
  <c r="C19" i="5"/>
  <c r="F19" i="5" s="1"/>
  <c r="C18" i="5"/>
  <c r="F18" i="5" s="1"/>
  <c r="C17" i="5"/>
  <c r="F17" i="5" s="1"/>
  <c r="C16" i="5"/>
  <c r="F16" i="5" s="1"/>
  <c r="C15" i="5"/>
  <c r="C14" i="5"/>
  <c r="C13" i="5"/>
  <c r="C12" i="5"/>
  <c r="C11" i="5"/>
  <c r="C10" i="5"/>
  <c r="C9" i="5"/>
  <c r="C8" i="5"/>
  <c r="F8" i="5" s="1"/>
  <c r="C7" i="5"/>
  <c r="F7" i="5" s="1"/>
  <c r="C6" i="5"/>
  <c r="F6" i="5" s="1"/>
  <c r="C5" i="5"/>
  <c r="F5" i="5" s="1"/>
  <c r="C4" i="5"/>
  <c r="C3" i="5"/>
  <c r="C22" i="5" s="1"/>
  <c r="E9" i="5"/>
  <c r="E10" i="5"/>
  <c r="E11" i="5"/>
  <c r="E12" i="5"/>
  <c r="E13" i="5"/>
  <c r="E14" i="5"/>
  <c r="E15" i="5"/>
  <c r="I22" i="6" l="1"/>
  <c r="M11" i="6" s="1"/>
  <c r="H22" i="6"/>
  <c r="M10" i="6" s="1"/>
  <c r="G22" i="6"/>
  <c r="M9" i="6" s="1"/>
  <c r="F22" i="6"/>
  <c r="E22" i="6"/>
  <c r="M8" i="6" s="1"/>
  <c r="D22" i="6"/>
  <c r="M7" i="6" s="1"/>
  <c r="C22" i="6"/>
  <c r="M6" i="6" s="1"/>
  <c r="E22" i="5"/>
  <c r="F9" i="5"/>
  <c r="F10" i="5"/>
  <c r="F11" i="5"/>
  <c r="F12" i="5"/>
  <c r="F13" i="5"/>
  <c r="F14" i="5"/>
  <c r="F15" i="5"/>
  <c r="F3" i="5"/>
  <c r="B22" i="5"/>
  <c r="F4" i="5"/>
  <c r="F22" i="5"/>
  <c r="M12" i="6" l="1"/>
</calcChain>
</file>

<file path=xl/sharedStrings.xml><?xml version="1.0" encoding="utf-8"?>
<sst xmlns="http://schemas.openxmlformats.org/spreadsheetml/2006/main" count="429" uniqueCount="144">
  <si>
    <t>Date</t>
  </si>
  <si>
    <t>Amount</t>
  </si>
  <si>
    <t>Agri+tracter+seed+snacks</t>
  </si>
  <si>
    <t>ITEM</t>
  </si>
  <si>
    <t>Total Amount</t>
  </si>
  <si>
    <t>Agri</t>
  </si>
  <si>
    <t>Education</t>
  </si>
  <si>
    <t>Food</t>
  </si>
  <si>
    <t>transport</t>
  </si>
  <si>
    <t>Item</t>
  </si>
  <si>
    <t>dad</t>
  </si>
  <si>
    <t>wages,piep</t>
  </si>
  <si>
    <t>Dairy</t>
  </si>
  <si>
    <t>thivanam</t>
  </si>
  <si>
    <t>shanks</t>
  </si>
  <si>
    <t>bharathi</t>
  </si>
  <si>
    <t>tea powder,jaggrey,salt</t>
  </si>
  <si>
    <t>fertlizer,wage,snacks</t>
  </si>
  <si>
    <t>dinner</t>
  </si>
  <si>
    <t>wages</t>
  </si>
  <si>
    <t>fish,mavu,things</t>
  </si>
  <si>
    <t>dad,bharathi</t>
  </si>
  <si>
    <t>snaks,snaks,oil</t>
  </si>
  <si>
    <t>fees,transport</t>
  </si>
  <si>
    <t>market,fruit,mavu</t>
  </si>
  <si>
    <t xml:space="preserve">wages,arali </t>
  </si>
  <si>
    <t>Other expenditure</t>
  </si>
  <si>
    <t>wage</t>
  </si>
  <si>
    <t>fruit,barber,things</t>
  </si>
  <si>
    <t>Gift</t>
  </si>
  <si>
    <t>gopal appa sis</t>
  </si>
  <si>
    <t>fruit(kada appa ku)</t>
  </si>
  <si>
    <t>rice hen,kichen things,sugar</t>
  </si>
  <si>
    <t>transport,arali</t>
  </si>
  <si>
    <t>rice,kichen things, masal</t>
  </si>
  <si>
    <t>transpoort, wage</t>
  </si>
  <si>
    <t>thivanam,vaikal</t>
  </si>
  <si>
    <t>cooldrink</t>
  </si>
  <si>
    <t>market,fruits</t>
  </si>
  <si>
    <t>things</t>
  </si>
  <si>
    <t>snacks,things</t>
  </si>
  <si>
    <t>fruits,lagiyam</t>
  </si>
  <si>
    <t>thivanam, oasi</t>
  </si>
  <si>
    <t>market,things</t>
  </si>
  <si>
    <t>wage ,malika poo kg wise</t>
  </si>
  <si>
    <t>cow sale</t>
  </si>
  <si>
    <t>Milk</t>
  </si>
  <si>
    <t>Oleander</t>
  </si>
  <si>
    <t>Jasmine</t>
  </si>
  <si>
    <t>Week1</t>
  </si>
  <si>
    <t>Week2</t>
  </si>
  <si>
    <t>Week3</t>
  </si>
  <si>
    <t>Week4</t>
  </si>
  <si>
    <t>Week5</t>
  </si>
  <si>
    <t>Week6</t>
  </si>
  <si>
    <t>Week7</t>
  </si>
  <si>
    <t>Week8</t>
  </si>
  <si>
    <t>Week9</t>
  </si>
  <si>
    <t>Week10</t>
  </si>
  <si>
    <t>Week11</t>
  </si>
  <si>
    <t>Week12</t>
  </si>
  <si>
    <t>Week13</t>
  </si>
  <si>
    <t>Week14</t>
  </si>
  <si>
    <t>Week15</t>
  </si>
  <si>
    <t>Week16</t>
  </si>
  <si>
    <t>Week17</t>
  </si>
  <si>
    <t>Week18</t>
  </si>
  <si>
    <t>Week19</t>
  </si>
  <si>
    <t>Week20</t>
  </si>
  <si>
    <t>other expenditure</t>
  </si>
  <si>
    <t>medical expence</t>
  </si>
  <si>
    <t>kovil kumbaabisakam</t>
  </si>
  <si>
    <t>fruit</t>
  </si>
  <si>
    <t>moi</t>
  </si>
  <si>
    <t>cylinder,current bill</t>
  </si>
  <si>
    <t>snacks</t>
  </si>
  <si>
    <t>due</t>
  </si>
  <si>
    <t>mutton,chicken</t>
  </si>
  <si>
    <t>oil</t>
  </si>
  <si>
    <t>bills payable</t>
  </si>
  <si>
    <t>service</t>
  </si>
  <si>
    <t xml:space="preserve">rice,market </t>
  </si>
  <si>
    <t>wages,fertilizer</t>
  </si>
  <si>
    <t>week1</t>
  </si>
  <si>
    <t>week2</t>
  </si>
  <si>
    <t>week3</t>
  </si>
  <si>
    <t>week4</t>
  </si>
  <si>
    <t>week5</t>
  </si>
  <si>
    <t>week6</t>
  </si>
  <si>
    <t>week7</t>
  </si>
  <si>
    <t>week8</t>
  </si>
  <si>
    <t>week9</t>
  </si>
  <si>
    <t>week10</t>
  </si>
  <si>
    <t>week11</t>
  </si>
  <si>
    <t>week12</t>
  </si>
  <si>
    <t>week13</t>
  </si>
  <si>
    <t>week14</t>
  </si>
  <si>
    <t>week15</t>
  </si>
  <si>
    <t>week16</t>
  </si>
  <si>
    <t>week17</t>
  </si>
  <si>
    <t>Row Labels</t>
  </si>
  <si>
    <t>Grand Total</t>
  </si>
  <si>
    <t>Sum of Dairy</t>
  </si>
  <si>
    <t>Sum of Petrol</t>
  </si>
  <si>
    <t>Sum of Food</t>
  </si>
  <si>
    <t>Sum of Gift</t>
  </si>
  <si>
    <t>Sum of Other expenditure</t>
  </si>
  <si>
    <t>Sum of Bike</t>
  </si>
  <si>
    <t>week18</t>
  </si>
  <si>
    <t>week19</t>
  </si>
  <si>
    <t>week20</t>
  </si>
  <si>
    <t xml:space="preserve"> Week 2</t>
  </si>
  <si>
    <t>Items</t>
  </si>
  <si>
    <t>Total Expenses- Per week</t>
  </si>
  <si>
    <t>Sum of Education</t>
  </si>
  <si>
    <t>Sum of Agri</t>
  </si>
  <si>
    <t>Sum of Total Expenses- Per week</t>
  </si>
  <si>
    <t>Week</t>
  </si>
  <si>
    <t>Total Income</t>
  </si>
  <si>
    <t>Milk Income contribute maximum revnue of my family</t>
  </si>
  <si>
    <t>Banty</t>
  </si>
  <si>
    <t>Vechicle</t>
  </si>
  <si>
    <t>Vechicle repair</t>
  </si>
  <si>
    <t>Horticulture</t>
  </si>
  <si>
    <t>Sum of Horticulture</t>
  </si>
  <si>
    <t>Each Item Rate</t>
  </si>
  <si>
    <t>Gram&amp;cyrpto</t>
  </si>
  <si>
    <t>cyrpto</t>
  </si>
  <si>
    <t>Bank Savings</t>
  </si>
  <si>
    <t>GOLD</t>
  </si>
  <si>
    <t>Weekly wise savings</t>
  </si>
  <si>
    <t>Rupees</t>
  </si>
  <si>
    <t>Each Rate</t>
  </si>
  <si>
    <t>Grant Total</t>
  </si>
  <si>
    <t>Oleander Weight(KG)</t>
  </si>
  <si>
    <t>Jasmine Weight(KG)</t>
  </si>
  <si>
    <t>Milk-Weight(L)</t>
  </si>
  <si>
    <t>Banty- Total Amount</t>
  </si>
  <si>
    <t>Grant Total Day Wise</t>
  </si>
  <si>
    <t>Overall Toatal Amount</t>
  </si>
  <si>
    <t>Weeks</t>
  </si>
  <si>
    <t>Remarks</t>
  </si>
  <si>
    <t>Total Savings</t>
  </si>
  <si>
    <t>Family Budget Analysis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</si>
</sst>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b/>
      <sz val="11"/>
      <color theme="1"/>
      <name val="Calibri"/>
      <family val="2"/>
      <scheme val="minor"/>
    </font>
    <font>
      <b/>
      <i/>
      <sz val="11"/>
      <color theme="1"/>
      <name val="Calibri"/>
      <family val="2"/>
      <scheme val="minor"/>
    </font>
    <font>
      <b/>
      <sz val="12"/>
      <color theme="1"/>
      <name val="Calibri"/>
      <family val="2"/>
      <scheme val="minor"/>
    </font>
    <font>
      <sz val="8"/>
      <name val="Calibri"/>
      <family val="2"/>
      <scheme val="minor"/>
    </font>
    <font>
      <b/>
      <sz val="14"/>
      <color theme="1"/>
      <name val="Calibri"/>
      <family val="2"/>
      <scheme val="minor"/>
    </font>
    <font>
      <b/>
      <i/>
      <sz val="12"/>
      <color theme="1"/>
      <name val="Calibri"/>
      <family val="2"/>
      <scheme val="minor"/>
    </font>
    <font>
      <b/>
      <i/>
      <sz val="12"/>
      <color theme="0"/>
      <name val="Calibri"/>
      <family val="2"/>
      <scheme val="minor"/>
    </font>
    <font>
      <b/>
      <i/>
      <sz val="11"/>
      <name val="Calibri"/>
      <family val="2"/>
      <scheme val="minor"/>
    </font>
    <font>
      <sz val="11"/>
      <color theme="0"/>
      <name val="Calibri"/>
      <family val="2"/>
      <scheme val="minor"/>
    </font>
    <font>
      <sz val="11"/>
      <name val="Calibri"/>
      <family val="2"/>
      <scheme val="minor"/>
    </font>
    <font>
      <i/>
      <sz val="11"/>
      <name val="Calibri"/>
      <family val="2"/>
      <scheme val="minor"/>
    </font>
    <font>
      <b/>
      <i/>
      <sz val="14"/>
      <color theme="1"/>
      <name val="Calibri"/>
      <family val="2"/>
      <scheme val="minor"/>
    </font>
    <font>
      <b/>
      <sz val="14"/>
      <color theme="0"/>
      <name val="Calibri"/>
      <family val="2"/>
      <scheme val="minor"/>
    </font>
    <font>
      <b/>
      <sz val="11"/>
      <color rgb="FFFF0000"/>
      <name val="Calibri"/>
      <family val="2"/>
      <scheme val="minor"/>
    </font>
    <font>
      <sz val="28"/>
      <color theme="1"/>
      <name val="Calibri"/>
      <family val="2"/>
      <scheme val="minor"/>
    </font>
    <font>
      <sz val="12"/>
      <color theme="1"/>
      <name val="Calibri"/>
      <family val="2"/>
      <scheme val="minor"/>
    </font>
  </fonts>
  <fills count="9">
    <fill>
      <patternFill patternType="none"/>
    </fill>
    <fill>
      <patternFill patternType="gray125"/>
    </fill>
    <fill>
      <patternFill patternType="solid">
        <fgColor theme="7" tint="0.39997558519241921"/>
        <bgColor indexed="64"/>
      </patternFill>
    </fill>
    <fill>
      <patternFill patternType="solid">
        <fgColor theme="0"/>
        <bgColor theme="5"/>
      </patternFill>
    </fill>
    <fill>
      <patternFill patternType="solid">
        <fgColor theme="2"/>
        <bgColor indexed="64"/>
      </patternFill>
    </fill>
    <fill>
      <patternFill patternType="solid">
        <fgColor theme="2"/>
        <bgColor theme="5"/>
      </patternFill>
    </fill>
    <fill>
      <patternFill patternType="solid">
        <fgColor theme="2" tint="-0.249977111117893"/>
        <bgColor indexed="64"/>
      </patternFill>
    </fill>
    <fill>
      <patternFill patternType="solid">
        <fgColor theme="0"/>
        <bgColor indexed="64"/>
      </patternFill>
    </fill>
    <fill>
      <patternFill patternType="solid">
        <fgColor theme="7" tint="0.59999389629810485"/>
        <bgColor indexed="64"/>
      </patternFill>
    </fill>
  </fills>
  <borders count="13">
    <border>
      <left/>
      <right/>
      <top/>
      <bottom/>
      <diagonal/>
    </border>
    <border>
      <left style="thin">
        <color theme="5"/>
      </left>
      <right/>
      <top style="thin">
        <color theme="5"/>
      </top>
      <bottom/>
      <diagonal/>
    </border>
    <border>
      <left/>
      <right/>
      <top style="thin">
        <color theme="5"/>
      </top>
      <bottom/>
      <diagonal/>
    </border>
    <border>
      <left style="thin">
        <color theme="5"/>
      </left>
      <right/>
      <top style="thin">
        <color theme="5"/>
      </top>
      <bottom style="thin">
        <color theme="5"/>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54">
    <xf numFmtId="0" fontId="0" fillId="0" borderId="0" xfId="0"/>
    <xf numFmtId="14" fontId="0" fillId="0" borderId="0" xfId="0" applyNumberFormat="1"/>
    <xf numFmtId="0" fontId="0" fillId="0" borderId="0" xfId="0" applyAlignment="1">
      <alignment horizontal="center"/>
    </xf>
    <xf numFmtId="0" fontId="3" fillId="0" borderId="0" xfId="0" applyFont="1"/>
    <xf numFmtId="0" fontId="1" fillId="0" borderId="0" xfId="0" applyFont="1"/>
    <xf numFmtId="0" fontId="0" fillId="0" borderId="0" xfId="0" pivotButton="1"/>
    <xf numFmtId="0" fontId="0" fillId="0" borderId="0" xfId="0" applyAlignment="1">
      <alignment horizontal="left"/>
    </xf>
    <xf numFmtId="0" fontId="5" fillId="0" borderId="0" xfId="0" applyFont="1"/>
    <xf numFmtId="14" fontId="2" fillId="0" borderId="2" xfId="0" applyNumberFormat="1" applyFont="1" applyBorder="1"/>
    <xf numFmtId="0" fontId="3" fillId="0" borderId="4" xfId="0" applyFont="1" applyBorder="1"/>
    <xf numFmtId="0" fontId="0" fillId="0" borderId="4" xfId="0" applyBorder="1"/>
    <xf numFmtId="0" fontId="3" fillId="0" borderId="3" xfId="0" applyFont="1" applyBorder="1"/>
    <xf numFmtId="0" fontId="6" fillId="0" borderId="0" xfId="0" applyFont="1"/>
    <xf numFmtId="0" fontId="7" fillId="3" borderId="1" xfId="0" applyFont="1" applyFill="1" applyBorder="1"/>
    <xf numFmtId="0" fontId="1" fillId="4" borderId="4" xfId="0" applyFont="1" applyFill="1" applyBorder="1"/>
    <xf numFmtId="0" fontId="2" fillId="0" borderId="4" xfId="0" applyFont="1" applyBorder="1"/>
    <xf numFmtId="14" fontId="8" fillId="5" borderId="7" xfId="0" applyNumberFormat="1" applyFont="1" applyFill="1" applyBorder="1" applyAlignment="1">
      <alignment horizontal="center" vertical="top"/>
    </xf>
    <xf numFmtId="0" fontId="10" fillId="4" borderId="8" xfId="0" applyFont="1" applyFill="1" applyBorder="1" applyAlignment="1">
      <alignment horizontal="center" vertical="top"/>
    </xf>
    <xf numFmtId="14" fontId="8" fillId="5" borderId="9" xfId="0" applyNumberFormat="1" applyFont="1" applyFill="1" applyBorder="1" applyAlignment="1">
      <alignment horizontal="center" vertical="top"/>
    </xf>
    <xf numFmtId="0" fontId="1" fillId="4" borderId="10" xfId="0" applyFont="1" applyFill="1" applyBorder="1" applyAlignment="1">
      <alignment horizontal="center" vertical="top"/>
    </xf>
    <xf numFmtId="14" fontId="11" fillId="5" borderId="5" xfId="0" applyNumberFormat="1" applyFont="1" applyFill="1" applyBorder="1" applyAlignment="1">
      <alignment horizontal="center" vertical="top"/>
    </xf>
    <xf numFmtId="0" fontId="0" fillId="4" borderId="6" xfId="0" applyFill="1" applyBorder="1" applyAlignment="1">
      <alignment horizontal="center" vertical="top"/>
    </xf>
    <xf numFmtId="14" fontId="11" fillId="5" borderId="9" xfId="0" applyNumberFormat="1" applyFont="1" applyFill="1" applyBorder="1" applyAlignment="1">
      <alignment horizontal="center" vertical="top"/>
    </xf>
    <xf numFmtId="14" fontId="0" fillId="0" borderId="4" xfId="0" applyNumberFormat="1" applyBorder="1" applyAlignment="1">
      <alignment horizontal="center"/>
    </xf>
    <xf numFmtId="0" fontId="0" fillId="0" borderId="4" xfId="0" applyBorder="1" applyAlignment="1">
      <alignment horizontal="center"/>
    </xf>
    <xf numFmtId="0" fontId="0" fillId="0" borderId="4" xfId="0" applyBorder="1" applyAlignment="1">
      <alignment horizontal="center" wrapText="1"/>
    </xf>
    <xf numFmtId="0" fontId="12" fillId="4" borderId="4" xfId="0" applyFont="1" applyFill="1" applyBorder="1" applyAlignment="1">
      <alignment horizontal="center" vertical="center"/>
    </xf>
    <xf numFmtId="0" fontId="12" fillId="4" borderId="4" xfId="0" applyFont="1" applyFill="1" applyBorder="1" applyAlignment="1">
      <alignment horizontal="center" vertical="center" wrapText="1"/>
    </xf>
    <xf numFmtId="0" fontId="2" fillId="4" borderId="4" xfId="0" applyFont="1" applyFill="1" applyBorder="1" applyAlignment="1">
      <alignment horizontal="center" vertical="center"/>
    </xf>
    <xf numFmtId="0" fontId="1" fillId="0" borderId="4" xfId="0" applyFont="1" applyBorder="1" applyAlignment="1">
      <alignment horizontal="center" vertical="center"/>
    </xf>
    <xf numFmtId="0" fontId="1" fillId="0" borderId="4" xfId="0" applyFont="1" applyBorder="1" applyAlignment="1">
      <alignment horizontal="center" wrapText="1"/>
    </xf>
    <xf numFmtId="0" fontId="9" fillId="6" borderId="0" xfId="0" applyFont="1" applyFill="1"/>
    <xf numFmtId="0" fontId="13" fillId="6" borderId="7" xfId="0" applyFont="1" applyFill="1" applyBorder="1"/>
    <xf numFmtId="0" fontId="0" fillId="0" borderId="5" xfId="0" applyBorder="1" applyAlignment="1">
      <alignment horizontal="center" vertical="center"/>
    </xf>
    <xf numFmtId="0" fontId="0" fillId="0" borderId="9" xfId="0" applyBorder="1" applyAlignment="1">
      <alignment horizontal="center" vertical="center"/>
    </xf>
    <xf numFmtId="0" fontId="13" fillId="6" borderId="11" xfId="0" applyFont="1" applyFill="1" applyBorder="1" applyAlignment="1">
      <alignment horizontal="center"/>
    </xf>
    <xf numFmtId="0" fontId="0" fillId="0" borderId="12" xfId="0" applyBorder="1" applyAlignment="1">
      <alignment horizontal="center"/>
    </xf>
    <xf numFmtId="14" fontId="0" fillId="0" borderId="12" xfId="0" applyNumberFormat="1" applyBorder="1" applyAlignment="1">
      <alignment horizontal="center"/>
    </xf>
    <xf numFmtId="14" fontId="2" fillId="0" borderId="4" xfId="0" applyNumberFormat="1" applyFont="1" applyBorder="1" applyAlignment="1">
      <alignment horizontal="center"/>
    </xf>
    <xf numFmtId="0" fontId="2" fillId="0" borderId="4" xfId="0" applyFont="1" applyBorder="1" applyAlignment="1">
      <alignment horizontal="center"/>
    </xf>
    <xf numFmtId="14" fontId="2" fillId="0" borderId="12" xfId="0" applyNumberFormat="1" applyFont="1" applyBorder="1" applyAlignment="1">
      <alignment horizontal="center"/>
    </xf>
    <xf numFmtId="0" fontId="13" fillId="6" borderId="8" xfId="0" applyFont="1" applyFill="1" applyBorder="1" applyAlignment="1">
      <alignment horizontal="left"/>
    </xf>
    <xf numFmtId="0" fontId="0" fillId="0" borderId="6" xfId="0" applyBorder="1" applyAlignment="1">
      <alignment horizontal="left"/>
    </xf>
    <xf numFmtId="0" fontId="0" fillId="0" borderId="10" xfId="0" applyBorder="1" applyAlignment="1">
      <alignment horizontal="left"/>
    </xf>
    <xf numFmtId="0" fontId="6" fillId="2" borderId="4" xfId="0" applyFont="1" applyFill="1" applyBorder="1"/>
    <xf numFmtId="0" fontId="14" fillId="0" borderId="4" xfId="0" applyFont="1" applyBorder="1"/>
    <xf numFmtId="0" fontId="6" fillId="7" borderId="0" xfId="0" applyFont="1" applyFill="1"/>
    <xf numFmtId="0" fontId="0" fillId="7" borderId="0" xfId="0" applyFill="1"/>
    <xf numFmtId="0" fontId="15" fillId="8" borderId="0" xfId="0" applyFont="1" applyFill="1" applyAlignment="1">
      <alignment horizontal="center" vertical="center"/>
    </xf>
    <xf numFmtId="0" fontId="16" fillId="0" borderId="0" xfId="0" applyFont="1"/>
    <xf numFmtId="0" fontId="1" fillId="0" borderId="0" xfId="0" applyFont="1" applyAlignment="1">
      <alignment horizontal="center"/>
    </xf>
    <xf numFmtId="0" fontId="0" fillId="0" borderId="4" xfId="0" applyBorder="1" applyAlignment="1">
      <alignment horizontal="center" vertical="center"/>
    </xf>
    <xf numFmtId="0" fontId="2" fillId="0" borderId="4" xfId="0" applyFont="1" applyBorder="1" applyAlignment="1">
      <alignment horizontal="center"/>
    </xf>
    <xf numFmtId="0" fontId="15" fillId="8" borderId="0" xfId="0" applyFont="1" applyFill="1" applyAlignment="1">
      <alignment horizontal="center" vertical="center"/>
    </xf>
  </cellXfs>
  <cellStyles count="1">
    <cellStyle name="Normal" xfId="0" builtinId="0"/>
  </cellStyles>
  <dxfs count="18">
    <dxf>
      <font>
        <b/>
        <i val="0"/>
        <strike val="0"/>
        <condense val="0"/>
        <extend val="0"/>
        <outline val="0"/>
        <shadow val="0"/>
        <u val="none"/>
        <vertAlign val="baseline"/>
        <sz val="11"/>
        <color theme="1"/>
        <name val="Calibri"/>
        <family val="2"/>
        <scheme val="minor"/>
      </font>
      <fill>
        <patternFill patternType="solid">
          <fgColor indexed="64"/>
          <bgColor theme="2"/>
        </patternFill>
      </fill>
      <alignment horizontal="center" vertical="top" textRotation="0" wrapText="0" indent="0" justifyLastLine="0" shrinkToFit="0" readingOrder="0"/>
      <border diagonalUp="0" diagonalDown="0" outline="0">
        <left style="thin">
          <color indexed="64"/>
        </left>
        <right/>
        <top style="thin">
          <color indexed="64"/>
        </top>
        <bottom style="thin">
          <color indexed="64"/>
        </bottom>
      </border>
    </dxf>
    <dxf>
      <font>
        <b/>
        <i/>
        <strike val="0"/>
        <condense val="0"/>
        <extend val="0"/>
        <outline val="0"/>
        <shadow val="0"/>
        <u val="none"/>
        <vertAlign val="baseline"/>
        <sz val="11"/>
        <color auto="1"/>
        <name val="Calibri"/>
        <family val="2"/>
        <scheme val="minor"/>
      </font>
      <numFmt numFmtId="19" formatCode="dd/mm/yyyy"/>
      <fill>
        <patternFill patternType="solid">
          <fgColor theme="5"/>
          <bgColor theme="2"/>
        </patternFill>
      </fill>
      <alignment horizontal="center" vertical="top"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center" vertical="top" textRotation="0" wrapText="0" indent="0" justifyLastLine="0" shrinkToFit="0" readingOrder="0"/>
    </dxf>
    <dxf>
      <border outline="0">
        <bottom style="thin">
          <color indexed="64"/>
        </bottom>
      </border>
    </dxf>
    <dxf>
      <alignment horizontal="center" vertical="top" textRotation="0" wrapText="0" indent="0" justifyLastLine="0" shrinkToFit="0" readingOrder="0"/>
    </dxf>
    <dxf>
      <font>
        <b/>
        <i val="0"/>
        <strike val="0"/>
        <condense val="0"/>
        <extend val="0"/>
        <outline val="0"/>
        <shadow val="0"/>
        <u val="none"/>
        <vertAlign val="baseline"/>
        <sz val="11"/>
        <color theme="1"/>
        <name val="Calibri"/>
        <family val="2"/>
        <scheme val="minor"/>
      </font>
    </dxf>
    <dxf>
      <alignment horizontal="left" vertical="bottom" textRotation="0" wrapText="0" indent="0" justifyLastLine="0" shrinkToFit="0" readingOrder="0"/>
      <border diagonalUp="0" diagonalDown="0" outline="0">
        <left style="thin">
          <color indexed="64"/>
        </left>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i/>
        <strike val="0"/>
        <condense val="0"/>
        <extend val="0"/>
        <outline val="0"/>
        <shadow val="0"/>
        <u val="none"/>
        <vertAlign val="baseline"/>
        <sz val="11"/>
        <color theme="1"/>
        <name val="Calibri"/>
        <family val="2"/>
        <scheme val="minor"/>
      </font>
      <numFmt numFmtId="19" formatCode="dd/mm/yyyy"/>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font>
        <b/>
        <i val="0"/>
        <strike val="0"/>
        <condense val="0"/>
        <extend val="0"/>
        <outline val="0"/>
        <shadow val="0"/>
        <u val="none"/>
        <vertAlign val="baseline"/>
        <sz val="14"/>
        <color theme="0"/>
        <name val="Calibri"/>
        <family val="2"/>
        <scheme val="minor"/>
      </font>
      <fill>
        <patternFill patternType="solid">
          <fgColor indexed="64"/>
          <bgColor theme="2" tint="-0.249977111117893"/>
        </patternFill>
      </fill>
      <border diagonalUp="0" diagonalDown="0">
        <left style="thin">
          <color indexed="64"/>
        </left>
        <right style="thin">
          <color indexed="64"/>
        </right>
        <top/>
        <bottom/>
        <vertical style="thin">
          <color indexed="64"/>
        </vertical>
        <horizontal style="thin">
          <color indexed="64"/>
        </horizontal>
      </border>
    </dxf>
    <dxf>
      <font>
        <b/>
        <i val="0"/>
        <strike val="0"/>
        <condense val="0"/>
        <extend val="0"/>
        <outline val="0"/>
        <shadow val="0"/>
        <u val="none"/>
        <vertAlign val="baseline"/>
        <sz val="14"/>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1" u="none" strike="noStrike" kern="1200" spc="0" baseline="0">
                <a:solidFill>
                  <a:schemeClr val="tx1">
                    <a:lumMod val="65000"/>
                    <a:lumOff val="35000"/>
                  </a:schemeClr>
                </a:solidFill>
                <a:latin typeface="+mn-lt"/>
                <a:ea typeface="+mn-ea"/>
                <a:cs typeface="+mn-cs"/>
              </a:defRPr>
            </a:pPr>
            <a:r>
              <a:rPr lang="en-US" b="1" i="1"/>
              <a:t>Weekly</a:t>
            </a:r>
            <a:r>
              <a:rPr lang="en-US" b="1" i="1" baseline="0"/>
              <a:t> Wise Income</a:t>
            </a:r>
            <a:endParaRPr lang="en-US" b="1" i="1"/>
          </a:p>
        </c:rich>
      </c:tx>
      <c:overlay val="0"/>
      <c:spPr>
        <a:noFill/>
        <a:ln>
          <a:noFill/>
        </a:ln>
        <a:effectLst/>
      </c:spPr>
      <c:txPr>
        <a:bodyPr rot="0" spcFirstLastPara="1" vertOverflow="ellipsis" vert="horz" wrap="square" anchor="ctr" anchorCtr="1"/>
        <a:lstStyle/>
        <a:p>
          <a:pPr>
            <a:defRPr sz="1400" b="1" i="1"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Income!$B$1</c:f>
              <c:strCache>
                <c:ptCount val="1"/>
                <c:pt idx="0">
                  <c:v>Oleander</c:v>
                </c:pt>
              </c:strCache>
            </c:strRef>
          </c:tx>
          <c:spPr>
            <a:solidFill>
              <a:schemeClr val="accent1"/>
            </a:solidFill>
            <a:ln>
              <a:noFill/>
            </a:ln>
            <a:effectLst/>
          </c:spPr>
          <c:invertIfNegative val="0"/>
          <c:dPt>
            <c:idx val="10"/>
            <c:invertIfNegative val="0"/>
            <c:bubble3D val="0"/>
            <c:spPr>
              <a:solidFill>
                <a:schemeClr val="accent1"/>
              </a:solidFill>
              <a:ln>
                <a:noFill/>
              </a:ln>
              <a:effectLst/>
            </c:spPr>
            <c:extLst>
              <c:ext xmlns:c16="http://schemas.microsoft.com/office/drawing/2014/chart" uri="{C3380CC4-5D6E-409C-BE32-E72D297353CC}">
                <c16:uniqueId val="{00000001-692C-4740-8EC8-8851C0539369}"/>
              </c:ext>
            </c:extLst>
          </c:dPt>
          <c:cat>
            <c:strRef>
              <c:f>Income!$A$2:$A$13</c:f>
              <c:strCache>
                <c:ptCount val="12"/>
                <c:pt idx="0">
                  <c:v>Week1</c:v>
                </c:pt>
                <c:pt idx="1">
                  <c:v>Week2</c:v>
                </c:pt>
                <c:pt idx="2">
                  <c:v>Week3</c:v>
                </c:pt>
                <c:pt idx="3">
                  <c:v>Week4</c:v>
                </c:pt>
                <c:pt idx="4">
                  <c:v>Week5</c:v>
                </c:pt>
                <c:pt idx="5">
                  <c:v>Week6</c:v>
                </c:pt>
                <c:pt idx="6">
                  <c:v>Week7</c:v>
                </c:pt>
                <c:pt idx="7">
                  <c:v>Week8</c:v>
                </c:pt>
                <c:pt idx="8">
                  <c:v>Week9</c:v>
                </c:pt>
                <c:pt idx="9">
                  <c:v>Week10</c:v>
                </c:pt>
                <c:pt idx="10">
                  <c:v>Week11</c:v>
                </c:pt>
                <c:pt idx="11">
                  <c:v>Week12</c:v>
                </c:pt>
              </c:strCache>
            </c:strRef>
          </c:cat>
          <c:val>
            <c:numRef>
              <c:f>Income!$B$2:$B$13</c:f>
              <c:numCache>
                <c:formatCode>General</c:formatCode>
                <c:ptCount val="12"/>
                <c:pt idx="0">
                  <c:v>3890</c:v>
                </c:pt>
                <c:pt idx="1">
                  <c:v>2222</c:v>
                </c:pt>
                <c:pt idx="2">
                  <c:v>1530</c:v>
                </c:pt>
                <c:pt idx="3">
                  <c:v>1390</c:v>
                </c:pt>
                <c:pt idx="4">
                  <c:v>1989</c:v>
                </c:pt>
                <c:pt idx="5">
                  <c:v>2089</c:v>
                </c:pt>
                <c:pt idx="6">
                  <c:v>2135</c:v>
                </c:pt>
                <c:pt idx="7">
                  <c:v>2105</c:v>
                </c:pt>
                <c:pt idx="8">
                  <c:v>2150</c:v>
                </c:pt>
                <c:pt idx="9">
                  <c:v>2120</c:v>
                </c:pt>
                <c:pt idx="10">
                  <c:v>2280</c:v>
                </c:pt>
                <c:pt idx="11">
                  <c:v>2390</c:v>
                </c:pt>
              </c:numCache>
            </c:numRef>
          </c:val>
          <c:extLst>
            <c:ext xmlns:c16="http://schemas.microsoft.com/office/drawing/2014/chart" uri="{C3380CC4-5D6E-409C-BE32-E72D297353CC}">
              <c16:uniqueId val="{00000000-9500-4C9D-ACF2-372DE08D9D00}"/>
            </c:ext>
          </c:extLst>
        </c:ser>
        <c:ser>
          <c:idx val="1"/>
          <c:order val="1"/>
          <c:tx>
            <c:strRef>
              <c:f>Income!$C$1</c:f>
              <c:strCache>
                <c:ptCount val="1"/>
                <c:pt idx="0">
                  <c:v>Jasmine</c:v>
                </c:pt>
              </c:strCache>
            </c:strRef>
          </c:tx>
          <c:spPr>
            <a:solidFill>
              <a:schemeClr val="accent2"/>
            </a:solidFill>
            <a:ln>
              <a:noFill/>
            </a:ln>
            <a:effectLst/>
          </c:spPr>
          <c:invertIfNegative val="0"/>
          <c:dPt>
            <c:idx val="10"/>
            <c:invertIfNegative val="0"/>
            <c:bubble3D val="0"/>
            <c:spPr>
              <a:solidFill>
                <a:schemeClr val="accent2"/>
              </a:solidFill>
              <a:ln>
                <a:noFill/>
              </a:ln>
              <a:effectLst/>
            </c:spPr>
            <c:extLst>
              <c:ext xmlns:c16="http://schemas.microsoft.com/office/drawing/2014/chart" uri="{C3380CC4-5D6E-409C-BE32-E72D297353CC}">
                <c16:uniqueId val="{00000003-692C-4740-8EC8-8851C0539369}"/>
              </c:ext>
            </c:extLst>
          </c:dPt>
          <c:cat>
            <c:strRef>
              <c:f>Income!$A$2:$A$13</c:f>
              <c:strCache>
                <c:ptCount val="12"/>
                <c:pt idx="0">
                  <c:v>Week1</c:v>
                </c:pt>
                <c:pt idx="1">
                  <c:v>Week2</c:v>
                </c:pt>
                <c:pt idx="2">
                  <c:v>Week3</c:v>
                </c:pt>
                <c:pt idx="3">
                  <c:v>Week4</c:v>
                </c:pt>
                <c:pt idx="4">
                  <c:v>Week5</c:v>
                </c:pt>
                <c:pt idx="5">
                  <c:v>Week6</c:v>
                </c:pt>
                <c:pt idx="6">
                  <c:v>Week7</c:v>
                </c:pt>
                <c:pt idx="7">
                  <c:v>Week8</c:v>
                </c:pt>
                <c:pt idx="8">
                  <c:v>Week9</c:v>
                </c:pt>
                <c:pt idx="9">
                  <c:v>Week10</c:v>
                </c:pt>
                <c:pt idx="10">
                  <c:v>Week11</c:v>
                </c:pt>
                <c:pt idx="11">
                  <c:v>Week12</c:v>
                </c:pt>
              </c:strCache>
            </c:strRef>
          </c:cat>
          <c:val>
            <c:numRef>
              <c:f>Income!$C$2:$C$13</c:f>
              <c:numCache>
                <c:formatCode>General</c:formatCode>
                <c:ptCount val="12"/>
                <c:pt idx="0">
                  <c:v>2015</c:v>
                </c:pt>
                <c:pt idx="1">
                  <c:v>1640</c:v>
                </c:pt>
                <c:pt idx="2">
                  <c:v>1570</c:v>
                </c:pt>
                <c:pt idx="3">
                  <c:v>1470</c:v>
                </c:pt>
                <c:pt idx="4">
                  <c:v>1395</c:v>
                </c:pt>
                <c:pt idx="5">
                  <c:v>1515</c:v>
                </c:pt>
                <c:pt idx="6">
                  <c:v>1500</c:v>
                </c:pt>
                <c:pt idx="7">
                  <c:v>1640</c:v>
                </c:pt>
                <c:pt idx="8">
                  <c:v>1670</c:v>
                </c:pt>
                <c:pt idx="9">
                  <c:v>1780</c:v>
                </c:pt>
                <c:pt idx="10">
                  <c:v>1960</c:v>
                </c:pt>
                <c:pt idx="11">
                  <c:v>2155</c:v>
                </c:pt>
              </c:numCache>
            </c:numRef>
          </c:val>
          <c:extLst>
            <c:ext xmlns:c16="http://schemas.microsoft.com/office/drawing/2014/chart" uri="{C3380CC4-5D6E-409C-BE32-E72D297353CC}">
              <c16:uniqueId val="{00000001-9500-4C9D-ACF2-372DE08D9D00}"/>
            </c:ext>
          </c:extLst>
        </c:ser>
        <c:ser>
          <c:idx val="2"/>
          <c:order val="2"/>
          <c:tx>
            <c:strRef>
              <c:f>Income!$D$1</c:f>
              <c:strCache>
                <c:ptCount val="1"/>
                <c:pt idx="0">
                  <c:v>Milk</c:v>
                </c:pt>
              </c:strCache>
            </c:strRef>
          </c:tx>
          <c:spPr>
            <a:solidFill>
              <a:schemeClr val="accent3"/>
            </a:solidFill>
            <a:ln>
              <a:noFill/>
            </a:ln>
            <a:effectLst/>
          </c:spPr>
          <c:invertIfNegative val="0"/>
          <c:dPt>
            <c:idx val="10"/>
            <c:invertIfNegative val="0"/>
            <c:bubble3D val="0"/>
            <c:spPr>
              <a:solidFill>
                <a:schemeClr val="accent3"/>
              </a:solidFill>
              <a:ln>
                <a:noFill/>
              </a:ln>
              <a:effectLst/>
            </c:spPr>
            <c:extLst>
              <c:ext xmlns:c16="http://schemas.microsoft.com/office/drawing/2014/chart" uri="{C3380CC4-5D6E-409C-BE32-E72D297353CC}">
                <c16:uniqueId val="{00000005-692C-4740-8EC8-8851C0539369}"/>
              </c:ext>
            </c:extLst>
          </c:dPt>
          <c:cat>
            <c:strRef>
              <c:f>Income!$A$2:$A$13</c:f>
              <c:strCache>
                <c:ptCount val="12"/>
                <c:pt idx="0">
                  <c:v>Week1</c:v>
                </c:pt>
                <c:pt idx="1">
                  <c:v>Week2</c:v>
                </c:pt>
                <c:pt idx="2">
                  <c:v>Week3</c:v>
                </c:pt>
                <c:pt idx="3">
                  <c:v>Week4</c:v>
                </c:pt>
                <c:pt idx="4">
                  <c:v>Week5</c:v>
                </c:pt>
                <c:pt idx="5">
                  <c:v>Week6</c:v>
                </c:pt>
                <c:pt idx="6">
                  <c:v>Week7</c:v>
                </c:pt>
                <c:pt idx="7">
                  <c:v>Week8</c:v>
                </c:pt>
                <c:pt idx="8">
                  <c:v>Week9</c:v>
                </c:pt>
                <c:pt idx="9">
                  <c:v>Week10</c:v>
                </c:pt>
                <c:pt idx="10">
                  <c:v>Week11</c:v>
                </c:pt>
                <c:pt idx="11">
                  <c:v>Week12</c:v>
                </c:pt>
              </c:strCache>
            </c:strRef>
          </c:cat>
          <c:val>
            <c:numRef>
              <c:f>Income!$D$2:$D$13</c:f>
              <c:numCache>
                <c:formatCode>General</c:formatCode>
                <c:ptCount val="12"/>
                <c:pt idx="0">
                  <c:v>5042.2</c:v>
                </c:pt>
                <c:pt idx="1">
                  <c:v>5004.12</c:v>
                </c:pt>
                <c:pt idx="2">
                  <c:v>4993.92</c:v>
                </c:pt>
                <c:pt idx="3">
                  <c:v>4956.5200000000004</c:v>
                </c:pt>
                <c:pt idx="4">
                  <c:v>4898.72</c:v>
                </c:pt>
                <c:pt idx="5">
                  <c:v>4810.3200000000006</c:v>
                </c:pt>
                <c:pt idx="6">
                  <c:v>4728.7199999999993</c:v>
                </c:pt>
                <c:pt idx="7">
                  <c:v>4677.72</c:v>
                </c:pt>
                <c:pt idx="8">
                  <c:v>4705.6000000000004</c:v>
                </c:pt>
                <c:pt idx="9">
                  <c:v>4624</c:v>
                </c:pt>
                <c:pt idx="10">
                  <c:v>4739.6000000000004</c:v>
                </c:pt>
                <c:pt idx="11">
                  <c:v>4977.5999999999995</c:v>
                </c:pt>
              </c:numCache>
            </c:numRef>
          </c:val>
          <c:extLst>
            <c:ext xmlns:c16="http://schemas.microsoft.com/office/drawing/2014/chart" uri="{C3380CC4-5D6E-409C-BE32-E72D297353CC}">
              <c16:uniqueId val="{00000002-9500-4C9D-ACF2-372DE08D9D00}"/>
            </c:ext>
          </c:extLst>
        </c:ser>
        <c:ser>
          <c:idx val="3"/>
          <c:order val="3"/>
          <c:tx>
            <c:strRef>
              <c:f>Income!$E$1</c:f>
              <c:strCache>
                <c:ptCount val="1"/>
                <c:pt idx="0">
                  <c:v>Banty</c:v>
                </c:pt>
              </c:strCache>
            </c:strRef>
          </c:tx>
          <c:spPr>
            <a:solidFill>
              <a:schemeClr val="accent4"/>
            </a:solidFill>
            <a:ln>
              <a:noFill/>
            </a:ln>
            <a:effectLst/>
          </c:spPr>
          <c:invertIfNegative val="0"/>
          <c:dPt>
            <c:idx val="10"/>
            <c:invertIfNegative val="0"/>
            <c:bubble3D val="0"/>
            <c:spPr>
              <a:solidFill>
                <a:schemeClr val="accent4"/>
              </a:solidFill>
              <a:ln>
                <a:noFill/>
              </a:ln>
              <a:effectLst/>
            </c:spPr>
            <c:extLst>
              <c:ext xmlns:c16="http://schemas.microsoft.com/office/drawing/2014/chart" uri="{C3380CC4-5D6E-409C-BE32-E72D297353CC}">
                <c16:uniqueId val="{00000007-692C-4740-8EC8-8851C0539369}"/>
              </c:ext>
            </c:extLst>
          </c:dPt>
          <c:cat>
            <c:strRef>
              <c:f>Income!$A$2:$A$13</c:f>
              <c:strCache>
                <c:ptCount val="12"/>
                <c:pt idx="0">
                  <c:v>Week1</c:v>
                </c:pt>
                <c:pt idx="1">
                  <c:v>Week2</c:v>
                </c:pt>
                <c:pt idx="2">
                  <c:v>Week3</c:v>
                </c:pt>
                <c:pt idx="3">
                  <c:v>Week4</c:v>
                </c:pt>
                <c:pt idx="4">
                  <c:v>Week5</c:v>
                </c:pt>
                <c:pt idx="5">
                  <c:v>Week6</c:v>
                </c:pt>
                <c:pt idx="6">
                  <c:v>Week7</c:v>
                </c:pt>
                <c:pt idx="7">
                  <c:v>Week8</c:v>
                </c:pt>
                <c:pt idx="8">
                  <c:v>Week9</c:v>
                </c:pt>
                <c:pt idx="9">
                  <c:v>Week10</c:v>
                </c:pt>
                <c:pt idx="10">
                  <c:v>Week11</c:v>
                </c:pt>
                <c:pt idx="11">
                  <c:v>Week12</c:v>
                </c:pt>
              </c:strCache>
            </c:strRef>
          </c:cat>
          <c:val>
            <c:numRef>
              <c:f>Income!$E$2:$E$13</c:f>
              <c:numCache>
                <c:formatCode>General</c:formatCode>
                <c:ptCount val="12"/>
                <c:pt idx="0">
                  <c:v>2700</c:v>
                </c:pt>
                <c:pt idx="1">
                  <c:v>7700</c:v>
                </c:pt>
                <c:pt idx="2">
                  <c:v>6300</c:v>
                </c:pt>
                <c:pt idx="3">
                  <c:v>6300</c:v>
                </c:pt>
                <c:pt idx="4">
                  <c:v>5700</c:v>
                </c:pt>
                <c:pt idx="5">
                  <c:v>5700</c:v>
                </c:pt>
                <c:pt idx="6">
                  <c:v>5700</c:v>
                </c:pt>
                <c:pt idx="7">
                  <c:v>6600</c:v>
                </c:pt>
                <c:pt idx="8">
                  <c:v>1600</c:v>
                </c:pt>
                <c:pt idx="9">
                  <c:v>900</c:v>
                </c:pt>
                <c:pt idx="10">
                  <c:v>900</c:v>
                </c:pt>
                <c:pt idx="11">
                  <c:v>900</c:v>
                </c:pt>
              </c:numCache>
            </c:numRef>
          </c:val>
          <c:extLst>
            <c:ext xmlns:c16="http://schemas.microsoft.com/office/drawing/2014/chart" uri="{C3380CC4-5D6E-409C-BE32-E72D297353CC}">
              <c16:uniqueId val="{00000003-9500-4C9D-ACF2-372DE08D9D00}"/>
            </c:ext>
          </c:extLst>
        </c:ser>
        <c:ser>
          <c:idx val="4"/>
          <c:order val="4"/>
          <c:tx>
            <c:strRef>
              <c:f>Income!$F$1</c:f>
              <c:strCache>
                <c:ptCount val="1"/>
                <c:pt idx="0">
                  <c:v>Total Income</c:v>
                </c:pt>
              </c:strCache>
            </c:strRef>
          </c:tx>
          <c:spPr>
            <a:solidFill>
              <a:schemeClr val="accent5"/>
            </a:solidFill>
            <a:ln>
              <a:noFill/>
            </a:ln>
            <a:effectLst/>
          </c:spPr>
          <c:invertIfNegative val="0"/>
          <c:dPt>
            <c:idx val="10"/>
            <c:invertIfNegative val="0"/>
            <c:bubble3D val="0"/>
            <c:spPr>
              <a:solidFill>
                <a:schemeClr val="accent5"/>
              </a:solidFill>
              <a:ln>
                <a:noFill/>
              </a:ln>
              <a:effectLst/>
            </c:spPr>
            <c:extLst>
              <c:ext xmlns:c16="http://schemas.microsoft.com/office/drawing/2014/chart" uri="{C3380CC4-5D6E-409C-BE32-E72D297353CC}">
                <c16:uniqueId val="{00000009-692C-4740-8EC8-8851C0539369}"/>
              </c:ext>
            </c:extLst>
          </c:dPt>
          <c:trendline>
            <c:spPr>
              <a:ln w="19050" cap="rnd">
                <a:solidFill>
                  <a:schemeClr val="accent5"/>
                </a:solidFill>
                <a:prstDash val="sysDot"/>
              </a:ln>
              <a:effectLst/>
            </c:spPr>
            <c:trendlineType val="linear"/>
            <c:dispRSqr val="0"/>
            <c:dispEq val="0"/>
          </c:trendline>
          <c:cat>
            <c:strRef>
              <c:f>Income!$A$2:$A$13</c:f>
              <c:strCache>
                <c:ptCount val="12"/>
                <c:pt idx="0">
                  <c:v>Week1</c:v>
                </c:pt>
                <c:pt idx="1">
                  <c:v>Week2</c:v>
                </c:pt>
                <c:pt idx="2">
                  <c:v>Week3</c:v>
                </c:pt>
                <c:pt idx="3">
                  <c:v>Week4</c:v>
                </c:pt>
                <c:pt idx="4">
                  <c:v>Week5</c:v>
                </c:pt>
                <c:pt idx="5">
                  <c:v>Week6</c:v>
                </c:pt>
                <c:pt idx="6">
                  <c:v>Week7</c:v>
                </c:pt>
                <c:pt idx="7">
                  <c:v>Week8</c:v>
                </c:pt>
                <c:pt idx="8">
                  <c:v>Week9</c:v>
                </c:pt>
                <c:pt idx="9">
                  <c:v>Week10</c:v>
                </c:pt>
                <c:pt idx="10">
                  <c:v>Week11</c:v>
                </c:pt>
                <c:pt idx="11">
                  <c:v>Week12</c:v>
                </c:pt>
              </c:strCache>
            </c:strRef>
          </c:cat>
          <c:val>
            <c:numRef>
              <c:f>Income!$F$2:$F$13</c:f>
              <c:numCache>
                <c:formatCode>General</c:formatCode>
                <c:ptCount val="12"/>
                <c:pt idx="0">
                  <c:v>13647.2</c:v>
                </c:pt>
                <c:pt idx="1">
                  <c:v>16566.12</c:v>
                </c:pt>
                <c:pt idx="2">
                  <c:v>14393.92</c:v>
                </c:pt>
                <c:pt idx="3">
                  <c:v>14116.52</c:v>
                </c:pt>
                <c:pt idx="4">
                  <c:v>13982.720000000001</c:v>
                </c:pt>
                <c:pt idx="5">
                  <c:v>14114.32</c:v>
                </c:pt>
                <c:pt idx="6">
                  <c:v>14063.72</c:v>
                </c:pt>
                <c:pt idx="7">
                  <c:v>15022.720000000001</c:v>
                </c:pt>
                <c:pt idx="8">
                  <c:v>10125.6</c:v>
                </c:pt>
                <c:pt idx="9">
                  <c:v>9424</c:v>
                </c:pt>
                <c:pt idx="10">
                  <c:v>9879.6</c:v>
                </c:pt>
                <c:pt idx="11">
                  <c:v>10422.599999999999</c:v>
                </c:pt>
              </c:numCache>
            </c:numRef>
          </c:val>
          <c:extLst>
            <c:ext xmlns:c16="http://schemas.microsoft.com/office/drawing/2014/chart" uri="{C3380CC4-5D6E-409C-BE32-E72D297353CC}">
              <c16:uniqueId val="{00000004-9500-4C9D-ACF2-372DE08D9D00}"/>
            </c:ext>
          </c:extLst>
        </c:ser>
        <c:dLbls>
          <c:showLegendKey val="0"/>
          <c:showVal val="0"/>
          <c:showCatName val="0"/>
          <c:showSerName val="0"/>
          <c:showPercent val="0"/>
          <c:showBubbleSize val="0"/>
        </c:dLbls>
        <c:gapWidth val="219"/>
        <c:overlap val="-27"/>
        <c:axId val="519886872"/>
        <c:axId val="459251760"/>
      </c:barChart>
      <c:catAx>
        <c:axId val="5198868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Week</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9251760"/>
        <c:crosses val="autoZero"/>
        <c:auto val="1"/>
        <c:lblAlgn val="ctr"/>
        <c:lblOffset val="100"/>
        <c:noMultiLvlLbl val="0"/>
      </c:catAx>
      <c:valAx>
        <c:axId val="4592517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Rupees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98868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rtl="0">
              <a:defRPr lang="en-US" sz="1600" b="1" i="1" u="none" strike="noStrike" kern="1200" spc="0" baseline="0">
                <a:solidFill>
                  <a:sysClr val="windowText" lastClr="000000">
                    <a:lumMod val="65000"/>
                    <a:lumOff val="35000"/>
                  </a:sysClr>
                </a:solidFill>
                <a:latin typeface="+mn-lt"/>
                <a:ea typeface="+mn-ea"/>
                <a:cs typeface="+mn-cs"/>
              </a:defRPr>
            </a:pPr>
            <a:r>
              <a:rPr lang="en-US" sz="1600" b="1" i="1" u="none" strike="noStrike" kern="1200" baseline="0">
                <a:solidFill>
                  <a:sysClr val="windowText" lastClr="000000">
                    <a:lumMod val="65000"/>
                    <a:lumOff val="35000"/>
                  </a:sysClr>
                </a:solidFill>
                <a:latin typeface="+mn-lt"/>
                <a:ea typeface="+mn-ea"/>
                <a:cs typeface="+mn-cs"/>
              </a:rPr>
              <a:t>Weekly Wise Investment </a:t>
            </a:r>
          </a:p>
        </c:rich>
      </c:tx>
      <c:layout>
        <c:manualLayout>
          <c:xMode val="edge"/>
          <c:yMode val="edge"/>
          <c:x val="0.41609721358818391"/>
          <c:y val="4.4045020716188224E-2"/>
        </c:manualLayout>
      </c:layout>
      <c:overlay val="0"/>
      <c:spPr>
        <a:noFill/>
        <a:ln>
          <a:noFill/>
        </a:ln>
        <a:effectLst/>
      </c:spPr>
      <c:txPr>
        <a:bodyPr rot="0" spcFirstLastPara="1" vertOverflow="ellipsis" vert="horz" wrap="square" anchor="ctr" anchorCtr="1"/>
        <a:lstStyle/>
        <a:p>
          <a:pPr algn="ctr" rtl="0">
            <a:defRPr lang="en-US" sz="1600" b="1" i="1"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lineChart>
        <c:grouping val="standard"/>
        <c:varyColors val="0"/>
        <c:ser>
          <c:idx val="0"/>
          <c:order val="0"/>
          <c:tx>
            <c:strRef>
              <c:f>Investment!$C$1</c:f>
              <c:strCache>
                <c:ptCount val="1"/>
                <c:pt idx="0">
                  <c:v>Amount</c:v>
                </c:pt>
              </c:strCache>
            </c:strRef>
          </c:tx>
          <c:spPr>
            <a:ln w="28575" cap="rnd">
              <a:solidFill>
                <a:schemeClr val="accent1"/>
              </a:solidFill>
              <a:round/>
            </a:ln>
            <a:effectLst/>
          </c:spPr>
          <c:marker>
            <c:symbol val="none"/>
          </c:marker>
          <c:cat>
            <c:strRef>
              <c:extLst>
                <c:ext xmlns:c15="http://schemas.microsoft.com/office/drawing/2012/chart" uri="{02D57815-91ED-43cb-92C2-25804820EDAC}">
                  <c15:fullRef>
                    <c15:sqref>Investment!$A$2:$B$37</c15:sqref>
                  </c15:fullRef>
                  <c15:levelRef>
                    <c15:sqref>Investment!$A$2:$A$37</c15:sqref>
                  </c15:levelRef>
                </c:ext>
              </c:extLst>
              <c:f>Investment!$A$2:$A$37</c:f>
              <c:strCache>
                <c:ptCount val="36"/>
                <c:pt idx="0">
                  <c:v>week1</c:v>
                </c:pt>
                <c:pt idx="3">
                  <c:v>week2</c:v>
                </c:pt>
                <c:pt idx="6">
                  <c:v>week3</c:v>
                </c:pt>
                <c:pt idx="9">
                  <c:v>week4</c:v>
                </c:pt>
                <c:pt idx="12">
                  <c:v>week5</c:v>
                </c:pt>
                <c:pt idx="15">
                  <c:v>week6</c:v>
                </c:pt>
                <c:pt idx="18">
                  <c:v>week7</c:v>
                </c:pt>
                <c:pt idx="21">
                  <c:v>week8</c:v>
                </c:pt>
                <c:pt idx="24">
                  <c:v>week9</c:v>
                </c:pt>
                <c:pt idx="27">
                  <c:v>week10</c:v>
                </c:pt>
                <c:pt idx="30">
                  <c:v>week11</c:v>
                </c:pt>
                <c:pt idx="33">
                  <c:v>week12</c:v>
                </c:pt>
              </c:strCache>
            </c:strRef>
          </c:cat>
          <c:val>
            <c:numRef>
              <c:f>Investment!$C$2:$C$37</c:f>
              <c:numCache>
                <c:formatCode>General</c:formatCode>
                <c:ptCount val="36"/>
                <c:pt idx="0">
                  <c:v>2000</c:v>
                </c:pt>
                <c:pt idx="1">
                  <c:v>4000</c:v>
                </c:pt>
                <c:pt idx="2">
                  <c:v>2000</c:v>
                </c:pt>
                <c:pt idx="3">
                  <c:v>2000</c:v>
                </c:pt>
                <c:pt idx="4">
                  <c:v>2500</c:v>
                </c:pt>
                <c:pt idx="5">
                  <c:v>1000</c:v>
                </c:pt>
                <c:pt idx="6">
                  <c:v>2000</c:v>
                </c:pt>
                <c:pt idx="7">
                  <c:v>1500</c:v>
                </c:pt>
                <c:pt idx="8">
                  <c:v>4000</c:v>
                </c:pt>
                <c:pt idx="9">
                  <c:v>2000</c:v>
                </c:pt>
                <c:pt idx="10">
                  <c:v>2500</c:v>
                </c:pt>
                <c:pt idx="11">
                  <c:v>2000</c:v>
                </c:pt>
                <c:pt idx="12">
                  <c:v>2000</c:v>
                </c:pt>
                <c:pt idx="13">
                  <c:v>3500</c:v>
                </c:pt>
                <c:pt idx="14">
                  <c:v>1000</c:v>
                </c:pt>
                <c:pt idx="15">
                  <c:v>2000</c:v>
                </c:pt>
                <c:pt idx="16">
                  <c:v>800</c:v>
                </c:pt>
                <c:pt idx="17">
                  <c:v>1500</c:v>
                </c:pt>
                <c:pt idx="18">
                  <c:v>2000</c:v>
                </c:pt>
                <c:pt idx="19">
                  <c:v>2000</c:v>
                </c:pt>
                <c:pt idx="20">
                  <c:v>2000</c:v>
                </c:pt>
                <c:pt idx="21">
                  <c:v>2000</c:v>
                </c:pt>
                <c:pt idx="22">
                  <c:v>1500</c:v>
                </c:pt>
                <c:pt idx="23">
                  <c:v>2000</c:v>
                </c:pt>
                <c:pt idx="24">
                  <c:v>2000</c:v>
                </c:pt>
                <c:pt idx="25">
                  <c:v>1500</c:v>
                </c:pt>
                <c:pt idx="26">
                  <c:v>3000</c:v>
                </c:pt>
                <c:pt idx="27">
                  <c:v>2000</c:v>
                </c:pt>
                <c:pt idx="28">
                  <c:v>1000</c:v>
                </c:pt>
                <c:pt idx="29">
                  <c:v>1500</c:v>
                </c:pt>
                <c:pt idx="30">
                  <c:v>2000</c:v>
                </c:pt>
                <c:pt idx="31">
                  <c:v>2500</c:v>
                </c:pt>
                <c:pt idx="32">
                  <c:v>1200</c:v>
                </c:pt>
                <c:pt idx="33">
                  <c:v>2000</c:v>
                </c:pt>
                <c:pt idx="34">
                  <c:v>1000</c:v>
                </c:pt>
                <c:pt idx="35">
                  <c:v>2000</c:v>
                </c:pt>
              </c:numCache>
            </c:numRef>
          </c:val>
          <c:smooth val="0"/>
          <c:extLst>
            <c:ext xmlns:c16="http://schemas.microsoft.com/office/drawing/2014/chart" uri="{C3380CC4-5D6E-409C-BE32-E72D297353CC}">
              <c16:uniqueId val="{00000000-77BF-4B32-8431-F8D1D7DC6F4D}"/>
            </c:ext>
          </c:extLst>
        </c:ser>
        <c:ser>
          <c:idx val="1"/>
          <c:order val="1"/>
          <c:tx>
            <c:strRef>
              <c:f>Investment!$D$1</c:f>
              <c:strCache>
                <c:ptCount val="1"/>
                <c:pt idx="0">
                  <c:v>Weekly wise savings</c:v>
                </c:pt>
              </c:strCache>
            </c:strRef>
          </c:tx>
          <c:spPr>
            <a:ln w="28575" cap="rnd">
              <a:solidFill>
                <a:schemeClr val="accent2"/>
              </a:solidFill>
              <a:round/>
            </a:ln>
            <a:effectLst/>
          </c:spPr>
          <c:marker>
            <c:symbol val="none"/>
          </c:marker>
          <c:cat>
            <c:strRef>
              <c:extLst>
                <c:ext xmlns:c15="http://schemas.microsoft.com/office/drawing/2012/chart" uri="{02D57815-91ED-43cb-92C2-25804820EDAC}">
                  <c15:fullRef>
                    <c15:sqref>Investment!$A$2:$B$37</c15:sqref>
                  </c15:fullRef>
                  <c15:levelRef>
                    <c15:sqref>Investment!$A$2:$A$37</c15:sqref>
                  </c15:levelRef>
                </c:ext>
              </c:extLst>
              <c:f>Investment!$A$2:$A$37</c:f>
              <c:strCache>
                <c:ptCount val="36"/>
                <c:pt idx="0">
                  <c:v>week1</c:v>
                </c:pt>
                <c:pt idx="3">
                  <c:v>week2</c:v>
                </c:pt>
                <c:pt idx="6">
                  <c:v>week3</c:v>
                </c:pt>
                <c:pt idx="9">
                  <c:v>week4</c:v>
                </c:pt>
                <c:pt idx="12">
                  <c:v>week5</c:v>
                </c:pt>
                <c:pt idx="15">
                  <c:v>week6</c:v>
                </c:pt>
                <c:pt idx="18">
                  <c:v>week7</c:v>
                </c:pt>
                <c:pt idx="21">
                  <c:v>week8</c:v>
                </c:pt>
                <c:pt idx="24">
                  <c:v>week9</c:v>
                </c:pt>
                <c:pt idx="27">
                  <c:v>week10</c:v>
                </c:pt>
                <c:pt idx="30">
                  <c:v>week11</c:v>
                </c:pt>
                <c:pt idx="33">
                  <c:v>week12</c:v>
                </c:pt>
              </c:strCache>
            </c:strRef>
          </c:cat>
          <c:val>
            <c:numRef>
              <c:f>Investment!$D$2:$D$37</c:f>
              <c:numCache>
                <c:formatCode>General</c:formatCode>
                <c:ptCount val="36"/>
                <c:pt idx="2">
                  <c:v>8000</c:v>
                </c:pt>
                <c:pt idx="5">
                  <c:v>5500</c:v>
                </c:pt>
                <c:pt idx="8">
                  <c:v>7500</c:v>
                </c:pt>
                <c:pt idx="11">
                  <c:v>6500</c:v>
                </c:pt>
                <c:pt idx="14">
                  <c:v>6500</c:v>
                </c:pt>
                <c:pt idx="17">
                  <c:v>4300</c:v>
                </c:pt>
                <c:pt idx="20">
                  <c:v>6000</c:v>
                </c:pt>
                <c:pt idx="23">
                  <c:v>5500</c:v>
                </c:pt>
                <c:pt idx="26">
                  <c:v>6500</c:v>
                </c:pt>
                <c:pt idx="29">
                  <c:v>4500</c:v>
                </c:pt>
                <c:pt idx="32">
                  <c:v>5700</c:v>
                </c:pt>
                <c:pt idx="35">
                  <c:v>5000</c:v>
                </c:pt>
              </c:numCache>
            </c:numRef>
          </c:val>
          <c:smooth val="0"/>
          <c:extLst>
            <c:ext xmlns:c16="http://schemas.microsoft.com/office/drawing/2014/chart" uri="{C3380CC4-5D6E-409C-BE32-E72D297353CC}">
              <c16:uniqueId val="{00000001-77BF-4B32-8431-F8D1D7DC6F4D}"/>
            </c:ext>
          </c:extLst>
        </c:ser>
        <c:ser>
          <c:idx val="2"/>
          <c:order val="2"/>
          <c:tx>
            <c:strRef>
              <c:f>Investment!$E$1</c:f>
              <c:strCache>
                <c:ptCount val="1"/>
                <c:pt idx="0">
                  <c:v>Gram&amp;cyrpto</c:v>
                </c:pt>
              </c:strCache>
            </c:strRef>
          </c:tx>
          <c:spPr>
            <a:ln w="28575" cap="rnd">
              <a:solidFill>
                <a:schemeClr val="accent3"/>
              </a:solidFill>
              <a:round/>
            </a:ln>
            <a:effectLst/>
          </c:spPr>
          <c:marker>
            <c:symbol val="none"/>
          </c:marker>
          <c:cat>
            <c:strRef>
              <c:extLst>
                <c:ext xmlns:c15="http://schemas.microsoft.com/office/drawing/2012/chart" uri="{02D57815-91ED-43cb-92C2-25804820EDAC}">
                  <c15:fullRef>
                    <c15:sqref>Investment!$A$2:$B$37</c15:sqref>
                  </c15:fullRef>
                  <c15:levelRef>
                    <c15:sqref>Investment!$A$2:$A$37</c15:sqref>
                  </c15:levelRef>
                </c:ext>
              </c:extLst>
              <c:f>Investment!$A$2:$A$37</c:f>
              <c:strCache>
                <c:ptCount val="36"/>
                <c:pt idx="0">
                  <c:v>week1</c:v>
                </c:pt>
                <c:pt idx="3">
                  <c:v>week2</c:v>
                </c:pt>
                <c:pt idx="6">
                  <c:v>week3</c:v>
                </c:pt>
                <c:pt idx="9">
                  <c:v>week4</c:v>
                </c:pt>
                <c:pt idx="12">
                  <c:v>week5</c:v>
                </c:pt>
                <c:pt idx="15">
                  <c:v>week6</c:v>
                </c:pt>
                <c:pt idx="18">
                  <c:v>week7</c:v>
                </c:pt>
                <c:pt idx="21">
                  <c:v>week8</c:v>
                </c:pt>
                <c:pt idx="24">
                  <c:v>week9</c:v>
                </c:pt>
                <c:pt idx="27">
                  <c:v>week10</c:v>
                </c:pt>
                <c:pt idx="30">
                  <c:v>week11</c:v>
                </c:pt>
                <c:pt idx="33">
                  <c:v>week12</c:v>
                </c:pt>
              </c:strCache>
            </c:strRef>
          </c:cat>
          <c:val>
            <c:numRef>
              <c:f>Investment!$E$2:$E$37</c:f>
              <c:numCache>
                <c:formatCode>General</c:formatCode>
                <c:ptCount val="36"/>
                <c:pt idx="0">
                  <c:v>0.42599999999999999</c:v>
                </c:pt>
                <c:pt idx="2">
                  <c:v>4</c:v>
                </c:pt>
                <c:pt idx="3">
                  <c:v>0.42599999999999999</c:v>
                </c:pt>
                <c:pt idx="5">
                  <c:v>3.58</c:v>
                </c:pt>
                <c:pt idx="6">
                  <c:v>0.38300000000000001</c:v>
                </c:pt>
                <c:pt idx="8">
                  <c:v>3.6190000000000002</c:v>
                </c:pt>
                <c:pt idx="9">
                  <c:v>0.38300000000000001</c:v>
                </c:pt>
                <c:pt idx="11">
                  <c:v>3.5</c:v>
                </c:pt>
                <c:pt idx="12">
                  <c:v>0.35899999999999999</c:v>
                </c:pt>
                <c:pt idx="14">
                  <c:v>5</c:v>
                </c:pt>
                <c:pt idx="15">
                  <c:v>0.35899999999999999</c:v>
                </c:pt>
                <c:pt idx="17">
                  <c:v>3.5</c:v>
                </c:pt>
                <c:pt idx="18">
                  <c:v>0.34799999999999998</c:v>
                </c:pt>
                <c:pt idx="20">
                  <c:v>4.58</c:v>
                </c:pt>
                <c:pt idx="21">
                  <c:v>0.35599999999999998</c:v>
                </c:pt>
                <c:pt idx="23">
                  <c:v>5</c:v>
                </c:pt>
                <c:pt idx="24">
                  <c:v>0.32400000000000001</c:v>
                </c:pt>
                <c:pt idx="26">
                  <c:v>6</c:v>
                </c:pt>
                <c:pt idx="27">
                  <c:v>0.316</c:v>
                </c:pt>
                <c:pt idx="29">
                  <c:v>6</c:v>
                </c:pt>
                <c:pt idx="30">
                  <c:v>0.314</c:v>
                </c:pt>
                <c:pt idx="32">
                  <c:v>6.5</c:v>
                </c:pt>
                <c:pt idx="33">
                  <c:v>0.31</c:v>
                </c:pt>
                <c:pt idx="35">
                  <c:v>5.4</c:v>
                </c:pt>
              </c:numCache>
            </c:numRef>
          </c:val>
          <c:smooth val="0"/>
          <c:extLst>
            <c:ext xmlns:c16="http://schemas.microsoft.com/office/drawing/2014/chart" uri="{C3380CC4-5D6E-409C-BE32-E72D297353CC}">
              <c16:uniqueId val="{00000002-77BF-4B32-8431-F8D1D7DC6F4D}"/>
            </c:ext>
          </c:extLst>
        </c:ser>
        <c:ser>
          <c:idx val="3"/>
          <c:order val="3"/>
          <c:tx>
            <c:strRef>
              <c:f>Investment!$F$1</c:f>
              <c:strCache>
                <c:ptCount val="1"/>
                <c:pt idx="0">
                  <c:v>Each Item Rate</c:v>
                </c:pt>
              </c:strCache>
            </c:strRef>
          </c:tx>
          <c:spPr>
            <a:ln w="28575" cap="rnd">
              <a:solidFill>
                <a:schemeClr val="accent4"/>
              </a:solidFill>
              <a:round/>
            </a:ln>
            <a:effectLst/>
          </c:spPr>
          <c:marker>
            <c:symbol val="none"/>
          </c:marker>
          <c:cat>
            <c:strRef>
              <c:extLst>
                <c:ext xmlns:c15="http://schemas.microsoft.com/office/drawing/2012/chart" uri="{02D57815-91ED-43cb-92C2-25804820EDAC}">
                  <c15:fullRef>
                    <c15:sqref>Investment!$A$2:$B$37</c15:sqref>
                  </c15:fullRef>
                  <c15:levelRef>
                    <c15:sqref>Investment!$A$2:$A$37</c15:sqref>
                  </c15:levelRef>
                </c:ext>
              </c:extLst>
              <c:f>Investment!$A$2:$A$37</c:f>
              <c:strCache>
                <c:ptCount val="36"/>
                <c:pt idx="0">
                  <c:v>week1</c:v>
                </c:pt>
                <c:pt idx="3">
                  <c:v>week2</c:v>
                </c:pt>
                <c:pt idx="6">
                  <c:v>week3</c:v>
                </c:pt>
                <c:pt idx="9">
                  <c:v>week4</c:v>
                </c:pt>
                <c:pt idx="12">
                  <c:v>week5</c:v>
                </c:pt>
                <c:pt idx="15">
                  <c:v>week6</c:v>
                </c:pt>
                <c:pt idx="18">
                  <c:v>week7</c:v>
                </c:pt>
                <c:pt idx="21">
                  <c:v>week8</c:v>
                </c:pt>
                <c:pt idx="24">
                  <c:v>week9</c:v>
                </c:pt>
                <c:pt idx="27">
                  <c:v>week10</c:v>
                </c:pt>
                <c:pt idx="30">
                  <c:v>week11</c:v>
                </c:pt>
                <c:pt idx="33">
                  <c:v>week12</c:v>
                </c:pt>
              </c:strCache>
            </c:strRef>
          </c:cat>
          <c:val>
            <c:numRef>
              <c:f>Investment!$F$2:$F$37</c:f>
              <c:numCache>
                <c:formatCode>General</c:formatCode>
                <c:ptCount val="36"/>
                <c:pt idx="0">
                  <c:v>4690</c:v>
                </c:pt>
                <c:pt idx="2">
                  <c:v>500</c:v>
                </c:pt>
                <c:pt idx="3">
                  <c:v>4690</c:v>
                </c:pt>
                <c:pt idx="5">
                  <c:v>279.32960893854749</c:v>
                </c:pt>
                <c:pt idx="6">
                  <c:v>5221.9321148825065</c:v>
                </c:pt>
                <c:pt idx="8">
                  <c:v>1105.2777010223817</c:v>
                </c:pt>
                <c:pt idx="9">
                  <c:v>5221.9321148825065</c:v>
                </c:pt>
                <c:pt idx="11">
                  <c:v>571.42857142857144</c:v>
                </c:pt>
                <c:pt idx="12">
                  <c:v>5571.030640668524</c:v>
                </c:pt>
                <c:pt idx="14">
                  <c:v>200</c:v>
                </c:pt>
                <c:pt idx="15">
                  <c:v>5571.030640668524</c:v>
                </c:pt>
                <c:pt idx="17">
                  <c:v>428.57142857142856</c:v>
                </c:pt>
                <c:pt idx="18">
                  <c:v>5747.1264367816093</c:v>
                </c:pt>
                <c:pt idx="20">
                  <c:v>436.68122270742356</c:v>
                </c:pt>
                <c:pt idx="21">
                  <c:v>5617.9775280898875</c:v>
                </c:pt>
                <c:pt idx="23">
                  <c:v>400</c:v>
                </c:pt>
                <c:pt idx="24">
                  <c:v>6172.8395061728397</c:v>
                </c:pt>
                <c:pt idx="26">
                  <c:v>500</c:v>
                </c:pt>
                <c:pt idx="27">
                  <c:v>6329.1139240506327</c:v>
                </c:pt>
                <c:pt idx="29">
                  <c:v>250</c:v>
                </c:pt>
                <c:pt idx="30">
                  <c:v>6369.4267515923566</c:v>
                </c:pt>
                <c:pt idx="32">
                  <c:v>184.61538461538461</c:v>
                </c:pt>
                <c:pt idx="33">
                  <c:v>6451.6129032258068</c:v>
                </c:pt>
                <c:pt idx="35">
                  <c:v>370.37037037037032</c:v>
                </c:pt>
              </c:numCache>
            </c:numRef>
          </c:val>
          <c:smooth val="0"/>
          <c:extLst>
            <c:ext xmlns:c16="http://schemas.microsoft.com/office/drawing/2014/chart" uri="{C3380CC4-5D6E-409C-BE32-E72D297353CC}">
              <c16:uniqueId val="{00000003-77BF-4B32-8431-F8D1D7DC6F4D}"/>
            </c:ext>
          </c:extLst>
        </c:ser>
        <c:dLbls>
          <c:showLegendKey val="0"/>
          <c:showVal val="0"/>
          <c:showCatName val="0"/>
          <c:showSerName val="0"/>
          <c:showPercent val="0"/>
          <c:showBubbleSize val="0"/>
        </c:dLbls>
        <c:smooth val="0"/>
        <c:axId val="832783240"/>
        <c:axId val="832779368"/>
      </c:lineChart>
      <c:catAx>
        <c:axId val="8327832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2779368"/>
        <c:crosses val="autoZero"/>
        <c:auto val="1"/>
        <c:lblAlgn val="ctr"/>
        <c:lblOffset val="100"/>
        <c:noMultiLvlLbl val="0"/>
      </c:catAx>
      <c:valAx>
        <c:axId val="8327793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278324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1" u="none" strike="noStrike" kern="1200" baseline="0">
                <a:solidFill>
                  <a:schemeClr val="dk1">
                    <a:lumMod val="75000"/>
                    <a:lumOff val="25000"/>
                  </a:schemeClr>
                </a:solidFill>
                <a:latin typeface="Times New Roman" panose="02020603050405020304" pitchFamily="18" charset="0"/>
                <a:ea typeface="+mn-ea"/>
                <a:cs typeface="Times New Roman" panose="02020603050405020304" pitchFamily="18" charset="0"/>
              </a:defRPr>
            </a:pPr>
            <a:r>
              <a:rPr lang="en-US" sz="1200" i="1">
                <a:latin typeface="Times New Roman" panose="02020603050405020304" pitchFamily="18" charset="0"/>
                <a:cs typeface="Times New Roman" panose="02020603050405020304" pitchFamily="18" charset="0"/>
              </a:rPr>
              <a:t>Item</a:t>
            </a:r>
            <a:r>
              <a:rPr lang="en-US" sz="1200" i="1" baseline="0">
                <a:latin typeface="Times New Roman" panose="02020603050405020304" pitchFamily="18" charset="0"/>
                <a:cs typeface="Times New Roman" panose="02020603050405020304" pitchFamily="18" charset="0"/>
              </a:rPr>
              <a:t> wise Income</a:t>
            </a:r>
            <a:endParaRPr lang="en-US" sz="1200" i="1">
              <a:latin typeface="Times New Roman" panose="02020603050405020304" pitchFamily="18" charset="0"/>
              <a:cs typeface="Times New Roman" panose="02020603050405020304" pitchFamily="18" charset="0"/>
            </a:endParaRPr>
          </a:p>
        </c:rich>
      </c:tx>
      <c:layout>
        <c:manualLayout>
          <c:xMode val="edge"/>
          <c:yMode val="edge"/>
          <c:x val="0.27583527411186276"/>
          <c:y val="1.9122813268250976E-2"/>
        </c:manualLayout>
      </c:layout>
      <c:overlay val="0"/>
      <c:spPr>
        <a:noFill/>
        <a:ln>
          <a:noFill/>
        </a:ln>
        <a:effectLst/>
      </c:spPr>
      <c:txPr>
        <a:bodyPr rot="0" spcFirstLastPara="1" vertOverflow="ellipsis" vert="horz" wrap="square" anchor="ctr" anchorCtr="1"/>
        <a:lstStyle/>
        <a:p>
          <a:pPr>
            <a:defRPr sz="1200" b="1" i="1" u="none" strike="noStrike" kern="1200" baseline="0">
              <a:solidFill>
                <a:schemeClr val="dk1">
                  <a:lumMod val="75000"/>
                  <a:lumOff val="25000"/>
                </a:schemeClr>
              </a:solidFill>
              <a:latin typeface="Times New Roman" panose="02020603050405020304" pitchFamily="18" charset="0"/>
              <a:ea typeface="+mn-ea"/>
              <a:cs typeface="Times New Roman" panose="02020603050405020304" pitchFamily="18" charset="0"/>
            </a:defRPr>
          </a:pPr>
          <a:endParaRPr lang="en-US"/>
        </a:p>
      </c:txPr>
    </c:title>
    <c:autoTitleDeleted val="0"/>
    <c:plotArea>
      <c:layout/>
      <c:pieChart>
        <c:varyColors val="1"/>
        <c:ser>
          <c:idx val="0"/>
          <c:order val="0"/>
          <c:tx>
            <c:strRef>
              <c:f>Income!$B$25</c:f>
              <c:strCache>
                <c:ptCount val="1"/>
                <c:pt idx="0">
                  <c:v>Amount</c:v>
                </c:pt>
              </c:strCache>
            </c:strRef>
          </c:tx>
          <c:explosion val="13"/>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BD47-45AE-9679-BB61E1A161B3}"/>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BD47-45AE-9679-BB61E1A161B3}"/>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BD47-45AE-9679-BB61E1A161B3}"/>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BD47-45AE-9679-BB61E1A161B3}"/>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s>
          <c:cat>
            <c:strRef>
              <c:f>Income!$A$26:$A$29</c:f>
              <c:strCache>
                <c:ptCount val="4"/>
                <c:pt idx="0">
                  <c:v>Oleander</c:v>
                </c:pt>
                <c:pt idx="1">
                  <c:v>Jasmine</c:v>
                </c:pt>
                <c:pt idx="2">
                  <c:v>Milk</c:v>
                </c:pt>
                <c:pt idx="3">
                  <c:v>Banty</c:v>
                </c:pt>
              </c:strCache>
            </c:strRef>
          </c:cat>
          <c:val>
            <c:numRef>
              <c:f>Income!$B$26:$B$29</c:f>
              <c:numCache>
                <c:formatCode>General</c:formatCode>
                <c:ptCount val="4"/>
                <c:pt idx="0">
                  <c:v>46990</c:v>
                </c:pt>
                <c:pt idx="1">
                  <c:v>67566.5</c:v>
                </c:pt>
                <c:pt idx="2">
                  <c:v>100231</c:v>
                </c:pt>
                <c:pt idx="3">
                  <c:v>52800</c:v>
                </c:pt>
              </c:numCache>
            </c:numRef>
          </c:val>
          <c:extLst>
            <c:ext xmlns:c16="http://schemas.microsoft.com/office/drawing/2014/chart" uri="{C3380CC4-5D6E-409C-BE32-E72D297353CC}">
              <c16:uniqueId val="{00000000-F615-4EDD-BB5A-9D990E03C80E}"/>
            </c:ext>
          </c:extLst>
        </c:ser>
        <c:dLbls>
          <c:showLegendKey val="0"/>
          <c:showVal val="0"/>
          <c:showCatName val="0"/>
          <c:showSerName val="0"/>
          <c:showPercent val="0"/>
          <c:showBubbleSize val="0"/>
          <c:showLeaderLines val="0"/>
        </c:dLbls>
        <c:firstSliceAng val="0"/>
      </c:pieChart>
      <c:spPr>
        <a:noFill/>
        <a:ln>
          <a:noFill/>
        </a:ln>
        <a:effectLst/>
      </c:spPr>
    </c:plotArea>
    <c:legend>
      <c:legendPos val="r"/>
      <c:layout>
        <c:manualLayout>
          <c:xMode val="edge"/>
          <c:yMode val="edge"/>
          <c:x val="0.84039606637153186"/>
          <c:y val="0.32353701401359919"/>
          <c:w val="0.1424365516542192"/>
          <c:h val="0.3684228945066077"/>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Item Wise Expense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9.2665016872890887E-2"/>
          <c:y val="0.24453164634556382"/>
          <c:w val="0.90733498312710914"/>
          <c:h val="0.58592114225747916"/>
        </c:manualLayout>
      </c:layout>
      <c:lineChart>
        <c:grouping val="standard"/>
        <c:varyColors val="0"/>
        <c:ser>
          <c:idx val="0"/>
          <c:order val="0"/>
          <c:tx>
            <c:strRef>
              <c:f>Expense!$M$4</c:f>
              <c:strCache>
                <c:ptCount val="1"/>
                <c:pt idx="0">
                  <c:v>Rupees</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dLbls>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Expense!$L$5:$L$12</c:f>
              <c:strCache>
                <c:ptCount val="8"/>
                <c:pt idx="0">
                  <c:v>Agri</c:v>
                </c:pt>
                <c:pt idx="1">
                  <c:v>Education</c:v>
                </c:pt>
                <c:pt idx="2">
                  <c:v>Dairy</c:v>
                </c:pt>
                <c:pt idx="3">
                  <c:v>Vechicle</c:v>
                </c:pt>
                <c:pt idx="4">
                  <c:v>Gift</c:v>
                </c:pt>
                <c:pt idx="5">
                  <c:v>Other expenditure</c:v>
                </c:pt>
                <c:pt idx="6">
                  <c:v>Horticulture</c:v>
                </c:pt>
                <c:pt idx="7">
                  <c:v>Food</c:v>
                </c:pt>
              </c:strCache>
            </c:strRef>
          </c:cat>
          <c:val>
            <c:numRef>
              <c:f>Expense!$M$5:$M$13</c:f>
              <c:numCache>
                <c:formatCode>General</c:formatCode>
                <c:ptCount val="9"/>
                <c:pt idx="0">
                  <c:v>36095</c:v>
                </c:pt>
                <c:pt idx="1">
                  <c:v>7250</c:v>
                </c:pt>
                <c:pt idx="2">
                  <c:v>43670</c:v>
                </c:pt>
                <c:pt idx="3">
                  <c:v>19400</c:v>
                </c:pt>
                <c:pt idx="4">
                  <c:v>5000</c:v>
                </c:pt>
                <c:pt idx="5">
                  <c:v>36900</c:v>
                </c:pt>
                <c:pt idx="6">
                  <c:v>6545</c:v>
                </c:pt>
                <c:pt idx="7">
                  <c:v>31891</c:v>
                </c:pt>
              </c:numCache>
            </c:numRef>
          </c:val>
          <c:smooth val="0"/>
          <c:extLst>
            <c:ext xmlns:c16="http://schemas.microsoft.com/office/drawing/2014/chart" uri="{C3380CC4-5D6E-409C-BE32-E72D297353CC}">
              <c16:uniqueId val="{00000000-3C89-4982-860A-82771367BAD0}"/>
            </c:ext>
          </c:extLst>
        </c:ser>
        <c:dLbls>
          <c:dLblPos val="ctr"/>
          <c:showLegendKey val="0"/>
          <c:showVal val="1"/>
          <c:showCatName val="0"/>
          <c:showSerName val="0"/>
          <c:showPercent val="0"/>
          <c:showBubbleSize val="0"/>
        </c:dLbls>
        <c:smooth val="0"/>
        <c:axId val="517357096"/>
        <c:axId val="517353928"/>
      </c:lineChart>
      <c:catAx>
        <c:axId val="517357096"/>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Item</a:t>
                </a:r>
              </a:p>
            </c:rich>
          </c:tx>
          <c:layout>
            <c:manualLayout>
              <c:xMode val="edge"/>
              <c:yMode val="edge"/>
              <c:x val="0.48637891746421436"/>
              <c:y val="0.9187506604568095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517353928"/>
        <c:crosses val="autoZero"/>
        <c:auto val="1"/>
        <c:lblAlgn val="ctr"/>
        <c:lblOffset val="100"/>
        <c:noMultiLvlLbl val="0"/>
      </c:catAx>
      <c:valAx>
        <c:axId val="5173539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Rupees</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5173570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1" i="1" u="none" strike="noStrike" kern="1200" spc="0" baseline="0">
                <a:solidFill>
                  <a:schemeClr val="tx1">
                    <a:lumMod val="65000"/>
                    <a:lumOff val="35000"/>
                  </a:schemeClr>
                </a:solidFill>
                <a:latin typeface="+mn-lt"/>
                <a:ea typeface="+mn-ea"/>
                <a:cs typeface="+mn-cs"/>
              </a:defRPr>
            </a:pPr>
            <a:r>
              <a:rPr lang="en-US" sz="1100" b="1" i="1"/>
              <a:t>Weekly</a:t>
            </a:r>
            <a:r>
              <a:rPr lang="en-US" sz="1100" b="1" i="1" baseline="0"/>
              <a:t> Wise Investment</a:t>
            </a:r>
            <a:r>
              <a:rPr lang="en-US" sz="1100" b="1" i="1"/>
              <a:t> </a:t>
            </a:r>
          </a:p>
        </c:rich>
      </c:tx>
      <c:layout>
        <c:manualLayout>
          <c:xMode val="edge"/>
          <c:yMode val="edge"/>
          <c:x val="0.41609721358818391"/>
          <c:y val="4.4045020716188224E-2"/>
        </c:manualLayout>
      </c:layout>
      <c:overlay val="0"/>
      <c:spPr>
        <a:noFill/>
        <a:ln>
          <a:noFill/>
        </a:ln>
        <a:effectLst/>
      </c:spPr>
      <c:txPr>
        <a:bodyPr rot="0" spcFirstLastPara="1" vertOverflow="ellipsis" vert="horz" wrap="square" anchor="ctr" anchorCtr="1"/>
        <a:lstStyle/>
        <a:p>
          <a:pPr>
            <a:defRPr sz="1100" b="1" i="1"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Investment!$C$1</c:f>
              <c:strCache>
                <c:ptCount val="1"/>
                <c:pt idx="0">
                  <c:v>Amount</c:v>
                </c:pt>
              </c:strCache>
            </c:strRef>
          </c:tx>
          <c:spPr>
            <a:ln w="28575" cap="rnd">
              <a:solidFill>
                <a:schemeClr val="accent1"/>
              </a:solidFill>
              <a:round/>
            </a:ln>
            <a:effectLst/>
          </c:spPr>
          <c:marker>
            <c:symbol val="none"/>
          </c:marker>
          <c:cat>
            <c:strRef>
              <c:extLst>
                <c:ext xmlns:c15="http://schemas.microsoft.com/office/drawing/2012/chart" uri="{02D57815-91ED-43cb-92C2-25804820EDAC}">
                  <c15:fullRef>
                    <c15:sqref>Investment!$A$2:$B$37</c15:sqref>
                  </c15:fullRef>
                  <c15:levelRef>
                    <c15:sqref>Investment!$A$2:$A$37</c15:sqref>
                  </c15:levelRef>
                </c:ext>
              </c:extLst>
              <c:f>Investment!$A$2:$A$37</c:f>
              <c:strCache>
                <c:ptCount val="36"/>
                <c:pt idx="0">
                  <c:v>week1</c:v>
                </c:pt>
                <c:pt idx="3">
                  <c:v>week2</c:v>
                </c:pt>
                <c:pt idx="6">
                  <c:v>week3</c:v>
                </c:pt>
                <c:pt idx="9">
                  <c:v>week4</c:v>
                </c:pt>
                <c:pt idx="12">
                  <c:v>week5</c:v>
                </c:pt>
                <c:pt idx="15">
                  <c:v>week6</c:v>
                </c:pt>
                <c:pt idx="18">
                  <c:v>week7</c:v>
                </c:pt>
                <c:pt idx="21">
                  <c:v>week8</c:v>
                </c:pt>
                <c:pt idx="24">
                  <c:v>week9</c:v>
                </c:pt>
                <c:pt idx="27">
                  <c:v>week10</c:v>
                </c:pt>
                <c:pt idx="30">
                  <c:v>week11</c:v>
                </c:pt>
                <c:pt idx="33">
                  <c:v>week12</c:v>
                </c:pt>
              </c:strCache>
            </c:strRef>
          </c:cat>
          <c:val>
            <c:numRef>
              <c:f>Investment!$C$2:$C$37</c:f>
              <c:numCache>
                <c:formatCode>General</c:formatCode>
                <c:ptCount val="36"/>
                <c:pt idx="0">
                  <c:v>2000</c:v>
                </c:pt>
                <c:pt idx="1">
                  <c:v>4000</c:v>
                </c:pt>
                <c:pt idx="2">
                  <c:v>2000</c:v>
                </c:pt>
                <c:pt idx="3">
                  <c:v>2000</c:v>
                </c:pt>
                <c:pt idx="4">
                  <c:v>2500</c:v>
                </c:pt>
                <c:pt idx="5">
                  <c:v>1000</c:v>
                </c:pt>
                <c:pt idx="6">
                  <c:v>2000</c:v>
                </c:pt>
                <c:pt idx="7">
                  <c:v>1500</c:v>
                </c:pt>
                <c:pt idx="8">
                  <c:v>4000</c:v>
                </c:pt>
                <c:pt idx="9">
                  <c:v>2000</c:v>
                </c:pt>
                <c:pt idx="10">
                  <c:v>2500</c:v>
                </c:pt>
                <c:pt idx="11">
                  <c:v>2000</c:v>
                </c:pt>
                <c:pt idx="12">
                  <c:v>2000</c:v>
                </c:pt>
                <c:pt idx="13">
                  <c:v>3500</c:v>
                </c:pt>
                <c:pt idx="14">
                  <c:v>1000</c:v>
                </c:pt>
                <c:pt idx="15">
                  <c:v>2000</c:v>
                </c:pt>
                <c:pt idx="16">
                  <c:v>800</c:v>
                </c:pt>
                <c:pt idx="17">
                  <c:v>1500</c:v>
                </c:pt>
                <c:pt idx="18">
                  <c:v>2000</c:v>
                </c:pt>
                <c:pt idx="19">
                  <c:v>2000</c:v>
                </c:pt>
                <c:pt idx="20">
                  <c:v>2000</c:v>
                </c:pt>
                <c:pt idx="21">
                  <c:v>2000</c:v>
                </c:pt>
                <c:pt idx="22">
                  <c:v>1500</c:v>
                </c:pt>
                <c:pt idx="23">
                  <c:v>2000</c:v>
                </c:pt>
                <c:pt idx="24">
                  <c:v>2000</c:v>
                </c:pt>
                <c:pt idx="25">
                  <c:v>1500</c:v>
                </c:pt>
                <c:pt idx="26">
                  <c:v>3000</c:v>
                </c:pt>
                <c:pt idx="27">
                  <c:v>2000</c:v>
                </c:pt>
                <c:pt idx="28">
                  <c:v>1000</c:v>
                </c:pt>
                <c:pt idx="29">
                  <c:v>1500</c:v>
                </c:pt>
                <c:pt idx="30">
                  <c:v>2000</c:v>
                </c:pt>
                <c:pt idx="31">
                  <c:v>2500</c:v>
                </c:pt>
                <c:pt idx="32">
                  <c:v>1200</c:v>
                </c:pt>
                <c:pt idx="33">
                  <c:v>2000</c:v>
                </c:pt>
                <c:pt idx="34">
                  <c:v>1000</c:v>
                </c:pt>
                <c:pt idx="35">
                  <c:v>2000</c:v>
                </c:pt>
              </c:numCache>
            </c:numRef>
          </c:val>
          <c:smooth val="0"/>
          <c:extLst>
            <c:ext xmlns:c16="http://schemas.microsoft.com/office/drawing/2014/chart" uri="{C3380CC4-5D6E-409C-BE32-E72D297353CC}">
              <c16:uniqueId val="{00000000-5393-4810-9F07-E0AA6B3615AA}"/>
            </c:ext>
          </c:extLst>
        </c:ser>
        <c:ser>
          <c:idx val="1"/>
          <c:order val="1"/>
          <c:tx>
            <c:strRef>
              <c:f>Investment!$D$1</c:f>
              <c:strCache>
                <c:ptCount val="1"/>
                <c:pt idx="0">
                  <c:v>Weekly wise savings</c:v>
                </c:pt>
              </c:strCache>
            </c:strRef>
          </c:tx>
          <c:spPr>
            <a:ln w="28575" cap="rnd">
              <a:solidFill>
                <a:schemeClr val="accent2"/>
              </a:solidFill>
              <a:round/>
            </a:ln>
            <a:effectLst/>
          </c:spPr>
          <c:marker>
            <c:symbol val="none"/>
          </c:marker>
          <c:cat>
            <c:strRef>
              <c:extLst>
                <c:ext xmlns:c15="http://schemas.microsoft.com/office/drawing/2012/chart" uri="{02D57815-91ED-43cb-92C2-25804820EDAC}">
                  <c15:fullRef>
                    <c15:sqref>Investment!$A$2:$B$37</c15:sqref>
                  </c15:fullRef>
                  <c15:levelRef>
                    <c15:sqref>Investment!$A$2:$A$37</c15:sqref>
                  </c15:levelRef>
                </c:ext>
              </c:extLst>
              <c:f>Investment!$A$2:$A$37</c:f>
              <c:strCache>
                <c:ptCount val="36"/>
                <c:pt idx="0">
                  <c:v>week1</c:v>
                </c:pt>
                <c:pt idx="3">
                  <c:v>week2</c:v>
                </c:pt>
                <c:pt idx="6">
                  <c:v>week3</c:v>
                </c:pt>
                <c:pt idx="9">
                  <c:v>week4</c:v>
                </c:pt>
                <c:pt idx="12">
                  <c:v>week5</c:v>
                </c:pt>
                <c:pt idx="15">
                  <c:v>week6</c:v>
                </c:pt>
                <c:pt idx="18">
                  <c:v>week7</c:v>
                </c:pt>
                <c:pt idx="21">
                  <c:v>week8</c:v>
                </c:pt>
                <c:pt idx="24">
                  <c:v>week9</c:v>
                </c:pt>
                <c:pt idx="27">
                  <c:v>week10</c:v>
                </c:pt>
                <c:pt idx="30">
                  <c:v>week11</c:v>
                </c:pt>
                <c:pt idx="33">
                  <c:v>week12</c:v>
                </c:pt>
              </c:strCache>
            </c:strRef>
          </c:cat>
          <c:val>
            <c:numRef>
              <c:f>Investment!$D$2:$D$37</c:f>
              <c:numCache>
                <c:formatCode>General</c:formatCode>
                <c:ptCount val="36"/>
                <c:pt idx="2">
                  <c:v>8000</c:v>
                </c:pt>
                <c:pt idx="5">
                  <c:v>5500</c:v>
                </c:pt>
                <c:pt idx="8">
                  <c:v>7500</c:v>
                </c:pt>
                <c:pt idx="11">
                  <c:v>6500</c:v>
                </c:pt>
                <c:pt idx="14">
                  <c:v>6500</c:v>
                </c:pt>
                <c:pt idx="17">
                  <c:v>4300</c:v>
                </c:pt>
                <c:pt idx="20">
                  <c:v>6000</c:v>
                </c:pt>
                <c:pt idx="23">
                  <c:v>5500</c:v>
                </c:pt>
                <c:pt idx="26">
                  <c:v>6500</c:v>
                </c:pt>
                <c:pt idx="29">
                  <c:v>4500</c:v>
                </c:pt>
                <c:pt idx="32">
                  <c:v>5700</c:v>
                </c:pt>
                <c:pt idx="35">
                  <c:v>5000</c:v>
                </c:pt>
              </c:numCache>
            </c:numRef>
          </c:val>
          <c:smooth val="0"/>
          <c:extLst>
            <c:ext xmlns:c16="http://schemas.microsoft.com/office/drawing/2014/chart" uri="{C3380CC4-5D6E-409C-BE32-E72D297353CC}">
              <c16:uniqueId val="{00000001-5393-4810-9F07-E0AA6B3615AA}"/>
            </c:ext>
          </c:extLst>
        </c:ser>
        <c:ser>
          <c:idx val="2"/>
          <c:order val="2"/>
          <c:tx>
            <c:strRef>
              <c:f>Investment!$E$1</c:f>
              <c:strCache>
                <c:ptCount val="1"/>
                <c:pt idx="0">
                  <c:v>Gram&amp;cyrpto</c:v>
                </c:pt>
              </c:strCache>
            </c:strRef>
          </c:tx>
          <c:spPr>
            <a:ln w="28575" cap="rnd">
              <a:solidFill>
                <a:schemeClr val="accent3"/>
              </a:solidFill>
              <a:round/>
            </a:ln>
            <a:effectLst/>
          </c:spPr>
          <c:marker>
            <c:symbol val="none"/>
          </c:marker>
          <c:cat>
            <c:strRef>
              <c:extLst>
                <c:ext xmlns:c15="http://schemas.microsoft.com/office/drawing/2012/chart" uri="{02D57815-91ED-43cb-92C2-25804820EDAC}">
                  <c15:fullRef>
                    <c15:sqref>Investment!$A$2:$B$37</c15:sqref>
                  </c15:fullRef>
                  <c15:levelRef>
                    <c15:sqref>Investment!$A$2:$A$37</c15:sqref>
                  </c15:levelRef>
                </c:ext>
              </c:extLst>
              <c:f>Investment!$A$2:$A$37</c:f>
              <c:strCache>
                <c:ptCount val="36"/>
                <c:pt idx="0">
                  <c:v>week1</c:v>
                </c:pt>
                <c:pt idx="3">
                  <c:v>week2</c:v>
                </c:pt>
                <c:pt idx="6">
                  <c:v>week3</c:v>
                </c:pt>
                <c:pt idx="9">
                  <c:v>week4</c:v>
                </c:pt>
                <c:pt idx="12">
                  <c:v>week5</c:v>
                </c:pt>
                <c:pt idx="15">
                  <c:v>week6</c:v>
                </c:pt>
                <c:pt idx="18">
                  <c:v>week7</c:v>
                </c:pt>
                <c:pt idx="21">
                  <c:v>week8</c:v>
                </c:pt>
                <c:pt idx="24">
                  <c:v>week9</c:v>
                </c:pt>
                <c:pt idx="27">
                  <c:v>week10</c:v>
                </c:pt>
                <c:pt idx="30">
                  <c:v>week11</c:v>
                </c:pt>
                <c:pt idx="33">
                  <c:v>week12</c:v>
                </c:pt>
              </c:strCache>
            </c:strRef>
          </c:cat>
          <c:val>
            <c:numRef>
              <c:f>Investment!$E$2:$E$37</c:f>
              <c:numCache>
                <c:formatCode>General</c:formatCode>
                <c:ptCount val="36"/>
                <c:pt idx="0">
                  <c:v>0.42599999999999999</c:v>
                </c:pt>
                <c:pt idx="2">
                  <c:v>4</c:v>
                </c:pt>
                <c:pt idx="3">
                  <c:v>0.42599999999999999</c:v>
                </c:pt>
                <c:pt idx="5">
                  <c:v>3.58</c:v>
                </c:pt>
                <c:pt idx="6">
                  <c:v>0.38300000000000001</c:v>
                </c:pt>
                <c:pt idx="8">
                  <c:v>3.6190000000000002</c:v>
                </c:pt>
                <c:pt idx="9">
                  <c:v>0.38300000000000001</c:v>
                </c:pt>
                <c:pt idx="11">
                  <c:v>3.5</c:v>
                </c:pt>
                <c:pt idx="12">
                  <c:v>0.35899999999999999</c:v>
                </c:pt>
                <c:pt idx="14">
                  <c:v>5</c:v>
                </c:pt>
                <c:pt idx="15">
                  <c:v>0.35899999999999999</c:v>
                </c:pt>
                <c:pt idx="17">
                  <c:v>3.5</c:v>
                </c:pt>
                <c:pt idx="18">
                  <c:v>0.34799999999999998</c:v>
                </c:pt>
                <c:pt idx="20">
                  <c:v>4.58</c:v>
                </c:pt>
                <c:pt idx="21">
                  <c:v>0.35599999999999998</c:v>
                </c:pt>
                <c:pt idx="23">
                  <c:v>5</c:v>
                </c:pt>
                <c:pt idx="24">
                  <c:v>0.32400000000000001</c:v>
                </c:pt>
                <c:pt idx="26">
                  <c:v>6</c:v>
                </c:pt>
                <c:pt idx="27">
                  <c:v>0.316</c:v>
                </c:pt>
                <c:pt idx="29">
                  <c:v>6</c:v>
                </c:pt>
                <c:pt idx="30">
                  <c:v>0.314</c:v>
                </c:pt>
                <c:pt idx="32">
                  <c:v>6.5</c:v>
                </c:pt>
                <c:pt idx="33">
                  <c:v>0.31</c:v>
                </c:pt>
                <c:pt idx="35">
                  <c:v>5.4</c:v>
                </c:pt>
              </c:numCache>
            </c:numRef>
          </c:val>
          <c:smooth val="0"/>
          <c:extLst>
            <c:ext xmlns:c16="http://schemas.microsoft.com/office/drawing/2014/chart" uri="{C3380CC4-5D6E-409C-BE32-E72D297353CC}">
              <c16:uniqueId val="{00000002-5393-4810-9F07-E0AA6B3615AA}"/>
            </c:ext>
          </c:extLst>
        </c:ser>
        <c:ser>
          <c:idx val="3"/>
          <c:order val="3"/>
          <c:tx>
            <c:strRef>
              <c:f>Investment!$F$1</c:f>
              <c:strCache>
                <c:ptCount val="1"/>
                <c:pt idx="0">
                  <c:v>Each Item Rate</c:v>
                </c:pt>
              </c:strCache>
            </c:strRef>
          </c:tx>
          <c:spPr>
            <a:ln w="28575" cap="rnd">
              <a:solidFill>
                <a:schemeClr val="accent4"/>
              </a:solidFill>
              <a:round/>
            </a:ln>
            <a:effectLst/>
          </c:spPr>
          <c:marker>
            <c:symbol val="none"/>
          </c:marker>
          <c:cat>
            <c:strRef>
              <c:extLst>
                <c:ext xmlns:c15="http://schemas.microsoft.com/office/drawing/2012/chart" uri="{02D57815-91ED-43cb-92C2-25804820EDAC}">
                  <c15:fullRef>
                    <c15:sqref>Investment!$A$2:$B$37</c15:sqref>
                  </c15:fullRef>
                  <c15:levelRef>
                    <c15:sqref>Investment!$A$2:$A$37</c15:sqref>
                  </c15:levelRef>
                </c:ext>
              </c:extLst>
              <c:f>Investment!$A$2:$A$37</c:f>
              <c:strCache>
                <c:ptCount val="36"/>
                <c:pt idx="0">
                  <c:v>week1</c:v>
                </c:pt>
                <c:pt idx="3">
                  <c:v>week2</c:v>
                </c:pt>
                <c:pt idx="6">
                  <c:v>week3</c:v>
                </c:pt>
                <c:pt idx="9">
                  <c:v>week4</c:v>
                </c:pt>
                <c:pt idx="12">
                  <c:v>week5</c:v>
                </c:pt>
                <c:pt idx="15">
                  <c:v>week6</c:v>
                </c:pt>
                <c:pt idx="18">
                  <c:v>week7</c:v>
                </c:pt>
                <c:pt idx="21">
                  <c:v>week8</c:v>
                </c:pt>
                <c:pt idx="24">
                  <c:v>week9</c:v>
                </c:pt>
                <c:pt idx="27">
                  <c:v>week10</c:v>
                </c:pt>
                <c:pt idx="30">
                  <c:v>week11</c:v>
                </c:pt>
                <c:pt idx="33">
                  <c:v>week12</c:v>
                </c:pt>
              </c:strCache>
            </c:strRef>
          </c:cat>
          <c:val>
            <c:numRef>
              <c:f>Investment!$F$2:$F$37</c:f>
              <c:numCache>
                <c:formatCode>General</c:formatCode>
                <c:ptCount val="36"/>
                <c:pt idx="0">
                  <c:v>4690</c:v>
                </c:pt>
                <c:pt idx="2">
                  <c:v>500</c:v>
                </c:pt>
                <c:pt idx="3">
                  <c:v>4690</c:v>
                </c:pt>
                <c:pt idx="5">
                  <c:v>279.32960893854749</c:v>
                </c:pt>
                <c:pt idx="6">
                  <c:v>5221.9321148825065</c:v>
                </c:pt>
                <c:pt idx="8">
                  <c:v>1105.2777010223817</c:v>
                </c:pt>
                <c:pt idx="9">
                  <c:v>5221.9321148825065</c:v>
                </c:pt>
                <c:pt idx="11">
                  <c:v>571.42857142857144</c:v>
                </c:pt>
                <c:pt idx="12">
                  <c:v>5571.030640668524</c:v>
                </c:pt>
                <c:pt idx="14">
                  <c:v>200</c:v>
                </c:pt>
                <c:pt idx="15">
                  <c:v>5571.030640668524</c:v>
                </c:pt>
                <c:pt idx="17">
                  <c:v>428.57142857142856</c:v>
                </c:pt>
                <c:pt idx="18">
                  <c:v>5747.1264367816093</c:v>
                </c:pt>
                <c:pt idx="20">
                  <c:v>436.68122270742356</c:v>
                </c:pt>
                <c:pt idx="21">
                  <c:v>5617.9775280898875</c:v>
                </c:pt>
                <c:pt idx="23">
                  <c:v>400</c:v>
                </c:pt>
                <c:pt idx="24">
                  <c:v>6172.8395061728397</c:v>
                </c:pt>
                <c:pt idx="26">
                  <c:v>500</c:v>
                </c:pt>
                <c:pt idx="27">
                  <c:v>6329.1139240506327</c:v>
                </c:pt>
                <c:pt idx="29">
                  <c:v>250</c:v>
                </c:pt>
                <c:pt idx="30">
                  <c:v>6369.4267515923566</c:v>
                </c:pt>
                <c:pt idx="32">
                  <c:v>184.61538461538461</c:v>
                </c:pt>
                <c:pt idx="33">
                  <c:v>6451.6129032258068</c:v>
                </c:pt>
                <c:pt idx="35">
                  <c:v>370.37037037037032</c:v>
                </c:pt>
              </c:numCache>
            </c:numRef>
          </c:val>
          <c:smooth val="0"/>
          <c:extLst>
            <c:ext xmlns:c16="http://schemas.microsoft.com/office/drawing/2014/chart" uri="{C3380CC4-5D6E-409C-BE32-E72D297353CC}">
              <c16:uniqueId val="{00000003-5393-4810-9F07-E0AA6B3615AA}"/>
            </c:ext>
          </c:extLst>
        </c:ser>
        <c:dLbls>
          <c:showLegendKey val="0"/>
          <c:showVal val="0"/>
          <c:showCatName val="0"/>
          <c:showSerName val="0"/>
          <c:showPercent val="0"/>
          <c:showBubbleSize val="0"/>
        </c:dLbls>
        <c:smooth val="0"/>
        <c:axId val="832783240"/>
        <c:axId val="832779368"/>
      </c:lineChart>
      <c:catAx>
        <c:axId val="8327832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2779368"/>
        <c:crosses val="autoZero"/>
        <c:auto val="1"/>
        <c:lblAlgn val="ctr"/>
        <c:lblOffset val="100"/>
        <c:noMultiLvlLbl val="0"/>
      </c:catAx>
      <c:valAx>
        <c:axId val="8327793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278324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1" u="none" strike="noStrike" kern="1200" spc="0" baseline="0">
                <a:solidFill>
                  <a:schemeClr val="tx1">
                    <a:lumMod val="65000"/>
                    <a:lumOff val="35000"/>
                  </a:schemeClr>
                </a:solidFill>
                <a:latin typeface="+mn-lt"/>
                <a:ea typeface="+mn-ea"/>
                <a:cs typeface="+mn-cs"/>
              </a:defRPr>
            </a:pPr>
            <a:r>
              <a:rPr lang="en-US" sz="1400" b="1" i="1"/>
              <a:t>Item</a:t>
            </a:r>
            <a:r>
              <a:rPr lang="en-US" sz="1400" b="1" i="1" baseline="0"/>
              <a:t> Wise Investment</a:t>
            </a:r>
            <a:endParaRPr lang="en-US" sz="1400" b="1" i="1"/>
          </a:p>
        </c:rich>
      </c:tx>
      <c:overlay val="0"/>
      <c:spPr>
        <a:noFill/>
        <a:ln>
          <a:noFill/>
        </a:ln>
        <a:effectLst/>
      </c:spPr>
      <c:txPr>
        <a:bodyPr rot="0" spcFirstLastPara="1" vertOverflow="ellipsis" vert="horz" wrap="square" anchor="ctr" anchorCtr="1"/>
        <a:lstStyle/>
        <a:p>
          <a:pPr>
            <a:defRPr sz="1400" b="1" i="1"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117-4D1C-9F85-7DD6F4ACBE0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2-F117-4D1C-9F85-7DD6F4ACBE0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3-F117-4D1C-9F85-7DD6F4ACBE04}"/>
              </c:ext>
            </c:extLst>
          </c:dPt>
          <c:dLbls>
            <c:dLbl>
              <c:idx val="0"/>
              <c:layout>
                <c:manualLayout>
                  <c:x val="6.1111111111111109E-2"/>
                  <c:y val="-6.0185185185185182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F117-4D1C-9F85-7DD6F4ACBE04}"/>
                </c:ext>
              </c:extLst>
            </c:dLbl>
            <c:dLbl>
              <c:idx val="1"/>
              <c:layout>
                <c:manualLayout>
                  <c:x val="0.15277777777777779"/>
                  <c:y val="6.0185185185185182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F117-4D1C-9F85-7DD6F4ACBE04}"/>
                </c:ext>
              </c:extLst>
            </c:dLbl>
            <c:dLbl>
              <c:idx val="2"/>
              <c:layout>
                <c:manualLayout>
                  <c:x val="-3.888888888888889E-2"/>
                  <c:y val="-0.1203703703703704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F117-4D1C-9F85-7DD6F4ACBE04}"/>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Investment!$H$2:$H$4</c:f>
              <c:strCache>
                <c:ptCount val="3"/>
                <c:pt idx="0">
                  <c:v>GOLD</c:v>
                </c:pt>
                <c:pt idx="1">
                  <c:v>Bank Savings</c:v>
                </c:pt>
                <c:pt idx="2">
                  <c:v>cyrpto</c:v>
                </c:pt>
              </c:strCache>
            </c:strRef>
          </c:cat>
          <c:val>
            <c:numRef>
              <c:f>Investment!$I$2:$I$4</c:f>
              <c:numCache>
                <c:formatCode>General</c:formatCode>
                <c:ptCount val="3"/>
                <c:pt idx="0">
                  <c:v>24000</c:v>
                </c:pt>
                <c:pt idx="1">
                  <c:v>24300</c:v>
                </c:pt>
                <c:pt idx="2">
                  <c:v>23200</c:v>
                </c:pt>
              </c:numCache>
            </c:numRef>
          </c:val>
          <c:extLst>
            <c:ext xmlns:c16="http://schemas.microsoft.com/office/drawing/2014/chart" uri="{C3380CC4-5D6E-409C-BE32-E72D297353CC}">
              <c16:uniqueId val="{00000000-F117-4D1C-9F85-7DD6F4ACBE04}"/>
            </c:ext>
          </c:extLst>
        </c:ser>
        <c:dLbls>
          <c:showLegendKey val="0"/>
          <c:showVal val="0"/>
          <c:showCatName val="0"/>
          <c:showSerName val="0"/>
          <c:showPercent val="0"/>
          <c:showBubbleSize val="0"/>
          <c:showLeaderLines val="0"/>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rtl="0">
              <a:defRPr lang="en-US" sz="1600" b="1" i="1" u="none" strike="noStrike" kern="1200" spc="0" baseline="0">
                <a:solidFill>
                  <a:sysClr val="windowText" lastClr="000000">
                    <a:lumMod val="65000"/>
                    <a:lumOff val="35000"/>
                  </a:sysClr>
                </a:solidFill>
                <a:latin typeface="+mn-lt"/>
                <a:ea typeface="+mn-ea"/>
                <a:cs typeface="+mn-cs"/>
              </a:defRPr>
            </a:pPr>
            <a:r>
              <a:rPr lang="en-US" sz="1600" b="1" i="1" u="none" strike="noStrike" kern="1200" baseline="0">
                <a:solidFill>
                  <a:sysClr val="windowText" lastClr="000000">
                    <a:lumMod val="65000"/>
                    <a:lumOff val="35000"/>
                  </a:sysClr>
                </a:solidFill>
                <a:latin typeface="+mn-lt"/>
                <a:ea typeface="+mn-ea"/>
                <a:cs typeface="+mn-cs"/>
              </a:rPr>
              <a:t>Weekly Wise Income</a:t>
            </a:r>
          </a:p>
        </c:rich>
      </c:tx>
      <c:overlay val="0"/>
      <c:spPr>
        <a:noFill/>
        <a:ln>
          <a:noFill/>
        </a:ln>
        <a:effectLst/>
      </c:spPr>
      <c:txPr>
        <a:bodyPr rot="0" spcFirstLastPara="1" vertOverflow="ellipsis" vert="horz" wrap="square" anchor="ctr" anchorCtr="1"/>
        <a:lstStyle/>
        <a:p>
          <a:pPr algn="ctr" rtl="0">
            <a:defRPr lang="en-US" sz="1600" b="1" i="1"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manualLayout>
          <c:layoutTarget val="inner"/>
          <c:xMode val="edge"/>
          <c:yMode val="edge"/>
          <c:x val="0.15303443498759173"/>
          <c:y val="0.12826480023330419"/>
          <c:w val="0.83858076665893366"/>
          <c:h val="0.60723709816677085"/>
        </c:manualLayout>
      </c:layout>
      <c:barChart>
        <c:barDir val="col"/>
        <c:grouping val="clustered"/>
        <c:varyColors val="0"/>
        <c:ser>
          <c:idx val="0"/>
          <c:order val="0"/>
          <c:tx>
            <c:strRef>
              <c:f>Income!$B$1</c:f>
              <c:strCache>
                <c:ptCount val="1"/>
                <c:pt idx="0">
                  <c:v>Oleander</c:v>
                </c:pt>
              </c:strCache>
            </c:strRef>
          </c:tx>
          <c:spPr>
            <a:solidFill>
              <a:schemeClr val="accent1"/>
            </a:solidFill>
            <a:ln>
              <a:noFill/>
            </a:ln>
            <a:effectLst/>
          </c:spPr>
          <c:invertIfNegative val="0"/>
          <c:dPt>
            <c:idx val="8"/>
            <c:invertIfNegative val="0"/>
            <c:bubble3D val="0"/>
            <c:spPr>
              <a:solidFill>
                <a:schemeClr val="accent1"/>
              </a:solidFill>
              <a:ln>
                <a:noFill/>
              </a:ln>
              <a:effectLst/>
            </c:spPr>
            <c:extLst>
              <c:ext xmlns:c16="http://schemas.microsoft.com/office/drawing/2014/chart" uri="{C3380CC4-5D6E-409C-BE32-E72D297353CC}">
                <c16:uniqueId val="{00000001-4173-465F-87B5-384EEFCCBF49}"/>
              </c:ext>
            </c:extLst>
          </c:dPt>
          <c:cat>
            <c:strRef>
              <c:f>Income!$A$2:$A$13</c:f>
              <c:strCache>
                <c:ptCount val="12"/>
                <c:pt idx="0">
                  <c:v>Week1</c:v>
                </c:pt>
                <c:pt idx="1">
                  <c:v>Week2</c:v>
                </c:pt>
                <c:pt idx="2">
                  <c:v>Week3</c:v>
                </c:pt>
                <c:pt idx="3">
                  <c:v>Week4</c:v>
                </c:pt>
                <c:pt idx="4">
                  <c:v>Week5</c:v>
                </c:pt>
                <c:pt idx="5">
                  <c:v>Week6</c:v>
                </c:pt>
                <c:pt idx="6">
                  <c:v>Week7</c:v>
                </c:pt>
                <c:pt idx="7">
                  <c:v>Week8</c:v>
                </c:pt>
                <c:pt idx="8">
                  <c:v>Week9</c:v>
                </c:pt>
                <c:pt idx="9">
                  <c:v>Week10</c:v>
                </c:pt>
                <c:pt idx="10">
                  <c:v>Week11</c:v>
                </c:pt>
                <c:pt idx="11">
                  <c:v>Week12</c:v>
                </c:pt>
              </c:strCache>
            </c:strRef>
          </c:cat>
          <c:val>
            <c:numRef>
              <c:f>Income!$B$2:$B$13</c:f>
              <c:numCache>
                <c:formatCode>General</c:formatCode>
                <c:ptCount val="12"/>
                <c:pt idx="0">
                  <c:v>3890</c:v>
                </c:pt>
                <c:pt idx="1">
                  <c:v>2222</c:v>
                </c:pt>
                <c:pt idx="2">
                  <c:v>1530</c:v>
                </c:pt>
                <c:pt idx="3">
                  <c:v>1390</c:v>
                </c:pt>
                <c:pt idx="4">
                  <c:v>1989</c:v>
                </c:pt>
                <c:pt idx="5">
                  <c:v>2089</c:v>
                </c:pt>
                <c:pt idx="6">
                  <c:v>2135</c:v>
                </c:pt>
                <c:pt idx="7">
                  <c:v>2105</c:v>
                </c:pt>
                <c:pt idx="8">
                  <c:v>2150</c:v>
                </c:pt>
                <c:pt idx="9">
                  <c:v>2120</c:v>
                </c:pt>
                <c:pt idx="10">
                  <c:v>2280</c:v>
                </c:pt>
                <c:pt idx="11">
                  <c:v>2390</c:v>
                </c:pt>
              </c:numCache>
            </c:numRef>
          </c:val>
          <c:extLst>
            <c:ext xmlns:c16="http://schemas.microsoft.com/office/drawing/2014/chart" uri="{C3380CC4-5D6E-409C-BE32-E72D297353CC}">
              <c16:uniqueId val="{00000000-AB4E-49BB-8511-6CDBAB8B4112}"/>
            </c:ext>
          </c:extLst>
        </c:ser>
        <c:ser>
          <c:idx val="1"/>
          <c:order val="1"/>
          <c:tx>
            <c:strRef>
              <c:f>Income!$C$1</c:f>
              <c:strCache>
                <c:ptCount val="1"/>
                <c:pt idx="0">
                  <c:v>Jasmine</c:v>
                </c:pt>
              </c:strCache>
            </c:strRef>
          </c:tx>
          <c:spPr>
            <a:solidFill>
              <a:schemeClr val="accent2"/>
            </a:solidFill>
            <a:ln>
              <a:noFill/>
            </a:ln>
            <a:effectLst/>
          </c:spPr>
          <c:invertIfNegative val="0"/>
          <c:dPt>
            <c:idx val="8"/>
            <c:invertIfNegative val="0"/>
            <c:bubble3D val="0"/>
            <c:spPr>
              <a:solidFill>
                <a:schemeClr val="accent2"/>
              </a:solidFill>
              <a:ln>
                <a:noFill/>
              </a:ln>
              <a:effectLst/>
            </c:spPr>
            <c:extLst>
              <c:ext xmlns:c16="http://schemas.microsoft.com/office/drawing/2014/chart" uri="{C3380CC4-5D6E-409C-BE32-E72D297353CC}">
                <c16:uniqueId val="{00000003-4173-465F-87B5-384EEFCCBF49}"/>
              </c:ext>
            </c:extLst>
          </c:dPt>
          <c:cat>
            <c:strRef>
              <c:f>Income!$A$2:$A$13</c:f>
              <c:strCache>
                <c:ptCount val="12"/>
                <c:pt idx="0">
                  <c:v>Week1</c:v>
                </c:pt>
                <c:pt idx="1">
                  <c:v>Week2</c:v>
                </c:pt>
                <c:pt idx="2">
                  <c:v>Week3</c:v>
                </c:pt>
                <c:pt idx="3">
                  <c:v>Week4</c:v>
                </c:pt>
                <c:pt idx="4">
                  <c:v>Week5</c:v>
                </c:pt>
                <c:pt idx="5">
                  <c:v>Week6</c:v>
                </c:pt>
                <c:pt idx="6">
                  <c:v>Week7</c:v>
                </c:pt>
                <c:pt idx="7">
                  <c:v>Week8</c:v>
                </c:pt>
                <c:pt idx="8">
                  <c:v>Week9</c:v>
                </c:pt>
                <c:pt idx="9">
                  <c:v>Week10</c:v>
                </c:pt>
                <c:pt idx="10">
                  <c:v>Week11</c:v>
                </c:pt>
                <c:pt idx="11">
                  <c:v>Week12</c:v>
                </c:pt>
              </c:strCache>
            </c:strRef>
          </c:cat>
          <c:val>
            <c:numRef>
              <c:f>Income!$C$2:$C$13</c:f>
              <c:numCache>
                <c:formatCode>General</c:formatCode>
                <c:ptCount val="12"/>
                <c:pt idx="0">
                  <c:v>2015</c:v>
                </c:pt>
                <c:pt idx="1">
                  <c:v>1640</c:v>
                </c:pt>
                <c:pt idx="2">
                  <c:v>1570</c:v>
                </c:pt>
                <c:pt idx="3">
                  <c:v>1470</c:v>
                </c:pt>
                <c:pt idx="4">
                  <c:v>1395</c:v>
                </c:pt>
                <c:pt idx="5">
                  <c:v>1515</c:v>
                </c:pt>
                <c:pt idx="6">
                  <c:v>1500</c:v>
                </c:pt>
                <c:pt idx="7">
                  <c:v>1640</c:v>
                </c:pt>
                <c:pt idx="8">
                  <c:v>1670</c:v>
                </c:pt>
                <c:pt idx="9">
                  <c:v>1780</c:v>
                </c:pt>
                <c:pt idx="10">
                  <c:v>1960</c:v>
                </c:pt>
                <c:pt idx="11">
                  <c:v>2155</c:v>
                </c:pt>
              </c:numCache>
            </c:numRef>
          </c:val>
          <c:extLst>
            <c:ext xmlns:c16="http://schemas.microsoft.com/office/drawing/2014/chart" uri="{C3380CC4-5D6E-409C-BE32-E72D297353CC}">
              <c16:uniqueId val="{00000001-AB4E-49BB-8511-6CDBAB8B4112}"/>
            </c:ext>
          </c:extLst>
        </c:ser>
        <c:ser>
          <c:idx val="2"/>
          <c:order val="2"/>
          <c:tx>
            <c:strRef>
              <c:f>Income!$D$1</c:f>
              <c:strCache>
                <c:ptCount val="1"/>
                <c:pt idx="0">
                  <c:v>Milk</c:v>
                </c:pt>
              </c:strCache>
            </c:strRef>
          </c:tx>
          <c:spPr>
            <a:solidFill>
              <a:schemeClr val="accent3"/>
            </a:solidFill>
            <a:ln>
              <a:noFill/>
            </a:ln>
            <a:effectLst/>
          </c:spPr>
          <c:invertIfNegative val="0"/>
          <c:dPt>
            <c:idx val="8"/>
            <c:invertIfNegative val="0"/>
            <c:bubble3D val="0"/>
            <c:spPr>
              <a:solidFill>
                <a:schemeClr val="accent3"/>
              </a:solidFill>
              <a:ln>
                <a:noFill/>
              </a:ln>
              <a:effectLst/>
            </c:spPr>
            <c:extLst>
              <c:ext xmlns:c16="http://schemas.microsoft.com/office/drawing/2014/chart" uri="{C3380CC4-5D6E-409C-BE32-E72D297353CC}">
                <c16:uniqueId val="{00000005-4173-465F-87B5-384EEFCCBF49}"/>
              </c:ext>
            </c:extLst>
          </c:dPt>
          <c:cat>
            <c:strRef>
              <c:f>Income!$A$2:$A$13</c:f>
              <c:strCache>
                <c:ptCount val="12"/>
                <c:pt idx="0">
                  <c:v>Week1</c:v>
                </c:pt>
                <c:pt idx="1">
                  <c:v>Week2</c:v>
                </c:pt>
                <c:pt idx="2">
                  <c:v>Week3</c:v>
                </c:pt>
                <c:pt idx="3">
                  <c:v>Week4</c:v>
                </c:pt>
                <c:pt idx="4">
                  <c:v>Week5</c:v>
                </c:pt>
                <c:pt idx="5">
                  <c:v>Week6</c:v>
                </c:pt>
                <c:pt idx="6">
                  <c:v>Week7</c:v>
                </c:pt>
                <c:pt idx="7">
                  <c:v>Week8</c:v>
                </c:pt>
                <c:pt idx="8">
                  <c:v>Week9</c:v>
                </c:pt>
                <c:pt idx="9">
                  <c:v>Week10</c:v>
                </c:pt>
                <c:pt idx="10">
                  <c:v>Week11</c:v>
                </c:pt>
                <c:pt idx="11">
                  <c:v>Week12</c:v>
                </c:pt>
              </c:strCache>
            </c:strRef>
          </c:cat>
          <c:val>
            <c:numRef>
              <c:f>Income!$D$2:$D$13</c:f>
              <c:numCache>
                <c:formatCode>General</c:formatCode>
                <c:ptCount val="12"/>
                <c:pt idx="0">
                  <c:v>5042.2</c:v>
                </c:pt>
                <c:pt idx="1">
                  <c:v>5004.12</c:v>
                </c:pt>
                <c:pt idx="2">
                  <c:v>4993.92</c:v>
                </c:pt>
                <c:pt idx="3">
                  <c:v>4956.5200000000004</c:v>
                </c:pt>
                <c:pt idx="4">
                  <c:v>4898.72</c:v>
                </c:pt>
                <c:pt idx="5">
                  <c:v>4810.3200000000006</c:v>
                </c:pt>
                <c:pt idx="6">
                  <c:v>4728.7199999999993</c:v>
                </c:pt>
                <c:pt idx="7">
                  <c:v>4677.72</c:v>
                </c:pt>
                <c:pt idx="8">
                  <c:v>4705.6000000000004</c:v>
                </c:pt>
                <c:pt idx="9">
                  <c:v>4624</c:v>
                </c:pt>
                <c:pt idx="10">
                  <c:v>4739.6000000000004</c:v>
                </c:pt>
                <c:pt idx="11">
                  <c:v>4977.5999999999995</c:v>
                </c:pt>
              </c:numCache>
            </c:numRef>
          </c:val>
          <c:extLst>
            <c:ext xmlns:c16="http://schemas.microsoft.com/office/drawing/2014/chart" uri="{C3380CC4-5D6E-409C-BE32-E72D297353CC}">
              <c16:uniqueId val="{00000002-AB4E-49BB-8511-6CDBAB8B4112}"/>
            </c:ext>
          </c:extLst>
        </c:ser>
        <c:ser>
          <c:idx val="3"/>
          <c:order val="3"/>
          <c:tx>
            <c:strRef>
              <c:f>Income!$E$1</c:f>
              <c:strCache>
                <c:ptCount val="1"/>
                <c:pt idx="0">
                  <c:v>Banty</c:v>
                </c:pt>
              </c:strCache>
            </c:strRef>
          </c:tx>
          <c:spPr>
            <a:solidFill>
              <a:schemeClr val="accent4"/>
            </a:solidFill>
            <a:ln>
              <a:noFill/>
            </a:ln>
            <a:effectLst/>
          </c:spPr>
          <c:invertIfNegative val="0"/>
          <c:dPt>
            <c:idx val="8"/>
            <c:invertIfNegative val="0"/>
            <c:bubble3D val="0"/>
            <c:spPr>
              <a:solidFill>
                <a:schemeClr val="accent4"/>
              </a:solidFill>
              <a:ln>
                <a:noFill/>
              </a:ln>
              <a:effectLst/>
            </c:spPr>
            <c:extLst>
              <c:ext xmlns:c16="http://schemas.microsoft.com/office/drawing/2014/chart" uri="{C3380CC4-5D6E-409C-BE32-E72D297353CC}">
                <c16:uniqueId val="{00000007-4173-465F-87B5-384EEFCCBF49}"/>
              </c:ext>
            </c:extLst>
          </c:dPt>
          <c:cat>
            <c:strRef>
              <c:f>Income!$A$2:$A$13</c:f>
              <c:strCache>
                <c:ptCount val="12"/>
                <c:pt idx="0">
                  <c:v>Week1</c:v>
                </c:pt>
                <c:pt idx="1">
                  <c:v>Week2</c:v>
                </c:pt>
                <c:pt idx="2">
                  <c:v>Week3</c:v>
                </c:pt>
                <c:pt idx="3">
                  <c:v>Week4</c:v>
                </c:pt>
                <c:pt idx="4">
                  <c:v>Week5</c:v>
                </c:pt>
                <c:pt idx="5">
                  <c:v>Week6</c:v>
                </c:pt>
                <c:pt idx="6">
                  <c:v>Week7</c:v>
                </c:pt>
                <c:pt idx="7">
                  <c:v>Week8</c:v>
                </c:pt>
                <c:pt idx="8">
                  <c:v>Week9</c:v>
                </c:pt>
                <c:pt idx="9">
                  <c:v>Week10</c:v>
                </c:pt>
                <c:pt idx="10">
                  <c:v>Week11</c:v>
                </c:pt>
                <c:pt idx="11">
                  <c:v>Week12</c:v>
                </c:pt>
              </c:strCache>
            </c:strRef>
          </c:cat>
          <c:val>
            <c:numRef>
              <c:f>Income!$E$2:$E$13</c:f>
              <c:numCache>
                <c:formatCode>General</c:formatCode>
                <c:ptCount val="12"/>
                <c:pt idx="0">
                  <c:v>2700</c:v>
                </c:pt>
                <c:pt idx="1">
                  <c:v>7700</c:v>
                </c:pt>
                <c:pt idx="2">
                  <c:v>6300</c:v>
                </c:pt>
                <c:pt idx="3">
                  <c:v>6300</c:v>
                </c:pt>
                <c:pt idx="4">
                  <c:v>5700</c:v>
                </c:pt>
                <c:pt idx="5">
                  <c:v>5700</c:v>
                </c:pt>
                <c:pt idx="6">
                  <c:v>5700</c:v>
                </c:pt>
                <c:pt idx="7">
                  <c:v>6600</c:v>
                </c:pt>
                <c:pt idx="8">
                  <c:v>1600</c:v>
                </c:pt>
                <c:pt idx="9">
                  <c:v>900</c:v>
                </c:pt>
                <c:pt idx="10">
                  <c:v>900</c:v>
                </c:pt>
                <c:pt idx="11">
                  <c:v>900</c:v>
                </c:pt>
              </c:numCache>
            </c:numRef>
          </c:val>
          <c:extLst>
            <c:ext xmlns:c16="http://schemas.microsoft.com/office/drawing/2014/chart" uri="{C3380CC4-5D6E-409C-BE32-E72D297353CC}">
              <c16:uniqueId val="{00000003-AB4E-49BB-8511-6CDBAB8B4112}"/>
            </c:ext>
          </c:extLst>
        </c:ser>
        <c:ser>
          <c:idx val="4"/>
          <c:order val="4"/>
          <c:tx>
            <c:strRef>
              <c:f>Income!$F$1</c:f>
              <c:strCache>
                <c:ptCount val="1"/>
                <c:pt idx="0">
                  <c:v>Total Income</c:v>
                </c:pt>
              </c:strCache>
            </c:strRef>
          </c:tx>
          <c:spPr>
            <a:solidFill>
              <a:schemeClr val="accent5"/>
            </a:solidFill>
            <a:ln>
              <a:noFill/>
            </a:ln>
            <a:effectLst/>
          </c:spPr>
          <c:invertIfNegative val="0"/>
          <c:dPt>
            <c:idx val="8"/>
            <c:invertIfNegative val="0"/>
            <c:bubble3D val="0"/>
            <c:spPr>
              <a:solidFill>
                <a:schemeClr val="accent5"/>
              </a:solidFill>
              <a:ln>
                <a:noFill/>
              </a:ln>
              <a:effectLst/>
            </c:spPr>
            <c:extLst>
              <c:ext xmlns:c16="http://schemas.microsoft.com/office/drawing/2014/chart" uri="{C3380CC4-5D6E-409C-BE32-E72D297353CC}">
                <c16:uniqueId val="{00000009-4173-465F-87B5-384EEFCCBF49}"/>
              </c:ext>
            </c:extLst>
          </c:dPt>
          <c:trendline>
            <c:spPr>
              <a:ln w="19050" cap="rnd">
                <a:solidFill>
                  <a:schemeClr val="accent5"/>
                </a:solidFill>
                <a:prstDash val="sysDot"/>
              </a:ln>
              <a:effectLst/>
            </c:spPr>
            <c:trendlineType val="linear"/>
            <c:dispRSqr val="0"/>
            <c:dispEq val="0"/>
          </c:trendline>
          <c:cat>
            <c:strRef>
              <c:f>Income!$A$2:$A$13</c:f>
              <c:strCache>
                <c:ptCount val="12"/>
                <c:pt idx="0">
                  <c:v>Week1</c:v>
                </c:pt>
                <c:pt idx="1">
                  <c:v>Week2</c:v>
                </c:pt>
                <c:pt idx="2">
                  <c:v>Week3</c:v>
                </c:pt>
                <c:pt idx="3">
                  <c:v>Week4</c:v>
                </c:pt>
                <c:pt idx="4">
                  <c:v>Week5</c:v>
                </c:pt>
                <c:pt idx="5">
                  <c:v>Week6</c:v>
                </c:pt>
                <c:pt idx="6">
                  <c:v>Week7</c:v>
                </c:pt>
                <c:pt idx="7">
                  <c:v>Week8</c:v>
                </c:pt>
                <c:pt idx="8">
                  <c:v>Week9</c:v>
                </c:pt>
                <c:pt idx="9">
                  <c:v>Week10</c:v>
                </c:pt>
                <c:pt idx="10">
                  <c:v>Week11</c:v>
                </c:pt>
                <c:pt idx="11">
                  <c:v>Week12</c:v>
                </c:pt>
              </c:strCache>
            </c:strRef>
          </c:cat>
          <c:val>
            <c:numRef>
              <c:f>Income!$F$2:$F$13</c:f>
              <c:numCache>
                <c:formatCode>General</c:formatCode>
                <c:ptCount val="12"/>
                <c:pt idx="0">
                  <c:v>13647.2</c:v>
                </c:pt>
                <c:pt idx="1">
                  <c:v>16566.12</c:v>
                </c:pt>
                <c:pt idx="2">
                  <c:v>14393.92</c:v>
                </c:pt>
                <c:pt idx="3">
                  <c:v>14116.52</c:v>
                </c:pt>
                <c:pt idx="4">
                  <c:v>13982.720000000001</c:v>
                </c:pt>
                <c:pt idx="5">
                  <c:v>14114.32</c:v>
                </c:pt>
                <c:pt idx="6">
                  <c:v>14063.72</c:v>
                </c:pt>
                <c:pt idx="7">
                  <c:v>15022.720000000001</c:v>
                </c:pt>
                <c:pt idx="8">
                  <c:v>10125.6</c:v>
                </c:pt>
                <c:pt idx="9">
                  <c:v>9424</c:v>
                </c:pt>
                <c:pt idx="10">
                  <c:v>9879.6</c:v>
                </c:pt>
                <c:pt idx="11">
                  <c:v>10422.599999999999</c:v>
                </c:pt>
              </c:numCache>
            </c:numRef>
          </c:val>
          <c:extLst>
            <c:ext xmlns:c16="http://schemas.microsoft.com/office/drawing/2014/chart" uri="{C3380CC4-5D6E-409C-BE32-E72D297353CC}">
              <c16:uniqueId val="{00000005-AB4E-49BB-8511-6CDBAB8B4112}"/>
            </c:ext>
          </c:extLst>
        </c:ser>
        <c:dLbls>
          <c:showLegendKey val="0"/>
          <c:showVal val="0"/>
          <c:showCatName val="0"/>
          <c:showSerName val="0"/>
          <c:showPercent val="0"/>
          <c:showBubbleSize val="0"/>
        </c:dLbls>
        <c:gapWidth val="219"/>
        <c:overlap val="-27"/>
        <c:axId val="519886872"/>
        <c:axId val="459251760"/>
      </c:barChart>
      <c:catAx>
        <c:axId val="519886872"/>
        <c:scaling>
          <c:orientation val="minMax"/>
        </c:scaling>
        <c:delete val="0"/>
        <c:axPos val="b"/>
        <c:title>
          <c:tx>
            <c:rich>
              <a:bodyPr rot="0" spcFirstLastPara="1" vertOverflow="ellipsis" vert="horz" wrap="square" anchor="ctr" anchorCtr="1"/>
              <a:lstStyle/>
              <a:p>
                <a:pPr>
                  <a:defRPr lang="en-US" sz="1600" b="1" i="0" u="none" strike="noStrike" kern="1200" baseline="0">
                    <a:solidFill>
                      <a:sysClr val="windowText" lastClr="000000">
                        <a:lumMod val="65000"/>
                        <a:lumOff val="35000"/>
                      </a:sysClr>
                    </a:solidFill>
                    <a:latin typeface="+mn-lt"/>
                    <a:ea typeface="+mn-ea"/>
                    <a:cs typeface="+mn-cs"/>
                  </a:defRPr>
                </a:pPr>
                <a:r>
                  <a:rPr lang="en-US"/>
                  <a:t>Week</a:t>
                </a:r>
              </a:p>
            </c:rich>
          </c:tx>
          <c:overlay val="0"/>
          <c:spPr>
            <a:noFill/>
            <a:ln>
              <a:noFill/>
            </a:ln>
            <a:effectLst/>
          </c:spPr>
          <c:txPr>
            <a:bodyPr rot="0" spcFirstLastPara="1" vertOverflow="ellipsis" vert="horz" wrap="square" anchor="ctr" anchorCtr="1"/>
            <a:lstStyle/>
            <a:p>
              <a:pPr>
                <a:defRPr lang="en-US" sz="1600" b="1" i="0" u="none" strike="noStrike" kern="1200" baseline="0">
                  <a:solidFill>
                    <a:sysClr val="windowText" lastClr="000000">
                      <a:lumMod val="65000"/>
                      <a:lumOff val="35000"/>
                    </a:sys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600" b="1" i="0" u="none" strike="noStrike" kern="1200" baseline="0">
                <a:solidFill>
                  <a:sysClr val="windowText" lastClr="000000">
                    <a:lumMod val="65000"/>
                    <a:lumOff val="35000"/>
                  </a:sysClr>
                </a:solidFill>
                <a:latin typeface="+mn-lt"/>
                <a:ea typeface="+mn-ea"/>
                <a:cs typeface="+mn-cs"/>
              </a:defRPr>
            </a:pPr>
            <a:endParaRPr lang="en-US"/>
          </a:p>
        </c:txPr>
        <c:crossAx val="459251760"/>
        <c:crosses val="autoZero"/>
        <c:auto val="1"/>
        <c:lblAlgn val="ctr"/>
        <c:lblOffset val="100"/>
        <c:noMultiLvlLbl val="0"/>
      </c:catAx>
      <c:valAx>
        <c:axId val="4592517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lang="en-US" sz="1600" b="1" i="0" u="none" strike="noStrike" kern="1200" baseline="0">
                    <a:solidFill>
                      <a:sysClr val="windowText" lastClr="000000">
                        <a:lumMod val="65000"/>
                        <a:lumOff val="35000"/>
                      </a:sysClr>
                    </a:solidFill>
                    <a:latin typeface="+mn-lt"/>
                    <a:ea typeface="+mn-ea"/>
                    <a:cs typeface="+mn-cs"/>
                  </a:defRPr>
                </a:pPr>
                <a:r>
                  <a:rPr lang="en-US"/>
                  <a:t>Rupees</a:t>
                </a:r>
              </a:p>
            </c:rich>
          </c:tx>
          <c:overlay val="0"/>
          <c:spPr>
            <a:noFill/>
            <a:ln>
              <a:noFill/>
            </a:ln>
            <a:effectLst/>
          </c:spPr>
          <c:txPr>
            <a:bodyPr rot="-5400000" spcFirstLastPara="1" vertOverflow="ellipsis" vert="horz" wrap="square" anchor="ctr" anchorCtr="1"/>
            <a:lstStyle/>
            <a:p>
              <a:pPr>
                <a:defRPr lang="en-US" sz="1600" b="1" i="0" u="none" strike="noStrike" kern="1200" baseline="0">
                  <a:solidFill>
                    <a:sysClr val="windowText" lastClr="000000">
                      <a:lumMod val="65000"/>
                      <a:lumOff val="35000"/>
                    </a:sys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1600" b="1" i="0" u="none" strike="noStrike" kern="1200" baseline="0">
                <a:solidFill>
                  <a:sysClr val="windowText" lastClr="000000">
                    <a:lumMod val="65000"/>
                    <a:lumOff val="35000"/>
                  </a:sysClr>
                </a:solidFill>
                <a:latin typeface="+mn-lt"/>
                <a:ea typeface="+mn-ea"/>
                <a:cs typeface="+mn-cs"/>
              </a:defRPr>
            </a:pPr>
            <a:endParaRPr lang="en-US"/>
          </a:p>
        </c:txPr>
        <c:crossAx val="51988687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lgn="ctr" rtl="0">
        <a:defRPr lang="en-US" sz="1600" b="1" i="0" u="none" strike="noStrike" kern="1200" baseline="0">
          <a:solidFill>
            <a:sysClr val="windowText" lastClr="000000">
              <a:lumMod val="65000"/>
              <a:lumOff val="35000"/>
            </a:sysClr>
          </a:solidFill>
          <a:latin typeface="+mn-lt"/>
          <a:ea typeface="+mn-ea"/>
          <a:cs typeface="+mn-cs"/>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rtl="0">
              <a:defRPr lang="en-US" sz="1600" b="1" i="1" u="none" strike="noStrike" kern="1200" spc="0" baseline="0">
                <a:solidFill>
                  <a:sysClr val="windowText" lastClr="000000">
                    <a:lumMod val="65000"/>
                    <a:lumOff val="35000"/>
                  </a:sysClr>
                </a:solidFill>
                <a:latin typeface="+mn-lt"/>
                <a:ea typeface="+mn-ea"/>
                <a:cs typeface="+mn-cs"/>
              </a:defRPr>
            </a:pPr>
            <a:r>
              <a:rPr lang="en-US" sz="1600" b="1" i="1" u="none" strike="noStrike" kern="1200" baseline="0">
                <a:solidFill>
                  <a:sysClr val="windowText" lastClr="000000">
                    <a:lumMod val="65000"/>
                    <a:lumOff val="35000"/>
                  </a:sysClr>
                </a:solidFill>
                <a:latin typeface="+mn-lt"/>
                <a:ea typeface="+mn-ea"/>
                <a:cs typeface="+mn-cs"/>
              </a:rPr>
              <a:t>Item Wise</a:t>
            </a:r>
          </a:p>
        </c:rich>
      </c:tx>
      <c:overlay val="0"/>
      <c:spPr>
        <a:noFill/>
        <a:ln>
          <a:noFill/>
        </a:ln>
        <a:effectLst/>
      </c:spPr>
      <c:txPr>
        <a:bodyPr rot="0" spcFirstLastPara="1" vertOverflow="ellipsis" vert="horz" wrap="square" anchor="ctr" anchorCtr="1"/>
        <a:lstStyle/>
        <a:p>
          <a:pPr algn="ctr" rtl="0">
            <a:defRPr lang="en-US" sz="1600" b="1" i="1"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6F2-4B27-900C-D8D83B887E8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6F2-4B27-900C-D8D83B887E8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6F2-4B27-900C-D8D83B887E84}"/>
              </c:ext>
            </c:extLst>
          </c:dPt>
          <c:dLbls>
            <c:dLbl>
              <c:idx val="0"/>
              <c:layout>
                <c:manualLayout>
                  <c:x val="6.1111111111111109E-2"/>
                  <c:y val="-6.0185185185185182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56F2-4B27-900C-D8D83B887E84}"/>
                </c:ext>
              </c:extLst>
            </c:dLbl>
            <c:dLbl>
              <c:idx val="1"/>
              <c:layout>
                <c:manualLayout>
                  <c:x val="0.15277777777777779"/>
                  <c:y val="6.0185185185185182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56F2-4B27-900C-D8D83B887E84}"/>
                </c:ext>
              </c:extLst>
            </c:dLbl>
            <c:dLbl>
              <c:idx val="2"/>
              <c:layout>
                <c:manualLayout>
                  <c:x val="-3.888888888888889E-2"/>
                  <c:y val="-0.1203703703703704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56F2-4B27-900C-D8D83B887E84}"/>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Investment!$H$2:$H$4</c:f>
              <c:strCache>
                <c:ptCount val="3"/>
                <c:pt idx="0">
                  <c:v>GOLD</c:v>
                </c:pt>
                <c:pt idx="1">
                  <c:v>Bank Savings</c:v>
                </c:pt>
                <c:pt idx="2">
                  <c:v>cyrpto</c:v>
                </c:pt>
              </c:strCache>
            </c:strRef>
          </c:cat>
          <c:val>
            <c:numRef>
              <c:f>Investment!$I$2:$I$4</c:f>
              <c:numCache>
                <c:formatCode>General</c:formatCode>
                <c:ptCount val="3"/>
                <c:pt idx="0">
                  <c:v>24000</c:v>
                </c:pt>
                <c:pt idx="1">
                  <c:v>24300</c:v>
                </c:pt>
                <c:pt idx="2">
                  <c:v>23200</c:v>
                </c:pt>
              </c:numCache>
            </c:numRef>
          </c:val>
          <c:extLst>
            <c:ext xmlns:c16="http://schemas.microsoft.com/office/drawing/2014/chart" uri="{C3380CC4-5D6E-409C-BE32-E72D297353CC}">
              <c16:uniqueId val="{00000006-56F2-4B27-900C-D8D83B887E84}"/>
            </c:ext>
          </c:extLst>
        </c:ser>
        <c:dLbls>
          <c:showLegendKey val="0"/>
          <c:showVal val="0"/>
          <c:showCatName val="0"/>
          <c:showSerName val="0"/>
          <c:showPercent val="0"/>
          <c:showBubbleSize val="0"/>
          <c:showLeaderLines val="0"/>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1" u="none" strike="noStrike" kern="1200" baseline="0">
                <a:solidFill>
                  <a:schemeClr val="tx1">
                    <a:lumMod val="65000"/>
                    <a:lumOff val="35000"/>
                  </a:schemeClr>
                </a:solidFill>
                <a:latin typeface="+mn-lt"/>
                <a:ea typeface="+mn-ea"/>
                <a:cs typeface="+mn-cs"/>
              </a:defRPr>
            </a:pPr>
            <a:r>
              <a:rPr lang="en-US" i="1"/>
              <a:t>Item Wise Expense</a:t>
            </a:r>
          </a:p>
        </c:rich>
      </c:tx>
      <c:overlay val="0"/>
      <c:spPr>
        <a:noFill/>
        <a:ln>
          <a:noFill/>
        </a:ln>
        <a:effectLst/>
      </c:spPr>
      <c:txPr>
        <a:bodyPr rot="0" spcFirstLastPara="1" vertOverflow="ellipsis" vert="horz" wrap="square" anchor="ctr" anchorCtr="1"/>
        <a:lstStyle/>
        <a:p>
          <a:pPr>
            <a:defRPr sz="1600" b="1" i="1" u="none" strike="noStrike" kern="120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9.2665016872890887E-2"/>
          <c:y val="0.24453164634556382"/>
          <c:w val="0.90733498312710914"/>
          <c:h val="0.58592114225747916"/>
        </c:manualLayout>
      </c:layout>
      <c:lineChart>
        <c:grouping val="standard"/>
        <c:varyColors val="0"/>
        <c:ser>
          <c:idx val="0"/>
          <c:order val="0"/>
          <c:tx>
            <c:strRef>
              <c:f>Expense!$M$4</c:f>
              <c:strCache>
                <c:ptCount val="1"/>
                <c:pt idx="0">
                  <c:v>Rupees</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dLbls>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Expense!$L$5:$L$12</c:f>
              <c:strCache>
                <c:ptCount val="8"/>
                <c:pt idx="0">
                  <c:v>Agri</c:v>
                </c:pt>
                <c:pt idx="1">
                  <c:v>Education</c:v>
                </c:pt>
                <c:pt idx="2">
                  <c:v>Dairy</c:v>
                </c:pt>
                <c:pt idx="3">
                  <c:v>Vechicle</c:v>
                </c:pt>
                <c:pt idx="4">
                  <c:v>Gift</c:v>
                </c:pt>
                <c:pt idx="5">
                  <c:v>Other expenditure</c:v>
                </c:pt>
                <c:pt idx="6">
                  <c:v>Horticulture</c:v>
                </c:pt>
                <c:pt idx="7">
                  <c:v>Food</c:v>
                </c:pt>
              </c:strCache>
            </c:strRef>
          </c:cat>
          <c:val>
            <c:numRef>
              <c:f>Expense!$M$5:$M$13</c:f>
              <c:numCache>
                <c:formatCode>General</c:formatCode>
                <c:ptCount val="9"/>
                <c:pt idx="0">
                  <c:v>36095</c:v>
                </c:pt>
                <c:pt idx="1">
                  <c:v>7250</c:v>
                </c:pt>
                <c:pt idx="2">
                  <c:v>43670</c:v>
                </c:pt>
                <c:pt idx="3">
                  <c:v>19400</c:v>
                </c:pt>
                <c:pt idx="4">
                  <c:v>5000</c:v>
                </c:pt>
                <c:pt idx="5">
                  <c:v>36900</c:v>
                </c:pt>
                <c:pt idx="6">
                  <c:v>6545</c:v>
                </c:pt>
                <c:pt idx="7">
                  <c:v>31891</c:v>
                </c:pt>
              </c:numCache>
            </c:numRef>
          </c:val>
          <c:smooth val="0"/>
          <c:extLst>
            <c:ext xmlns:c16="http://schemas.microsoft.com/office/drawing/2014/chart" uri="{C3380CC4-5D6E-409C-BE32-E72D297353CC}">
              <c16:uniqueId val="{00000000-E97A-4904-A64A-CCC139F2C9F6}"/>
            </c:ext>
          </c:extLst>
        </c:ser>
        <c:dLbls>
          <c:dLblPos val="ctr"/>
          <c:showLegendKey val="0"/>
          <c:showVal val="1"/>
          <c:showCatName val="0"/>
          <c:showSerName val="0"/>
          <c:showPercent val="0"/>
          <c:showBubbleSize val="0"/>
        </c:dLbls>
        <c:smooth val="0"/>
        <c:axId val="517357096"/>
        <c:axId val="517353928"/>
      </c:lineChart>
      <c:catAx>
        <c:axId val="517357096"/>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Item</a:t>
                </a:r>
              </a:p>
            </c:rich>
          </c:tx>
          <c:layout>
            <c:manualLayout>
              <c:xMode val="edge"/>
              <c:yMode val="edge"/>
              <c:x val="0.48637891746421436"/>
              <c:y val="0.9187506604568095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517353928"/>
        <c:crosses val="autoZero"/>
        <c:auto val="1"/>
        <c:lblAlgn val="ctr"/>
        <c:lblOffset val="100"/>
        <c:noMultiLvlLbl val="0"/>
      </c:catAx>
      <c:valAx>
        <c:axId val="5173539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Rupees</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5173570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rtl="0">
              <a:defRPr lang="en-US" sz="1600" b="1" i="1" u="none" strike="noStrike" kern="1200" baseline="0">
                <a:solidFill>
                  <a:sysClr val="windowText" lastClr="000000">
                    <a:lumMod val="65000"/>
                    <a:lumOff val="35000"/>
                  </a:sysClr>
                </a:solidFill>
                <a:latin typeface="+mn-lt"/>
                <a:ea typeface="+mn-ea"/>
                <a:cs typeface="+mn-cs"/>
              </a:defRPr>
            </a:pPr>
            <a:r>
              <a:rPr lang="en-US" sz="1600" b="1" i="1" u="none" strike="noStrike" kern="1200" baseline="0">
                <a:solidFill>
                  <a:sysClr val="windowText" lastClr="000000">
                    <a:lumMod val="65000"/>
                    <a:lumOff val="35000"/>
                  </a:sysClr>
                </a:solidFill>
                <a:latin typeface="+mn-lt"/>
                <a:ea typeface="+mn-ea"/>
                <a:cs typeface="+mn-cs"/>
              </a:rPr>
              <a:t>Item wise Income</a:t>
            </a:r>
          </a:p>
        </c:rich>
      </c:tx>
      <c:layout>
        <c:manualLayout>
          <c:xMode val="edge"/>
          <c:yMode val="edge"/>
          <c:x val="0.27583527411186276"/>
          <c:y val="1.9122813268250976E-2"/>
        </c:manualLayout>
      </c:layout>
      <c:overlay val="0"/>
      <c:spPr>
        <a:noFill/>
        <a:ln>
          <a:noFill/>
        </a:ln>
        <a:effectLst/>
      </c:spPr>
      <c:txPr>
        <a:bodyPr rot="0" spcFirstLastPara="1" vertOverflow="ellipsis" vert="horz" wrap="square" anchor="ctr" anchorCtr="1"/>
        <a:lstStyle/>
        <a:p>
          <a:pPr algn="ctr" rtl="0">
            <a:defRPr lang="en-US" sz="1600" b="1" i="1" u="none" strike="noStrike" kern="1200" baseline="0">
              <a:solidFill>
                <a:sysClr val="windowText" lastClr="000000">
                  <a:lumMod val="65000"/>
                  <a:lumOff val="35000"/>
                </a:sysClr>
              </a:solidFill>
              <a:latin typeface="+mn-lt"/>
              <a:ea typeface="+mn-ea"/>
              <a:cs typeface="+mn-cs"/>
            </a:defRPr>
          </a:pPr>
          <a:endParaRPr lang="en-US"/>
        </a:p>
      </c:txPr>
    </c:title>
    <c:autoTitleDeleted val="0"/>
    <c:plotArea>
      <c:layout/>
      <c:pieChart>
        <c:varyColors val="1"/>
        <c:ser>
          <c:idx val="0"/>
          <c:order val="0"/>
          <c:tx>
            <c:strRef>
              <c:f>Income!$B$25</c:f>
              <c:strCache>
                <c:ptCount val="1"/>
                <c:pt idx="0">
                  <c:v>Amount</c:v>
                </c:pt>
              </c:strCache>
            </c:strRef>
          </c:tx>
          <c:explosion val="13"/>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7D28-459C-9FDF-2E53D4EC233C}"/>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7D28-459C-9FDF-2E53D4EC233C}"/>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7D28-459C-9FDF-2E53D4EC233C}"/>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7D28-459C-9FDF-2E53D4EC233C}"/>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s>
          <c:cat>
            <c:strRef>
              <c:f>Income!$A$26:$A$29</c:f>
              <c:strCache>
                <c:ptCount val="4"/>
                <c:pt idx="0">
                  <c:v>Oleander</c:v>
                </c:pt>
                <c:pt idx="1">
                  <c:v>Jasmine</c:v>
                </c:pt>
                <c:pt idx="2">
                  <c:v>Milk</c:v>
                </c:pt>
                <c:pt idx="3">
                  <c:v>Banty</c:v>
                </c:pt>
              </c:strCache>
            </c:strRef>
          </c:cat>
          <c:val>
            <c:numRef>
              <c:f>Income!$B$26:$B$29</c:f>
              <c:numCache>
                <c:formatCode>General</c:formatCode>
                <c:ptCount val="4"/>
                <c:pt idx="0">
                  <c:v>46990</c:v>
                </c:pt>
                <c:pt idx="1">
                  <c:v>67566.5</c:v>
                </c:pt>
                <c:pt idx="2">
                  <c:v>100231</c:v>
                </c:pt>
                <c:pt idx="3">
                  <c:v>52800</c:v>
                </c:pt>
              </c:numCache>
            </c:numRef>
          </c:val>
          <c:extLst>
            <c:ext xmlns:c16="http://schemas.microsoft.com/office/drawing/2014/chart" uri="{C3380CC4-5D6E-409C-BE32-E72D297353CC}">
              <c16:uniqueId val="{00000008-7D28-459C-9FDF-2E53D4EC233C}"/>
            </c:ext>
          </c:extLst>
        </c:ser>
        <c:dLbls>
          <c:showLegendKey val="0"/>
          <c:showVal val="0"/>
          <c:showCatName val="0"/>
          <c:showSerName val="0"/>
          <c:showPercent val="0"/>
          <c:showBubbleSize val="0"/>
          <c:showLeaderLines val="0"/>
        </c:dLbls>
        <c:firstSliceAng val="0"/>
      </c:pieChart>
      <c:spPr>
        <a:noFill/>
        <a:ln>
          <a:noFill/>
        </a:ln>
        <a:effectLst/>
      </c:spPr>
    </c:plotArea>
    <c:legend>
      <c:legendPos val="r"/>
      <c:layout>
        <c:manualLayout>
          <c:xMode val="edge"/>
          <c:yMode val="edge"/>
          <c:x val="0.84039606637153186"/>
          <c:y val="0.32353701401359919"/>
          <c:w val="0.1424365516542192"/>
          <c:h val="0.3684228945066077"/>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image" Target="../media/image1.emf"/><Relationship Id="rId6" Type="http://schemas.openxmlformats.org/officeDocument/2006/relationships/chart" Target="../charts/chart10.xml"/><Relationship Id="rId5" Type="http://schemas.openxmlformats.org/officeDocument/2006/relationships/chart" Target="../charts/chart9.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19</xdr:col>
      <xdr:colOff>371475</xdr:colOff>
      <xdr:row>47</xdr:row>
      <xdr:rowOff>9526</xdr:rowOff>
    </xdr:to>
    <xdr:sp macro="" textlink="">
      <xdr:nvSpPr>
        <xdr:cNvPr id="2" name="Rectangle 1">
          <a:extLst>
            <a:ext uri="{FF2B5EF4-FFF2-40B4-BE49-F238E27FC236}">
              <a16:creationId xmlns:a16="http://schemas.microsoft.com/office/drawing/2014/main" id="{20E9502B-3702-7A82-7FAB-45C8B7807251}"/>
            </a:ext>
          </a:extLst>
        </xdr:cNvPr>
        <xdr:cNvSpPr/>
      </xdr:nvSpPr>
      <xdr:spPr>
        <a:xfrm>
          <a:off x="0" y="0"/>
          <a:ext cx="11953875" cy="8963026"/>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0</xdr:col>
      <xdr:colOff>0</xdr:colOff>
      <xdr:row>0</xdr:row>
      <xdr:rowOff>0</xdr:rowOff>
    </xdr:from>
    <xdr:to>
      <xdr:col>16</xdr:col>
      <xdr:colOff>180974</xdr:colOff>
      <xdr:row>19</xdr:row>
      <xdr:rowOff>85724</xdr:rowOff>
    </xdr:to>
    <xdr:sp macro="" textlink="">
      <xdr:nvSpPr>
        <xdr:cNvPr id="5121" name="Text Box 1">
          <a:extLst>
            <a:ext uri="{FF2B5EF4-FFF2-40B4-BE49-F238E27FC236}">
              <a16:creationId xmlns:a16="http://schemas.microsoft.com/office/drawing/2014/main" id="{350C67CD-46C7-A77A-22DE-F13A03412574}"/>
            </a:ext>
          </a:extLst>
        </xdr:cNvPr>
        <xdr:cNvSpPr txBox="1">
          <a:spLocks noChangeArrowheads="1"/>
        </xdr:cNvSpPr>
      </xdr:nvSpPr>
      <xdr:spPr bwMode="auto">
        <a:xfrm>
          <a:off x="0" y="0"/>
          <a:ext cx="9934574" cy="3705224"/>
        </a:xfrm>
        <a:prstGeom prst="rect">
          <a:avLst/>
        </a:prstGeom>
        <a:solidFill>
          <a:srgbClr val="FFFFFF"/>
        </a:solidFill>
        <a:ln w="9525">
          <a:solidFill>
            <a:srgbClr val="000000"/>
          </a:solidFill>
          <a:miter lim="800000"/>
          <a:headEnd/>
          <a:tailEnd/>
        </a:ln>
      </xdr:spPr>
      <xdr:txBody>
        <a:bodyPr vertOverflow="clip" wrap="square" lIns="27432" tIns="27432" rIns="0" bIns="0" anchor="t" upright="1"/>
        <a:lstStyle/>
        <a:p>
          <a:pPr algn="l" rtl="0">
            <a:defRPr sz="1000"/>
          </a:pPr>
          <a:r>
            <a:rPr lang="en-US" sz="1600" b="1" i="1" u="none" strike="noStrike" baseline="0">
              <a:solidFill>
                <a:srgbClr val="000000"/>
              </a:solidFill>
              <a:latin typeface="+mn-lt"/>
              <a:cs typeface="Calibri"/>
            </a:rPr>
            <a:t>                               Family budget analysis is a critical aspect in personal finance management that involves evaluating and tracking the income, spending, and savings of a household. This paper provides an abstract of the family budget analysis by examining its importance, the methods and tools used, and the benefits of conducting a budget analysis. The study shows that a family budget analysis is essential as it helps households to identify their financial goals and priorities, reduce expenses, and increase savings. </a:t>
          </a:r>
        </a:p>
        <a:p>
          <a:pPr algn="l" rtl="0">
            <a:defRPr sz="1000"/>
          </a:pPr>
          <a:endParaRPr lang="en-US" sz="1600" b="1" i="1" u="none" strike="noStrike" baseline="0">
            <a:solidFill>
              <a:srgbClr val="000000"/>
            </a:solidFill>
            <a:latin typeface="+mn-lt"/>
            <a:cs typeface="Calibri"/>
          </a:endParaRPr>
        </a:p>
        <a:p>
          <a:pPr algn="l" rtl="0">
            <a:defRPr sz="1000"/>
          </a:pPr>
          <a:r>
            <a:rPr lang="en-US" sz="1600" b="1" i="1" u="none" strike="noStrike" baseline="0">
              <a:solidFill>
                <a:srgbClr val="000000"/>
              </a:solidFill>
              <a:latin typeface="+mn-lt"/>
              <a:cs typeface="Calibri"/>
            </a:rPr>
            <a:t>                                The analysis involves gathering information on the family's income, expenses, debts, and assets to evaluate their financial performance. Various tools such as spreadsheet programs, budgeting apps, and financial software are used to assist in the budget analysis process. Moreover, conducting a family budget analysis has several benefits, including better decision-making, increased financial stability, and control over finances. Overall, the family budget analysis is a vital </a:t>
          </a:r>
          <a:r>
            <a:rPr lang="en-US" sz="1400" b="1" i="1" u="none" strike="noStrike" baseline="0">
              <a:solidFill>
                <a:srgbClr val="000000"/>
              </a:solidFill>
              <a:latin typeface="+mn-lt"/>
              <a:cs typeface="Calibri"/>
            </a:rPr>
            <a:t>process</a:t>
          </a:r>
          <a:r>
            <a:rPr lang="en-US" sz="1600" b="1" i="1" u="none" strike="noStrike" baseline="0">
              <a:solidFill>
                <a:srgbClr val="000000"/>
              </a:solidFill>
              <a:latin typeface="+mn-lt"/>
              <a:cs typeface="Calibri"/>
            </a:rPr>
            <a:t> that is essential for improving financial management and ensuring financial security for households</a:t>
          </a:r>
          <a:r>
            <a:rPr lang="en-US" sz="1100" b="0" i="0" u="none" strike="noStrike" baseline="0">
              <a:solidFill>
                <a:srgbClr val="000000"/>
              </a:solidFill>
              <a:latin typeface="Calibri"/>
              <a:cs typeface="Calibri"/>
            </a:rPr>
            <a:t>.</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6</xdr:col>
      <xdr:colOff>9524</xdr:colOff>
      <xdr:row>0</xdr:row>
      <xdr:rowOff>0</xdr:rowOff>
    </xdr:from>
    <xdr:to>
      <xdr:col>17</xdr:col>
      <xdr:colOff>285750</xdr:colOff>
      <xdr:row>18</xdr:row>
      <xdr:rowOff>4762</xdr:rowOff>
    </xdr:to>
    <xdr:graphicFrame macro="">
      <xdr:nvGraphicFramePr>
        <xdr:cNvPr id="6" name="Chart 5">
          <a:extLst>
            <a:ext uri="{FF2B5EF4-FFF2-40B4-BE49-F238E27FC236}">
              <a16:creationId xmlns:a16="http://schemas.microsoft.com/office/drawing/2014/main" id="{E2B516ED-8ECB-D26D-4038-F8C6210DE7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9525</xdr:colOff>
      <xdr:row>18</xdr:row>
      <xdr:rowOff>9525</xdr:rowOff>
    </xdr:from>
    <xdr:to>
      <xdr:col>12</xdr:col>
      <xdr:colOff>409575</xdr:colOff>
      <xdr:row>32</xdr:row>
      <xdr:rowOff>57150</xdr:rowOff>
    </xdr:to>
    <xdr:graphicFrame macro="">
      <xdr:nvGraphicFramePr>
        <xdr:cNvPr id="8" name="Chart 7">
          <a:extLst>
            <a:ext uri="{FF2B5EF4-FFF2-40B4-BE49-F238E27FC236}">
              <a16:creationId xmlns:a16="http://schemas.microsoft.com/office/drawing/2014/main" id="{80C87E63-9254-A0DC-E0EC-41AF689F52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10</xdr:col>
      <xdr:colOff>9525</xdr:colOff>
      <xdr:row>13</xdr:row>
      <xdr:rowOff>28574</xdr:rowOff>
    </xdr:from>
    <xdr:to>
      <xdr:col>21</xdr:col>
      <xdr:colOff>228600</xdr:colOff>
      <xdr:row>24</xdr:row>
      <xdr:rowOff>71436</xdr:rowOff>
    </xdr:to>
    <xdr:graphicFrame macro="">
      <xdr:nvGraphicFramePr>
        <xdr:cNvPr id="14" name="Chart 13">
          <a:extLst>
            <a:ext uri="{FF2B5EF4-FFF2-40B4-BE49-F238E27FC236}">
              <a16:creationId xmlns:a16="http://schemas.microsoft.com/office/drawing/2014/main" id="{D1496C64-831F-6FD0-8245-C4DF02863B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9</xdr:col>
      <xdr:colOff>340179</xdr:colOff>
      <xdr:row>4</xdr:row>
      <xdr:rowOff>155510</xdr:rowOff>
    </xdr:from>
    <xdr:to>
      <xdr:col>15</xdr:col>
      <xdr:colOff>106913</xdr:colOff>
      <xdr:row>20</xdr:row>
      <xdr:rowOff>106913</xdr:rowOff>
    </xdr:to>
    <xdr:graphicFrame macro="">
      <xdr:nvGraphicFramePr>
        <xdr:cNvPr id="6" name="Chart 5">
          <a:extLst>
            <a:ext uri="{FF2B5EF4-FFF2-40B4-BE49-F238E27FC236}">
              <a16:creationId xmlns:a16="http://schemas.microsoft.com/office/drawing/2014/main" id="{B2842194-66E3-CCEF-61CC-D0C7549450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19439</xdr:colOff>
      <xdr:row>4</xdr:row>
      <xdr:rowOff>155509</xdr:rowOff>
    </xdr:from>
    <xdr:to>
      <xdr:col>9</xdr:col>
      <xdr:colOff>311020</xdr:colOff>
      <xdr:row>17</xdr:row>
      <xdr:rowOff>38876</xdr:rowOff>
    </xdr:to>
    <xdr:graphicFrame macro="">
      <xdr:nvGraphicFramePr>
        <xdr:cNvPr id="7" name="Chart 6">
          <a:extLst>
            <a:ext uri="{FF2B5EF4-FFF2-40B4-BE49-F238E27FC236}">
              <a16:creationId xmlns:a16="http://schemas.microsoft.com/office/drawing/2014/main" id="{DDB9C3C2-29E1-CFAE-653A-7C1381142B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28</xdr:row>
      <xdr:rowOff>0</xdr:rowOff>
    </xdr:from>
    <xdr:to>
      <xdr:col>1</xdr:col>
      <xdr:colOff>590550</xdr:colOff>
      <xdr:row>29</xdr:row>
      <xdr:rowOff>9525</xdr:rowOff>
    </xdr:to>
    <xdr:pic>
      <xdr:nvPicPr>
        <xdr:cNvPr id="7" name="Picture 6">
          <a:extLst>
            <a:ext uri="{FF2B5EF4-FFF2-40B4-BE49-F238E27FC236}">
              <a16:creationId xmlns:a16="http://schemas.microsoft.com/office/drawing/2014/main" id="{1027FC23-5A68-E656-5D87-06F45F7427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372100"/>
          <a:ext cx="619125" cy="2000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14</xdr:col>
      <xdr:colOff>57747</xdr:colOff>
      <xdr:row>1</xdr:row>
      <xdr:rowOff>12927</xdr:rowOff>
    </xdr:from>
    <xdr:to>
      <xdr:col>24</xdr:col>
      <xdr:colOff>308883</xdr:colOff>
      <xdr:row>21</xdr:row>
      <xdr:rowOff>180294</xdr:rowOff>
    </xdr:to>
    <xdr:graphicFrame macro="">
      <xdr:nvGraphicFramePr>
        <xdr:cNvPr id="8" name="Chart 7">
          <a:extLst>
            <a:ext uri="{FF2B5EF4-FFF2-40B4-BE49-F238E27FC236}">
              <a16:creationId xmlns:a16="http://schemas.microsoft.com/office/drawing/2014/main" id="{4E4414E2-D2E3-4AD4-A7D0-AAE087F0E1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24</xdr:col>
      <xdr:colOff>301626</xdr:colOff>
      <xdr:row>16</xdr:row>
      <xdr:rowOff>181291</xdr:rowOff>
    </xdr:from>
    <xdr:to>
      <xdr:col>27</xdr:col>
      <xdr:colOff>587376</xdr:colOff>
      <xdr:row>33</xdr:row>
      <xdr:rowOff>177459</xdr:rowOff>
    </xdr:to>
    <mc:AlternateContent xmlns:mc="http://schemas.openxmlformats.org/markup-compatibility/2006" xmlns:sle15="http://schemas.microsoft.com/office/drawing/2012/slicer">
      <mc:Choice Requires="sle15">
        <xdr:graphicFrame macro="">
          <xdr:nvGraphicFramePr>
            <xdr:cNvPr id="2" name="Week">
              <a:extLst>
                <a:ext uri="{FF2B5EF4-FFF2-40B4-BE49-F238E27FC236}">
                  <a16:creationId xmlns:a16="http://schemas.microsoft.com/office/drawing/2014/main" id="{5AAC9385-8A6D-47CB-92FF-872392DD8C9C}"/>
                </a:ext>
              </a:extLst>
            </xdr:cNvPr>
            <xdr:cNvGraphicFramePr/>
          </xdr:nvGraphicFramePr>
          <xdr:xfrm>
            <a:off x="0" y="0"/>
            <a:ext cx="0" cy="0"/>
          </xdr:xfrm>
          <a:graphic>
            <a:graphicData uri="http://schemas.microsoft.com/office/drawing/2010/slicer">
              <sle:slicer xmlns:sle="http://schemas.microsoft.com/office/drawing/2010/slicer" name="Week"/>
            </a:graphicData>
          </a:graphic>
        </xdr:graphicFrame>
      </mc:Choice>
      <mc:Fallback xmlns="">
        <xdr:sp macro="" textlink="">
          <xdr:nvSpPr>
            <xdr:cNvPr id="0" name=""/>
            <xdr:cNvSpPr>
              <a:spLocks noTextEdit="1"/>
            </xdr:cNvSpPr>
          </xdr:nvSpPr>
          <xdr:spPr>
            <a:xfrm>
              <a:off x="14360526" y="3896041"/>
              <a:ext cx="2114550" cy="3234668"/>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24</xdr:col>
      <xdr:colOff>311028</xdr:colOff>
      <xdr:row>1</xdr:row>
      <xdr:rowOff>2037</xdr:rowOff>
    </xdr:from>
    <xdr:to>
      <xdr:col>27</xdr:col>
      <xdr:colOff>571500</xdr:colOff>
      <xdr:row>16</xdr:row>
      <xdr:rowOff>174625</xdr:rowOff>
    </xdr:to>
    <mc:AlternateContent xmlns:mc="http://schemas.openxmlformats.org/markup-compatibility/2006" xmlns:sle15="http://schemas.microsoft.com/office/drawing/2012/slicer">
      <mc:Choice Requires="sle15">
        <xdr:graphicFrame macro="">
          <xdr:nvGraphicFramePr>
            <xdr:cNvPr id="15" name="Column1">
              <a:extLst>
                <a:ext uri="{FF2B5EF4-FFF2-40B4-BE49-F238E27FC236}">
                  <a16:creationId xmlns:a16="http://schemas.microsoft.com/office/drawing/2014/main" id="{D1037289-8F29-4050-BE87-6A7446D346BA}"/>
                </a:ext>
              </a:extLst>
            </xdr:cNvPr>
            <xdr:cNvGraphicFramePr/>
          </xdr:nvGraphicFramePr>
          <xdr:xfrm>
            <a:off x="0" y="0"/>
            <a:ext cx="0" cy="0"/>
          </xdr:xfrm>
          <a:graphic>
            <a:graphicData uri="http://schemas.microsoft.com/office/drawing/2010/slicer">
              <sle:slicer xmlns:sle="http://schemas.microsoft.com/office/drawing/2010/slicer" name="Column1"/>
            </a:graphicData>
          </a:graphic>
        </xdr:graphicFrame>
      </mc:Choice>
      <mc:Fallback xmlns="">
        <xdr:sp macro="" textlink="">
          <xdr:nvSpPr>
            <xdr:cNvPr id="0" name=""/>
            <xdr:cNvSpPr>
              <a:spLocks noTextEdit="1"/>
            </xdr:cNvSpPr>
          </xdr:nvSpPr>
          <xdr:spPr>
            <a:xfrm>
              <a:off x="14369928" y="859287"/>
              <a:ext cx="2089272" cy="3030088"/>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xdr:from>
      <xdr:col>1</xdr:col>
      <xdr:colOff>58658</xdr:colOff>
      <xdr:row>15</xdr:row>
      <xdr:rowOff>103672</xdr:rowOff>
    </xdr:from>
    <xdr:to>
      <xdr:col>7</xdr:col>
      <xdr:colOff>383903</xdr:colOff>
      <xdr:row>35</xdr:row>
      <xdr:rowOff>158750</xdr:rowOff>
    </xdr:to>
    <xdr:graphicFrame macro="">
      <xdr:nvGraphicFramePr>
        <xdr:cNvPr id="16" name="Chart 15">
          <a:extLst>
            <a:ext uri="{FF2B5EF4-FFF2-40B4-BE49-F238E27FC236}">
              <a16:creationId xmlns:a16="http://schemas.microsoft.com/office/drawing/2014/main" id="{3CF2B155-3DE6-4210-A314-A04E2AED62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93449</xdr:colOff>
      <xdr:row>1</xdr:row>
      <xdr:rowOff>29331</xdr:rowOff>
    </xdr:from>
    <xdr:to>
      <xdr:col>14</xdr:col>
      <xdr:colOff>184982</xdr:colOff>
      <xdr:row>15</xdr:row>
      <xdr:rowOff>116449</xdr:rowOff>
    </xdr:to>
    <xdr:graphicFrame macro="">
      <xdr:nvGraphicFramePr>
        <xdr:cNvPr id="18" name="Chart 17">
          <a:extLst>
            <a:ext uri="{FF2B5EF4-FFF2-40B4-BE49-F238E27FC236}">
              <a16:creationId xmlns:a16="http://schemas.microsoft.com/office/drawing/2014/main" id="{62C76DEE-3904-473B-A644-6AE34BAD7E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338893</xdr:colOff>
      <xdr:row>15</xdr:row>
      <xdr:rowOff>107214</xdr:rowOff>
    </xdr:from>
    <xdr:to>
      <xdr:col>14</xdr:col>
      <xdr:colOff>168372</xdr:colOff>
      <xdr:row>35</xdr:row>
      <xdr:rowOff>174625</xdr:rowOff>
    </xdr:to>
    <xdr:graphicFrame macro="">
      <xdr:nvGraphicFramePr>
        <xdr:cNvPr id="19" name="Chart 18">
          <a:extLst>
            <a:ext uri="{FF2B5EF4-FFF2-40B4-BE49-F238E27FC236}">
              <a16:creationId xmlns:a16="http://schemas.microsoft.com/office/drawing/2014/main" id="{0E819ACD-C657-45AB-83D7-A09522AA09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186531</xdr:colOff>
      <xdr:row>22</xdr:row>
      <xdr:rowOff>3446</xdr:rowOff>
    </xdr:from>
    <xdr:to>
      <xdr:col>24</xdr:col>
      <xdr:colOff>254000</xdr:colOff>
      <xdr:row>35</xdr:row>
      <xdr:rowOff>158750</xdr:rowOff>
    </xdr:to>
    <xdr:graphicFrame macro="">
      <xdr:nvGraphicFramePr>
        <xdr:cNvPr id="20" name="Chart 19">
          <a:extLst>
            <a:ext uri="{FF2B5EF4-FFF2-40B4-BE49-F238E27FC236}">
              <a16:creationId xmlns:a16="http://schemas.microsoft.com/office/drawing/2014/main" id="{6EFDA530-493F-45B7-A9A3-00C6AB6651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LCOT" refreshedDate="45051.66329178241" createdVersion="8" refreshedVersion="8" minRefreshableVersion="3" recordCount="21" xr:uid="{547A5738-79CC-4302-9A4A-0BEEDD58F22A}">
  <cacheSource type="worksheet">
    <worksheetSource name="Table2"/>
  </cacheSource>
  <cacheFields count="11">
    <cacheField name="Column1" numFmtId="0">
      <sharedItems count="21">
        <s v="week1"/>
        <s v="week2"/>
        <s v="week3"/>
        <s v="week4"/>
        <s v="week5"/>
        <s v="week6"/>
        <s v="week7"/>
        <s v="week8"/>
        <s v="week9"/>
        <s v="week10"/>
        <s v="week11"/>
        <s v="week12"/>
        <s v="week13"/>
        <s v="week14"/>
        <s v="week15"/>
        <s v="week16"/>
        <s v="week17"/>
        <s v="week18"/>
        <s v="week19"/>
        <s v="week20"/>
        <s v="Grand Total"/>
      </sharedItems>
    </cacheField>
    <cacheField name="Agri" numFmtId="0">
      <sharedItems containsSemiMixedTypes="0" containsString="0" containsNumber="1" containsInteger="1" minValue="0" maxValue="36095" count="17">
        <n v="5870"/>
        <n v="1430"/>
        <n v="3100"/>
        <n v="1975"/>
        <n v="0"/>
        <n v="3600"/>
        <n v="300"/>
        <n v="1900"/>
        <n v="150"/>
        <n v="5150"/>
        <n v="5020"/>
        <n v="400"/>
        <n v="1700"/>
        <n v="3000"/>
        <n v="500"/>
        <n v="2000"/>
        <n v="36095"/>
      </sharedItems>
    </cacheField>
    <cacheField name="Education" numFmtId="0">
      <sharedItems containsSemiMixedTypes="0" containsString="0" containsNumber="1" containsInteger="1" minValue="0" maxValue="7250" count="12">
        <n v="140"/>
        <n v="30"/>
        <n v="0"/>
        <n v="1070"/>
        <n v="1500"/>
        <n v="200"/>
        <n v="1000"/>
        <n v="160"/>
        <n v="1300"/>
        <n v="50"/>
        <n v="400"/>
        <n v="7250"/>
      </sharedItems>
    </cacheField>
    <cacheField name="Dairy" numFmtId="0">
      <sharedItems containsSemiMixedTypes="0" containsString="0" containsNumber="1" containsInteger="1" minValue="0" maxValue="43670" count="11">
        <n v="0"/>
        <n v="4000"/>
        <n v="7000"/>
        <n v="3100"/>
        <n v="5000"/>
        <n v="2200"/>
        <n v="1370"/>
        <n v="1500"/>
        <n v="7500"/>
        <n v="3000"/>
        <n v="43670"/>
      </sharedItems>
    </cacheField>
    <cacheField name="Petrol" numFmtId="0">
      <sharedItems containsSemiMixedTypes="0" containsString="0" containsNumber="1" containsInteger="1" minValue="0" maxValue="11200"/>
    </cacheField>
    <cacheField name="Food" numFmtId="0">
      <sharedItems containsSemiMixedTypes="0" containsString="0" containsNumber="1" containsInteger="1" minValue="0" maxValue="31891"/>
    </cacheField>
    <cacheField name="Gift" numFmtId="0">
      <sharedItems containsSemiMixedTypes="0" containsString="0" containsNumber="1" containsInteger="1" minValue="0" maxValue="5000"/>
    </cacheField>
    <cacheField name="Other expenditure" numFmtId="0">
      <sharedItems containsSemiMixedTypes="0" containsString="0" containsNumber="1" containsInteger="1" minValue="0" maxValue="36900"/>
    </cacheField>
    <cacheField name="Flower" numFmtId="0">
      <sharedItems containsSemiMixedTypes="0" containsString="0" containsNumber="1" containsInteger="1" minValue="0" maxValue="6545"/>
    </cacheField>
    <cacheField name="Bike" numFmtId="0">
      <sharedItems containsSemiMixedTypes="0" containsString="0" containsNumber="1" containsInteger="1" minValue="0" maxValue="8200" count="4">
        <n v="2200"/>
        <n v="0"/>
        <n v="6000"/>
        <n v="8200"/>
      </sharedItems>
    </cacheField>
    <cacheField name="Total Expenses- Per week" numFmtId="0">
      <sharedItems containsSemiMixedTypes="0" containsString="0" containsNumber="1" containsInteger="1" minValue="1000" maxValue="18675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
  <r>
    <x v="0"/>
    <x v="0"/>
    <x v="0"/>
    <x v="0"/>
    <n v="1000"/>
    <n v="0"/>
    <n v="0"/>
    <n v="0"/>
    <n v="80"/>
    <x v="0"/>
    <n v="9290"/>
  </r>
  <r>
    <x v="1"/>
    <x v="1"/>
    <x v="1"/>
    <x v="1"/>
    <n v="600"/>
    <n v="95"/>
    <n v="0"/>
    <n v="0"/>
    <n v="180"/>
    <x v="1"/>
    <n v="6335"/>
  </r>
  <r>
    <x v="2"/>
    <x v="2"/>
    <x v="2"/>
    <x v="0"/>
    <n v="200"/>
    <n v="10772"/>
    <n v="0"/>
    <n v="2000"/>
    <n v="50"/>
    <x v="1"/>
    <n v="16122"/>
  </r>
  <r>
    <x v="3"/>
    <x v="3"/>
    <x v="3"/>
    <x v="0"/>
    <n v="500"/>
    <n v="560"/>
    <n v="0"/>
    <n v="0"/>
    <n v="150"/>
    <x v="1"/>
    <n v="4255"/>
  </r>
  <r>
    <x v="4"/>
    <x v="4"/>
    <x v="4"/>
    <x v="2"/>
    <n v="0"/>
    <n v="440"/>
    <n v="0"/>
    <n v="0"/>
    <n v="0"/>
    <x v="1"/>
    <n v="8940"/>
  </r>
  <r>
    <x v="5"/>
    <x v="5"/>
    <x v="2"/>
    <x v="0"/>
    <n v="1500"/>
    <n v="335"/>
    <n v="0"/>
    <n v="0"/>
    <n v="1250"/>
    <x v="1"/>
    <n v="6685"/>
  </r>
  <r>
    <x v="6"/>
    <x v="6"/>
    <x v="5"/>
    <x v="3"/>
    <n v="0"/>
    <n v="240"/>
    <n v="500"/>
    <n v="0"/>
    <n v="50"/>
    <x v="1"/>
    <n v="4390"/>
  </r>
  <r>
    <x v="7"/>
    <x v="7"/>
    <x v="2"/>
    <x v="0"/>
    <n v="100"/>
    <n v="3055"/>
    <n v="0"/>
    <n v="0"/>
    <n v="250"/>
    <x v="1"/>
    <n v="5305"/>
  </r>
  <r>
    <x v="8"/>
    <x v="8"/>
    <x v="6"/>
    <x v="4"/>
    <n v="1800"/>
    <n v="50"/>
    <n v="0"/>
    <n v="0"/>
    <n v="125"/>
    <x v="1"/>
    <n v="8125"/>
  </r>
  <r>
    <x v="9"/>
    <x v="4"/>
    <x v="2"/>
    <x v="5"/>
    <n v="0"/>
    <n v="650"/>
    <n v="0"/>
    <n v="0"/>
    <n v="0"/>
    <x v="1"/>
    <n v="2850"/>
  </r>
  <r>
    <x v="10"/>
    <x v="4"/>
    <x v="5"/>
    <x v="0"/>
    <n v="1300"/>
    <n v="5519"/>
    <n v="0"/>
    <n v="0"/>
    <n v="100"/>
    <x v="1"/>
    <n v="7119"/>
  </r>
  <r>
    <x v="11"/>
    <x v="4"/>
    <x v="7"/>
    <x v="1"/>
    <n v="0"/>
    <n v="300"/>
    <n v="0"/>
    <n v="0"/>
    <n v="150"/>
    <x v="1"/>
    <n v="4610"/>
  </r>
  <r>
    <x v="12"/>
    <x v="9"/>
    <x v="2"/>
    <x v="6"/>
    <n v="0"/>
    <n v="45"/>
    <n v="0"/>
    <n v="0"/>
    <n v="2160"/>
    <x v="1"/>
    <n v="8725"/>
  </r>
  <r>
    <x v="13"/>
    <x v="10"/>
    <x v="8"/>
    <x v="4"/>
    <n v="1500"/>
    <n v="400"/>
    <n v="3000"/>
    <n v="4000"/>
    <n v="0"/>
    <x v="1"/>
    <n v="20220"/>
  </r>
  <r>
    <x v="14"/>
    <x v="11"/>
    <x v="9"/>
    <x v="7"/>
    <n v="0"/>
    <n v="0"/>
    <n v="0"/>
    <n v="0"/>
    <n v="0"/>
    <x v="1"/>
    <n v="1950"/>
  </r>
  <r>
    <x v="15"/>
    <x v="12"/>
    <x v="5"/>
    <x v="8"/>
    <n v="1500"/>
    <n v="4030"/>
    <n v="0"/>
    <n v="25000"/>
    <n v="0"/>
    <x v="1"/>
    <n v="39930"/>
  </r>
  <r>
    <x v="16"/>
    <x v="13"/>
    <x v="10"/>
    <x v="0"/>
    <n v="0"/>
    <n v="200"/>
    <n v="1000"/>
    <n v="5000"/>
    <n v="700"/>
    <x v="1"/>
    <n v="10300"/>
  </r>
  <r>
    <x v="17"/>
    <x v="14"/>
    <x v="2"/>
    <x v="9"/>
    <n v="800"/>
    <n v="1500"/>
    <n v="0"/>
    <n v="0"/>
    <n v="700"/>
    <x v="1"/>
    <n v="6500"/>
  </r>
  <r>
    <x v="18"/>
    <x v="15"/>
    <x v="6"/>
    <x v="0"/>
    <n v="0"/>
    <n v="3700"/>
    <n v="500"/>
    <n v="900"/>
    <n v="0"/>
    <x v="2"/>
    <n v="14100"/>
  </r>
  <r>
    <x v="19"/>
    <x v="4"/>
    <x v="2"/>
    <x v="0"/>
    <n v="400"/>
    <n v="0"/>
    <n v="0"/>
    <n v="0"/>
    <n v="600"/>
    <x v="1"/>
    <n v="1000"/>
  </r>
  <r>
    <x v="20"/>
    <x v="16"/>
    <x v="11"/>
    <x v="10"/>
    <n v="11200"/>
    <n v="31891"/>
    <n v="5000"/>
    <n v="36900"/>
    <n v="6545"/>
    <x v="3"/>
    <n v="18675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43DEF24-96D4-4886-95DD-1C15AB9DE7A7}" name="PivotTable1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C27:M43" firstHeaderRow="0" firstDataRow="1" firstDataCol="1"/>
  <pivotFields count="11">
    <pivotField axis="axisRow" multipleItemSelectionAllowed="1" showAll="0">
      <items count="22">
        <item x="20"/>
        <item h="1" x="0"/>
        <item x="9"/>
        <item h="1" x="10"/>
        <item h="1" x="11"/>
        <item h="1" x="12"/>
        <item h="1" x="13"/>
        <item h="1" x="14"/>
        <item x="15"/>
        <item x="16"/>
        <item x="17"/>
        <item x="18"/>
        <item x="1"/>
        <item x="19"/>
        <item x="2"/>
        <item x="3"/>
        <item x="4"/>
        <item x="5"/>
        <item x="6"/>
        <item x="7"/>
        <item x="8"/>
        <item t="default"/>
      </items>
    </pivotField>
    <pivotField dataField="1" showAll="0">
      <items count="18">
        <item x="4"/>
        <item x="8"/>
        <item x="6"/>
        <item x="11"/>
        <item x="14"/>
        <item x="1"/>
        <item x="12"/>
        <item x="7"/>
        <item x="3"/>
        <item x="15"/>
        <item x="13"/>
        <item x="2"/>
        <item x="5"/>
        <item x="10"/>
        <item x="9"/>
        <item x="0"/>
        <item x="16"/>
        <item t="default"/>
      </items>
    </pivotField>
    <pivotField dataField="1" showAll="0">
      <items count="13">
        <item x="2"/>
        <item x="1"/>
        <item x="9"/>
        <item x="0"/>
        <item x="7"/>
        <item x="5"/>
        <item x="10"/>
        <item x="6"/>
        <item x="3"/>
        <item x="8"/>
        <item x="4"/>
        <item x="11"/>
        <item t="default"/>
      </items>
    </pivotField>
    <pivotField dataField="1" showAll="0">
      <items count="12">
        <item x="0"/>
        <item x="6"/>
        <item x="7"/>
        <item x="5"/>
        <item x="9"/>
        <item x="3"/>
        <item x="1"/>
        <item x="4"/>
        <item x="2"/>
        <item x="8"/>
        <item x="10"/>
        <item t="default"/>
      </items>
    </pivotField>
    <pivotField dataField="1" showAll="0"/>
    <pivotField dataField="1" showAll="0"/>
    <pivotField dataField="1" showAll="0"/>
    <pivotField dataField="1" showAll="0"/>
    <pivotField dataField="1" showAll="0"/>
    <pivotField dataField="1" showAll="0"/>
    <pivotField dataField="1" showAll="0"/>
  </pivotFields>
  <rowFields count="1">
    <field x="0"/>
  </rowFields>
  <rowItems count="16">
    <i>
      <x/>
    </i>
    <i>
      <x v="2"/>
    </i>
    <i>
      <x v="8"/>
    </i>
    <i>
      <x v="9"/>
    </i>
    <i>
      <x v="10"/>
    </i>
    <i>
      <x v="11"/>
    </i>
    <i>
      <x v="12"/>
    </i>
    <i>
      <x v="13"/>
    </i>
    <i>
      <x v="14"/>
    </i>
    <i>
      <x v="15"/>
    </i>
    <i>
      <x v="16"/>
    </i>
    <i>
      <x v="17"/>
    </i>
    <i>
      <x v="18"/>
    </i>
    <i>
      <x v="19"/>
    </i>
    <i>
      <x v="20"/>
    </i>
    <i t="grand">
      <x/>
    </i>
  </rowItems>
  <colFields count="1">
    <field x="-2"/>
  </colFields>
  <colItems count="10">
    <i>
      <x/>
    </i>
    <i i="1">
      <x v="1"/>
    </i>
    <i i="2">
      <x v="2"/>
    </i>
    <i i="3">
      <x v="3"/>
    </i>
    <i i="4">
      <x v="4"/>
    </i>
    <i i="5">
      <x v="5"/>
    </i>
    <i i="6">
      <x v="6"/>
    </i>
    <i i="7">
      <x v="7"/>
    </i>
    <i i="8">
      <x v="8"/>
    </i>
    <i i="9">
      <x v="9"/>
    </i>
  </colItems>
  <dataFields count="10">
    <dataField name="Sum of Education" fld="2" baseField="0" baseItem="0"/>
    <dataField name="Sum of Agri" fld="1" baseField="0" baseItem="0"/>
    <dataField name="Sum of Dairy" fld="3" baseField="0" baseItem="0"/>
    <dataField name="Sum of Petrol" fld="4" baseField="0" baseItem="0"/>
    <dataField name="Sum of Food" fld="5" baseField="0" baseItem="0"/>
    <dataField name="Sum of Gift" fld="6" baseField="0" baseItem="0"/>
    <dataField name="Sum of Other expenditure" fld="7" baseField="0" baseItem="0"/>
    <dataField name="Sum of Horticulture" fld="8" baseField="0" baseItem="0"/>
    <dataField name="Sum of Bike" fld="9" baseField="0" baseItem="0"/>
    <dataField name="Sum of Total Expenses- Per week" fld="1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eek" xr10:uid="{0F0400B6-7F0C-4B66-AB25-7E70A5123792}" sourceName="Week">
  <extLst>
    <x:ext xmlns:x15="http://schemas.microsoft.com/office/spreadsheetml/2010/11/main" uri="{2F2917AC-EB37-4324-AD4E-5DD8C200BD13}">
      <x15:tableSlicerCache tableId="3" column="1"/>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lumn1" xr10:uid="{E99227B3-8D64-43DB-9635-DD8181E45EFE}" sourceName="Item">
  <extLst>
    <x:ext xmlns:x15="http://schemas.microsoft.com/office/spreadsheetml/2010/11/main" uri="{2F2917AC-EB37-4324-AD4E-5DD8C200BD13}">
      <x15:tableSlicerCache tableId="4" column="1"/>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Week" xr10:uid="{5F82380B-F042-41EC-8778-95BAF31DA26A}" cache="Slicer_Week" caption="Week" rowHeight="241300"/>
  <slicer name="Column1" xr10:uid="{7F46A168-3279-4FB7-A1E2-C2ABB73EAA21}" cache="Slicer_Column1" caption="Item"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D8C70A5-4769-4935-B869-C4214E79B83B}" name="Table3" displayName="Table3" ref="A1:F22" totalsRowShown="0" headerRowDxfId="17">
  <autoFilter ref="A1:F22" xr:uid="{FD8C70A5-4769-4935-B869-C4214E79B83B}"/>
  <tableColumns count="6">
    <tableColumn id="1" xr3:uid="{01F88344-2EA5-497C-8AF3-0ADB50E55E5A}" name="Week"/>
    <tableColumn id="2" xr3:uid="{EC09903E-6EF8-4834-A358-97E7B1EEC8C3}" name="Oleander"/>
    <tableColumn id="3" xr3:uid="{6AB5991F-7E25-444E-9F79-F52AEA06DFDC}" name="Jasmine"/>
    <tableColumn id="4" xr3:uid="{CC87FAA1-E861-427D-A789-C90AD2B9666B}" name="Milk"/>
    <tableColumn id="5" xr3:uid="{0652D4BD-EDF4-401F-9309-C4AA39CBAD70}" name="Banty"/>
    <tableColumn id="6" xr3:uid="{47F45086-7500-4732-9539-A68FEF55A21D}" name="Total Income"/>
  </tableColumns>
  <tableStyleInfo name="TableStyleLight10"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9CDE1DC-7617-4597-86E4-570FCD042481}" name="Table1" displayName="Table1" ref="A1:E123" totalsRowShown="0" headerRowDxfId="16" headerRowBorderDxfId="15" tableBorderDxfId="14" totalsRowBorderDxfId="13">
  <autoFilter ref="A1:E123" xr:uid="{09CDE1DC-7617-4597-86E4-570FCD042481}"/>
  <tableColumns count="5">
    <tableColumn id="1" xr3:uid="{ABC9F059-8424-40AF-952E-C01E41C1B3FC}" name="Weeks" dataDxfId="12"/>
    <tableColumn id="2" xr3:uid="{E80273B7-DA3F-47E0-8F9B-1E6F2707772D}" name="Date" dataDxfId="11"/>
    <tableColumn id="3" xr3:uid="{2B68904A-8369-4877-BCD6-2A48ECBE580A}" name="Items" dataDxfId="10"/>
    <tableColumn id="4" xr3:uid="{EEF1CA4C-651C-4C65-9768-72A8DB1FBAA1}" name="Amount" dataDxfId="9"/>
    <tableColumn id="5" xr3:uid="{B8EF2063-F522-4EA3-B231-029810531164}" name="Remarks" dataDxfId="8"/>
  </tableColumns>
  <tableStyleInfo name="TableStyleLight10"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84C6EBE-6156-4CAD-8A74-07F9D77A65FD}" name="Table2" displayName="Table2" ref="A1:J22" totalsRowShown="0" headerRowDxfId="7">
  <autoFilter ref="A1:J22" xr:uid="{884C6EBE-6156-4CAD-8A74-07F9D77A65FD}"/>
  <tableColumns count="10">
    <tableColumn id="1" xr3:uid="{20DF4A98-3031-485D-9161-A7708F3622AE}" name="Week"/>
    <tableColumn id="2" xr3:uid="{A9165B3D-58A7-45C3-AB85-80FF9FC4B36D}" name="Agri"/>
    <tableColumn id="3" xr3:uid="{EBD4F87C-D815-4FD5-87AD-F92752C0DFB8}" name="Education"/>
    <tableColumn id="4" xr3:uid="{2636B33B-E74D-4811-B7BB-207063860F10}" name="Dairy"/>
    <tableColumn id="5" xr3:uid="{BEDA3A65-E253-438D-9A3A-9E98F69C140B}" name="Vechicle"/>
    <tableColumn id="6" xr3:uid="{6D09604B-9601-4455-8243-C7697F00D955}" name="Food"/>
    <tableColumn id="7" xr3:uid="{5D40039E-578F-4ED7-BA87-2ADD9A547E45}" name="Gift"/>
    <tableColumn id="8" xr3:uid="{698488D3-4013-4492-AE76-020A9A117434}" name="Other expenditure"/>
    <tableColumn id="9" xr3:uid="{30148393-48AB-4461-BD18-F9E3BC344B94}" name="Horticulture"/>
    <tableColumn id="11" xr3:uid="{1ED92B69-7C85-4447-9A03-0D0C984146CA}" name="Total Expenses- Per week"/>
  </tableColumns>
  <tableStyleInfo name="TableStyleLight10"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60472A9-9B2E-417B-9F7E-FFFD21A63276}" name="Table4" displayName="Table4" ref="L4:M13" totalsRowShown="0" headerRowDxfId="6" dataDxfId="4" headerRowBorderDxfId="5" tableBorderDxfId="3" totalsRowBorderDxfId="2">
  <autoFilter ref="L4:M13" xr:uid="{360472A9-9B2E-417B-9F7E-FFFD21A63276}"/>
  <tableColumns count="2">
    <tableColumn id="1" xr3:uid="{4BDEFA3A-BD05-404B-B6B2-0D527C8D7F84}" name="Item" dataDxfId="1"/>
    <tableColumn id="2" xr3:uid="{95EA9E9A-B939-4B9F-B437-02375292439E}" name="Rupees"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5.bin"/><Relationship Id="rId1" Type="http://schemas.openxmlformats.org/officeDocument/2006/relationships/pivotTable" Target="../pivotTables/pivotTable1.xml"/><Relationship Id="rId5" Type="http://schemas.openxmlformats.org/officeDocument/2006/relationships/table" Target="../tables/table4.xml"/><Relationship Id="rId4" Type="http://schemas.openxmlformats.org/officeDocument/2006/relationships/table" Target="../tables/table3.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148551-7D61-44C2-A23F-7F5EC158ED16}">
  <dimension ref="A1"/>
  <sheetViews>
    <sheetView workbookViewId="0">
      <selection sqref="A1:XFD1048576"/>
    </sheetView>
  </sheetViews>
  <sheetFormatPr defaultRowHeight="15.75" x14ac:dyDescent="0.25"/>
  <cols>
    <col min="1" max="16384" width="9.140625" style="49"/>
  </cols>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94E4B7-1D9D-4EB7-968D-B15EA8E4DD74}">
  <dimension ref="A1:S124"/>
  <sheetViews>
    <sheetView zoomScale="96" zoomScaleNormal="96" workbookViewId="0">
      <pane ySplit="1" topLeftCell="A2" activePane="bottomLeft" state="frozen"/>
      <selection pane="bottomLeft" activeCell="L24" sqref="L24"/>
    </sheetView>
  </sheetViews>
  <sheetFormatPr defaultRowHeight="15" x14ac:dyDescent="0.25"/>
  <cols>
    <col min="1" max="1" width="11.140625" style="24" bestFit="1" customWidth="1"/>
    <col min="2" max="3" width="16.85546875" style="24" customWidth="1"/>
    <col min="4" max="5" width="16" style="24" customWidth="1"/>
    <col min="6" max="8" width="16.28515625" style="24" customWidth="1"/>
    <col min="9" max="9" width="16.42578125" style="24" customWidth="1"/>
    <col min="10" max="10" width="16.42578125" style="24" bestFit="1" customWidth="1"/>
    <col min="11" max="11" width="13.7109375" style="24" bestFit="1" customWidth="1"/>
    <col min="12" max="12" width="16.42578125" style="24" bestFit="1" customWidth="1"/>
    <col min="13" max="13" width="15.140625" style="24" customWidth="1"/>
    <col min="14" max="14" width="15.42578125" style="24" customWidth="1"/>
    <col min="15" max="15" width="18.140625" style="24" customWidth="1"/>
    <col min="16" max="16" width="10.140625" style="24" customWidth="1"/>
    <col min="17" max="17" width="10" style="24" customWidth="1"/>
    <col min="18" max="16384" width="9.140625" style="24"/>
  </cols>
  <sheetData>
    <row r="1" spans="1:15" s="28" customFormat="1" ht="56.25" x14ac:dyDescent="0.25">
      <c r="A1" s="26" t="s">
        <v>0</v>
      </c>
      <c r="B1" s="27" t="s">
        <v>134</v>
      </c>
      <c r="C1" s="26" t="s">
        <v>132</v>
      </c>
      <c r="D1" s="26" t="s">
        <v>4</v>
      </c>
      <c r="E1" s="27" t="s">
        <v>135</v>
      </c>
      <c r="F1" s="26" t="s">
        <v>132</v>
      </c>
      <c r="G1" s="26" t="s">
        <v>4</v>
      </c>
      <c r="H1" s="26" t="s">
        <v>132</v>
      </c>
      <c r="I1" s="27" t="s">
        <v>136</v>
      </c>
      <c r="J1" s="26" t="s">
        <v>4</v>
      </c>
      <c r="K1" s="27" t="s">
        <v>136</v>
      </c>
      <c r="L1" s="26" t="s">
        <v>4</v>
      </c>
      <c r="M1" s="26" t="s">
        <v>133</v>
      </c>
      <c r="N1" s="27" t="s">
        <v>137</v>
      </c>
      <c r="O1" s="27" t="s">
        <v>138</v>
      </c>
    </row>
    <row r="2" spans="1:15" x14ac:dyDescent="0.25">
      <c r="A2" s="23">
        <v>44621</v>
      </c>
      <c r="B2" s="24">
        <v>2.5</v>
      </c>
      <c r="C2" s="24">
        <v>240</v>
      </c>
      <c r="D2" s="24">
        <f>B2*C2</f>
        <v>600</v>
      </c>
      <c r="E2" s="24">
        <v>1</v>
      </c>
      <c r="F2" s="24">
        <v>400</v>
      </c>
      <c r="G2" s="24">
        <f>E2*F2</f>
        <v>400</v>
      </c>
      <c r="H2" s="24">
        <v>34</v>
      </c>
      <c r="I2" s="24">
        <v>11</v>
      </c>
      <c r="J2" s="24">
        <f>34*11</f>
        <v>374</v>
      </c>
      <c r="K2" s="24">
        <v>10</v>
      </c>
      <c r="L2" s="24">
        <f>34*10</f>
        <v>340</v>
      </c>
      <c r="M2" s="24">
        <f>374+340</f>
        <v>714</v>
      </c>
      <c r="O2" s="24">
        <f>D2+G2+M2+N2</f>
        <v>1714</v>
      </c>
    </row>
    <row r="3" spans="1:15" x14ac:dyDescent="0.25">
      <c r="A3" s="23">
        <v>44622</v>
      </c>
      <c r="B3" s="24">
        <v>3</v>
      </c>
      <c r="C3" s="24">
        <v>300</v>
      </c>
      <c r="D3" s="24">
        <f t="shared" ref="D3:D8" si="0">B3*C3</f>
        <v>900</v>
      </c>
      <c r="E3" s="24">
        <v>0.4</v>
      </c>
      <c r="F3" s="24">
        <v>800</v>
      </c>
      <c r="G3" s="24">
        <f t="shared" ref="G3:G34" si="1">E2*F2</f>
        <v>400</v>
      </c>
      <c r="H3" s="24">
        <v>34</v>
      </c>
      <c r="I3" s="24">
        <v>11.5</v>
      </c>
      <c r="J3" s="24">
        <f>H3*I3</f>
        <v>391</v>
      </c>
      <c r="K3" s="24">
        <v>10.5</v>
      </c>
      <c r="L3" s="24">
        <f>H3*K3</f>
        <v>357</v>
      </c>
      <c r="M3" s="24">
        <f>J3+L3</f>
        <v>748</v>
      </c>
      <c r="N3" s="24">
        <v>2100</v>
      </c>
      <c r="O3" s="24">
        <f t="shared" ref="O3:O66" si="2">D3+G3+M3+N3</f>
        <v>4148</v>
      </c>
    </row>
    <row r="4" spans="1:15" x14ac:dyDescent="0.25">
      <c r="A4" s="23">
        <v>44623</v>
      </c>
      <c r="B4" s="24">
        <v>2.7</v>
      </c>
      <c r="C4" s="24">
        <v>250</v>
      </c>
      <c r="D4" s="24">
        <f t="shared" si="0"/>
        <v>675</v>
      </c>
      <c r="E4" s="24">
        <v>0.4</v>
      </c>
      <c r="F4" s="24">
        <v>800</v>
      </c>
      <c r="G4" s="24">
        <f t="shared" si="1"/>
        <v>320</v>
      </c>
      <c r="H4" s="24">
        <v>34</v>
      </c>
      <c r="I4" s="24">
        <v>10.9</v>
      </c>
      <c r="J4" s="24">
        <f t="shared" ref="J4:J18" si="3">H4*I4</f>
        <v>370.6</v>
      </c>
      <c r="K4" s="24">
        <v>10.7</v>
      </c>
      <c r="L4" s="24">
        <f t="shared" ref="L4:L123" si="4">H4*K4</f>
        <v>363.79999999999995</v>
      </c>
      <c r="M4" s="24">
        <f t="shared" ref="M4:M123" si="5">J4+L4</f>
        <v>734.4</v>
      </c>
      <c r="O4" s="24">
        <f t="shared" si="2"/>
        <v>1729.4</v>
      </c>
    </row>
    <row r="5" spans="1:15" x14ac:dyDescent="0.25">
      <c r="A5" s="23">
        <v>44624</v>
      </c>
      <c r="B5" s="24">
        <v>3</v>
      </c>
      <c r="C5" s="24">
        <v>140</v>
      </c>
      <c r="D5" s="24">
        <f t="shared" si="0"/>
        <v>420</v>
      </c>
      <c r="E5" s="24">
        <v>0.5</v>
      </c>
      <c r="F5" s="24">
        <v>600</v>
      </c>
      <c r="G5" s="24">
        <f t="shared" si="1"/>
        <v>320</v>
      </c>
      <c r="H5" s="24">
        <v>34</v>
      </c>
      <c r="I5" s="24">
        <v>11</v>
      </c>
      <c r="J5" s="24">
        <f t="shared" si="3"/>
        <v>374</v>
      </c>
      <c r="K5" s="24">
        <v>9.6999999999999993</v>
      </c>
      <c r="L5" s="24">
        <f t="shared" si="4"/>
        <v>329.79999999999995</v>
      </c>
      <c r="M5" s="24">
        <f t="shared" si="5"/>
        <v>703.8</v>
      </c>
      <c r="N5" s="24">
        <v>600</v>
      </c>
      <c r="O5" s="24">
        <f t="shared" si="2"/>
        <v>2043.8</v>
      </c>
    </row>
    <row r="6" spans="1:15" x14ac:dyDescent="0.25">
      <c r="A6" s="23">
        <v>44625</v>
      </c>
      <c r="B6" s="24">
        <v>2.5</v>
      </c>
      <c r="C6" s="24">
        <v>150</v>
      </c>
      <c r="D6" s="24">
        <f t="shared" si="0"/>
        <v>375</v>
      </c>
      <c r="E6" s="24">
        <v>0.25</v>
      </c>
      <c r="F6" s="24">
        <v>400</v>
      </c>
      <c r="G6" s="24">
        <f t="shared" si="1"/>
        <v>300</v>
      </c>
      <c r="H6" s="24">
        <v>34</v>
      </c>
      <c r="I6" s="25">
        <v>11</v>
      </c>
      <c r="J6" s="24">
        <f t="shared" si="3"/>
        <v>374</v>
      </c>
      <c r="K6" s="24">
        <v>9.8000000000000007</v>
      </c>
      <c r="L6" s="24">
        <f t="shared" si="4"/>
        <v>333.20000000000005</v>
      </c>
      <c r="M6" s="24">
        <f t="shared" si="5"/>
        <v>707.2</v>
      </c>
      <c r="O6" s="24">
        <f t="shared" si="2"/>
        <v>1382.2</v>
      </c>
    </row>
    <row r="7" spans="1:15" x14ac:dyDescent="0.25">
      <c r="A7" s="23">
        <v>44626</v>
      </c>
      <c r="B7" s="24">
        <v>2.5</v>
      </c>
      <c r="C7" s="24">
        <v>200</v>
      </c>
      <c r="D7" s="24">
        <f t="shared" si="0"/>
        <v>500</v>
      </c>
      <c r="E7" s="24">
        <v>0.35</v>
      </c>
      <c r="F7" s="24">
        <v>500</v>
      </c>
      <c r="G7" s="24">
        <f t="shared" si="1"/>
        <v>100</v>
      </c>
      <c r="H7" s="24">
        <v>34</v>
      </c>
      <c r="I7" s="24">
        <v>11</v>
      </c>
      <c r="J7" s="24">
        <f t="shared" si="3"/>
        <v>374</v>
      </c>
      <c r="K7" s="24">
        <v>10</v>
      </c>
      <c r="L7" s="24">
        <f t="shared" si="4"/>
        <v>340</v>
      </c>
      <c r="M7" s="24">
        <f t="shared" si="5"/>
        <v>714</v>
      </c>
      <c r="O7" s="24">
        <f t="shared" si="2"/>
        <v>1314</v>
      </c>
    </row>
    <row r="8" spans="1:15" x14ac:dyDescent="0.25">
      <c r="A8" s="23">
        <v>44627</v>
      </c>
      <c r="B8" s="24">
        <v>2.8</v>
      </c>
      <c r="C8" s="24">
        <v>150</v>
      </c>
      <c r="D8" s="24">
        <f t="shared" si="0"/>
        <v>420</v>
      </c>
      <c r="E8" s="24">
        <v>0.4</v>
      </c>
      <c r="F8" s="24">
        <v>500</v>
      </c>
      <c r="G8" s="24">
        <f t="shared" si="1"/>
        <v>175</v>
      </c>
      <c r="H8" s="24">
        <v>34</v>
      </c>
      <c r="I8" s="24">
        <v>11.2</v>
      </c>
      <c r="J8" s="24">
        <f t="shared" si="3"/>
        <v>380.79999999999995</v>
      </c>
      <c r="K8" s="24">
        <v>10</v>
      </c>
      <c r="L8" s="24">
        <f t="shared" si="4"/>
        <v>340</v>
      </c>
      <c r="M8" s="24">
        <f t="shared" si="5"/>
        <v>720.8</v>
      </c>
      <c r="O8" s="24">
        <f t="shared" si="2"/>
        <v>1315.8</v>
      </c>
    </row>
    <row r="9" spans="1:15" x14ac:dyDescent="0.25">
      <c r="A9" s="23">
        <v>44628</v>
      </c>
      <c r="B9" s="24">
        <v>3.4</v>
      </c>
      <c r="C9" s="24">
        <v>180</v>
      </c>
      <c r="D9" s="24">
        <f t="shared" ref="D9:D123" si="6">B9*C9</f>
        <v>612</v>
      </c>
      <c r="E9" s="24">
        <v>0.45</v>
      </c>
      <c r="F9" s="24">
        <v>500</v>
      </c>
      <c r="G9" s="24">
        <f t="shared" si="1"/>
        <v>200</v>
      </c>
      <c r="H9" s="24">
        <v>34</v>
      </c>
      <c r="I9" s="24">
        <v>9.8800000000000008</v>
      </c>
      <c r="J9" s="24">
        <f t="shared" si="3"/>
        <v>335.92</v>
      </c>
      <c r="K9" s="24">
        <v>10</v>
      </c>
      <c r="L9" s="24">
        <f t="shared" si="4"/>
        <v>340</v>
      </c>
      <c r="M9" s="24">
        <f t="shared" si="5"/>
        <v>675.92000000000007</v>
      </c>
      <c r="N9" s="24">
        <v>5000</v>
      </c>
      <c r="O9" s="24">
        <f t="shared" si="2"/>
        <v>6487.92</v>
      </c>
    </row>
    <row r="10" spans="1:15" x14ac:dyDescent="0.25">
      <c r="A10" s="23">
        <v>44629</v>
      </c>
      <c r="B10" s="24">
        <v>3.5</v>
      </c>
      <c r="C10" s="24">
        <v>100</v>
      </c>
      <c r="D10" s="24">
        <f t="shared" si="6"/>
        <v>350</v>
      </c>
      <c r="E10" s="24">
        <v>0.5</v>
      </c>
      <c r="F10" s="24">
        <v>500</v>
      </c>
      <c r="G10" s="24">
        <f t="shared" si="1"/>
        <v>225</v>
      </c>
      <c r="H10" s="24">
        <v>34</v>
      </c>
      <c r="I10" s="24">
        <v>11.2</v>
      </c>
      <c r="J10" s="24">
        <f t="shared" si="3"/>
        <v>380.79999999999995</v>
      </c>
      <c r="K10" s="24">
        <v>10.5</v>
      </c>
      <c r="L10" s="24">
        <f t="shared" si="4"/>
        <v>357</v>
      </c>
      <c r="M10" s="24">
        <f t="shared" si="5"/>
        <v>737.8</v>
      </c>
      <c r="N10" s="24">
        <v>700</v>
      </c>
      <c r="O10" s="24">
        <f t="shared" si="2"/>
        <v>2012.8</v>
      </c>
    </row>
    <row r="11" spans="1:15" x14ac:dyDescent="0.25">
      <c r="A11" s="23">
        <v>44630</v>
      </c>
      <c r="B11" s="24">
        <v>3</v>
      </c>
      <c r="C11" s="24">
        <v>100</v>
      </c>
      <c r="D11" s="24">
        <f t="shared" si="6"/>
        <v>300</v>
      </c>
      <c r="E11" s="24">
        <v>0.55000000000000004</v>
      </c>
      <c r="F11" s="24">
        <v>400</v>
      </c>
      <c r="G11" s="24">
        <f t="shared" si="1"/>
        <v>250</v>
      </c>
      <c r="H11" s="24">
        <v>34</v>
      </c>
      <c r="I11" s="24">
        <v>11</v>
      </c>
      <c r="J11" s="24">
        <f t="shared" si="3"/>
        <v>374</v>
      </c>
      <c r="K11" s="24">
        <v>9.5</v>
      </c>
      <c r="L11" s="24">
        <f t="shared" si="4"/>
        <v>323</v>
      </c>
      <c r="M11" s="24">
        <f t="shared" si="5"/>
        <v>697</v>
      </c>
      <c r="O11" s="24">
        <f t="shared" si="2"/>
        <v>1247</v>
      </c>
    </row>
    <row r="12" spans="1:15" x14ac:dyDescent="0.25">
      <c r="A12" s="23">
        <v>44631</v>
      </c>
      <c r="B12" s="24">
        <v>4</v>
      </c>
      <c r="C12" s="24">
        <v>70</v>
      </c>
      <c r="D12" s="24">
        <f t="shared" si="6"/>
        <v>280</v>
      </c>
      <c r="E12" s="24">
        <v>0.45</v>
      </c>
      <c r="F12" s="24">
        <v>500</v>
      </c>
      <c r="G12" s="24">
        <f t="shared" si="1"/>
        <v>220.00000000000003</v>
      </c>
      <c r="H12" s="24">
        <v>34</v>
      </c>
      <c r="I12" s="24">
        <v>10.5</v>
      </c>
      <c r="J12" s="24">
        <f t="shared" si="3"/>
        <v>357</v>
      </c>
      <c r="K12" s="24">
        <v>8.5</v>
      </c>
      <c r="L12" s="24">
        <f t="shared" si="4"/>
        <v>289</v>
      </c>
      <c r="M12" s="24">
        <f t="shared" si="5"/>
        <v>646</v>
      </c>
      <c r="O12" s="24">
        <f t="shared" si="2"/>
        <v>1146</v>
      </c>
    </row>
    <row r="13" spans="1:15" x14ac:dyDescent="0.25">
      <c r="A13" s="23">
        <v>44632</v>
      </c>
      <c r="B13" s="24">
        <v>4</v>
      </c>
      <c r="C13" s="24">
        <v>60</v>
      </c>
      <c r="D13" s="24">
        <f t="shared" si="6"/>
        <v>240</v>
      </c>
      <c r="E13" s="24">
        <v>0.55000000000000004</v>
      </c>
      <c r="F13" s="24">
        <v>400</v>
      </c>
      <c r="G13" s="24">
        <f t="shared" si="1"/>
        <v>225</v>
      </c>
      <c r="H13" s="24">
        <v>34</v>
      </c>
      <c r="I13" s="24">
        <v>10.1</v>
      </c>
      <c r="J13" s="24">
        <f t="shared" si="3"/>
        <v>343.4</v>
      </c>
      <c r="K13" s="24">
        <v>8.1</v>
      </c>
      <c r="L13" s="24">
        <f t="shared" si="4"/>
        <v>275.39999999999998</v>
      </c>
      <c r="M13" s="24">
        <f t="shared" si="5"/>
        <v>618.79999999999995</v>
      </c>
      <c r="O13" s="24">
        <f t="shared" si="2"/>
        <v>1083.8</v>
      </c>
    </row>
    <row r="14" spans="1:15" x14ac:dyDescent="0.25">
      <c r="A14" s="23">
        <v>44633</v>
      </c>
      <c r="B14" s="24">
        <v>4</v>
      </c>
      <c r="C14" s="24">
        <v>50</v>
      </c>
      <c r="D14" s="24">
        <v>220</v>
      </c>
      <c r="E14" s="24">
        <v>0.4</v>
      </c>
      <c r="F14" s="24">
        <v>400</v>
      </c>
      <c r="G14" s="24">
        <f t="shared" si="1"/>
        <v>220.00000000000003</v>
      </c>
      <c r="H14" s="24">
        <v>34</v>
      </c>
      <c r="I14" s="24">
        <v>9.5</v>
      </c>
      <c r="J14" s="24">
        <f t="shared" si="3"/>
        <v>323</v>
      </c>
      <c r="K14" s="24">
        <v>9.1</v>
      </c>
      <c r="L14" s="24">
        <f t="shared" si="4"/>
        <v>309.39999999999998</v>
      </c>
      <c r="M14" s="24">
        <f t="shared" si="5"/>
        <v>632.4</v>
      </c>
      <c r="O14" s="24">
        <f t="shared" si="2"/>
        <v>1072.4000000000001</v>
      </c>
    </row>
    <row r="15" spans="1:15" x14ac:dyDescent="0.25">
      <c r="A15" s="23">
        <v>44634</v>
      </c>
      <c r="B15" s="24">
        <v>4</v>
      </c>
      <c r="C15" s="24">
        <v>55</v>
      </c>
      <c r="D15" s="24">
        <f t="shared" si="6"/>
        <v>220</v>
      </c>
      <c r="E15" s="24">
        <v>0.85</v>
      </c>
      <c r="F15" s="24">
        <v>400</v>
      </c>
      <c r="G15" s="24">
        <f t="shared" si="1"/>
        <v>160</v>
      </c>
      <c r="H15" s="24">
        <v>34</v>
      </c>
      <c r="I15" s="24">
        <v>10</v>
      </c>
      <c r="J15" s="24">
        <f t="shared" si="3"/>
        <v>340</v>
      </c>
      <c r="K15" s="24">
        <v>9.6999999999999993</v>
      </c>
      <c r="L15" s="24">
        <f t="shared" si="4"/>
        <v>329.79999999999995</v>
      </c>
      <c r="M15" s="24">
        <f t="shared" si="5"/>
        <v>669.8</v>
      </c>
      <c r="N15" s="24">
        <f>2*450</f>
        <v>900</v>
      </c>
      <c r="O15" s="24">
        <f t="shared" si="2"/>
        <v>1949.8</v>
      </c>
    </row>
    <row r="16" spans="1:15" x14ac:dyDescent="0.25">
      <c r="A16" s="23">
        <v>44635</v>
      </c>
      <c r="B16" s="24">
        <v>4</v>
      </c>
      <c r="C16" s="24">
        <v>40</v>
      </c>
      <c r="D16" s="24">
        <v>140</v>
      </c>
      <c r="E16" s="24">
        <v>0.85</v>
      </c>
      <c r="F16" s="24">
        <v>300</v>
      </c>
      <c r="G16" s="24">
        <f t="shared" si="1"/>
        <v>340</v>
      </c>
      <c r="H16" s="24">
        <v>34</v>
      </c>
      <c r="I16" s="24">
        <v>10.199999999999999</v>
      </c>
      <c r="J16" s="24">
        <f t="shared" si="3"/>
        <v>346.79999999999995</v>
      </c>
      <c r="K16" s="24">
        <v>10.5</v>
      </c>
      <c r="L16" s="24">
        <f t="shared" si="4"/>
        <v>357</v>
      </c>
      <c r="M16" s="24">
        <f t="shared" si="5"/>
        <v>703.8</v>
      </c>
      <c r="O16" s="24">
        <f t="shared" si="2"/>
        <v>1183.8</v>
      </c>
    </row>
    <row r="17" spans="1:19" x14ac:dyDescent="0.25">
      <c r="A17" s="23">
        <v>44636</v>
      </c>
      <c r="B17" s="24">
        <v>4</v>
      </c>
      <c r="C17" s="24">
        <v>60</v>
      </c>
      <c r="D17" s="24">
        <f t="shared" si="6"/>
        <v>240</v>
      </c>
      <c r="E17" s="24">
        <v>0.8</v>
      </c>
      <c r="F17" s="24">
        <v>450</v>
      </c>
      <c r="G17" s="24">
        <f t="shared" si="1"/>
        <v>255</v>
      </c>
      <c r="H17" s="24">
        <v>34</v>
      </c>
      <c r="I17" s="24">
        <v>10.6</v>
      </c>
      <c r="J17" s="24">
        <f t="shared" si="3"/>
        <v>360.4</v>
      </c>
      <c r="K17" s="24">
        <v>8.6999999999999993</v>
      </c>
      <c r="L17" s="24">
        <f t="shared" si="4"/>
        <v>295.79999999999995</v>
      </c>
      <c r="M17" s="24">
        <f t="shared" si="5"/>
        <v>656.19999999999993</v>
      </c>
      <c r="O17" s="24">
        <f t="shared" si="2"/>
        <v>1151.1999999999998</v>
      </c>
    </row>
    <row r="18" spans="1:19" x14ac:dyDescent="0.25">
      <c r="A18" s="23">
        <v>44637</v>
      </c>
      <c r="B18" s="24">
        <v>4</v>
      </c>
      <c r="C18" s="24">
        <v>50</v>
      </c>
      <c r="D18" s="24">
        <v>200</v>
      </c>
      <c r="E18" s="24">
        <v>1</v>
      </c>
      <c r="F18" s="24">
        <v>400</v>
      </c>
      <c r="G18" s="24">
        <f t="shared" si="1"/>
        <v>360</v>
      </c>
      <c r="H18" s="24">
        <v>34</v>
      </c>
      <c r="I18" s="24">
        <v>12.5</v>
      </c>
      <c r="J18" s="24">
        <f t="shared" si="3"/>
        <v>425</v>
      </c>
      <c r="K18" s="24">
        <v>11.4</v>
      </c>
      <c r="L18" s="24">
        <f t="shared" si="4"/>
        <v>387.6</v>
      </c>
      <c r="M18" s="24">
        <f t="shared" si="5"/>
        <v>812.6</v>
      </c>
      <c r="O18" s="24">
        <f t="shared" si="2"/>
        <v>1372.6</v>
      </c>
    </row>
    <row r="19" spans="1:19" x14ac:dyDescent="0.25">
      <c r="A19" s="23">
        <v>44638</v>
      </c>
      <c r="B19" s="24">
        <v>4</v>
      </c>
      <c r="C19" s="24">
        <v>50</v>
      </c>
      <c r="D19" s="24">
        <f>B19*C19</f>
        <v>200</v>
      </c>
      <c r="E19" s="24">
        <v>1.2</v>
      </c>
      <c r="F19" s="24">
        <v>350</v>
      </c>
      <c r="G19" s="24">
        <f t="shared" si="1"/>
        <v>400</v>
      </c>
      <c r="H19" s="24">
        <v>34</v>
      </c>
      <c r="I19" s="24">
        <v>14.5</v>
      </c>
      <c r="J19" s="24">
        <f t="shared" ref="J19:J25" si="7">H19*I19</f>
        <v>493</v>
      </c>
      <c r="K19" s="24">
        <v>11.5</v>
      </c>
      <c r="L19" s="24">
        <f t="shared" si="4"/>
        <v>391</v>
      </c>
      <c r="M19" s="24">
        <f t="shared" si="5"/>
        <v>884</v>
      </c>
      <c r="O19" s="24">
        <f t="shared" si="2"/>
        <v>1484</v>
      </c>
    </row>
    <row r="20" spans="1:19" x14ac:dyDescent="0.25">
      <c r="A20" s="23">
        <v>44639</v>
      </c>
      <c r="B20" s="24">
        <v>5</v>
      </c>
      <c r="C20" s="24">
        <v>40</v>
      </c>
      <c r="D20" s="24">
        <f t="shared" si="6"/>
        <v>200</v>
      </c>
      <c r="E20" s="24">
        <v>1.6</v>
      </c>
      <c r="F20" s="24">
        <v>350</v>
      </c>
      <c r="G20" s="24">
        <f t="shared" si="1"/>
        <v>420</v>
      </c>
      <c r="H20" s="24">
        <v>34</v>
      </c>
      <c r="I20" s="24">
        <v>14</v>
      </c>
      <c r="J20" s="24">
        <f t="shared" si="7"/>
        <v>476</v>
      </c>
      <c r="K20" s="24">
        <v>12.5</v>
      </c>
      <c r="L20" s="24">
        <f t="shared" si="4"/>
        <v>425</v>
      </c>
      <c r="M20" s="24">
        <f t="shared" si="5"/>
        <v>901</v>
      </c>
      <c r="O20" s="24">
        <f t="shared" si="2"/>
        <v>1521</v>
      </c>
    </row>
    <row r="21" spans="1:19" x14ac:dyDescent="0.25">
      <c r="A21" s="23">
        <v>44640</v>
      </c>
      <c r="B21" s="24">
        <v>5</v>
      </c>
      <c r="C21" s="24">
        <v>60</v>
      </c>
      <c r="D21" s="24">
        <f t="shared" si="6"/>
        <v>300</v>
      </c>
      <c r="E21" s="24">
        <v>3.95</v>
      </c>
      <c r="F21" s="24">
        <v>310</v>
      </c>
      <c r="G21" s="24">
        <f t="shared" si="1"/>
        <v>560</v>
      </c>
      <c r="H21" s="24">
        <v>34</v>
      </c>
      <c r="I21" s="24">
        <v>11</v>
      </c>
      <c r="J21" s="24">
        <f t="shared" si="7"/>
        <v>374</v>
      </c>
      <c r="K21" s="24">
        <v>10</v>
      </c>
      <c r="L21" s="24">
        <f t="shared" si="4"/>
        <v>340</v>
      </c>
      <c r="M21" s="24">
        <f t="shared" si="5"/>
        <v>714</v>
      </c>
      <c r="O21" s="24">
        <f t="shared" si="2"/>
        <v>1574</v>
      </c>
      <c r="P21" s="24" t="s">
        <v>45</v>
      </c>
      <c r="Q21" s="24">
        <v>49000</v>
      </c>
      <c r="R21" s="24">
        <v>19000</v>
      </c>
      <c r="S21" s="24" t="s">
        <v>10</v>
      </c>
    </row>
    <row r="22" spans="1:19" x14ac:dyDescent="0.25">
      <c r="A22" s="23">
        <v>44641</v>
      </c>
      <c r="B22" s="24">
        <v>5</v>
      </c>
      <c r="C22" s="24">
        <v>50</v>
      </c>
      <c r="D22" s="24">
        <f t="shared" si="6"/>
        <v>250</v>
      </c>
      <c r="E22" s="24">
        <v>4.95</v>
      </c>
      <c r="F22" s="24">
        <v>250</v>
      </c>
      <c r="G22" s="24">
        <f t="shared" si="1"/>
        <v>1224.5</v>
      </c>
      <c r="H22" s="24">
        <v>34</v>
      </c>
      <c r="I22" s="24">
        <v>11</v>
      </c>
      <c r="J22" s="24">
        <f t="shared" si="7"/>
        <v>374</v>
      </c>
      <c r="K22" s="24">
        <v>9.9</v>
      </c>
      <c r="L22" s="24">
        <f t="shared" si="4"/>
        <v>336.6</v>
      </c>
      <c r="M22" s="24">
        <f t="shared" si="5"/>
        <v>710.6</v>
      </c>
      <c r="O22" s="24">
        <f t="shared" si="2"/>
        <v>2185.1</v>
      </c>
    </row>
    <row r="23" spans="1:19" x14ac:dyDescent="0.25">
      <c r="A23" s="23">
        <v>44642</v>
      </c>
      <c r="B23" s="24">
        <v>2</v>
      </c>
      <c r="C23" s="24">
        <v>70</v>
      </c>
      <c r="D23" s="24">
        <f t="shared" si="6"/>
        <v>140</v>
      </c>
      <c r="E23" s="24">
        <v>2</v>
      </c>
      <c r="F23" s="24">
        <v>250</v>
      </c>
      <c r="G23" s="24">
        <f t="shared" si="1"/>
        <v>1237.5</v>
      </c>
      <c r="H23" s="24">
        <v>34</v>
      </c>
      <c r="I23" s="24">
        <v>11</v>
      </c>
      <c r="J23" s="24">
        <f t="shared" si="7"/>
        <v>374</v>
      </c>
      <c r="K23" s="24">
        <v>10</v>
      </c>
      <c r="L23" s="24">
        <f t="shared" si="4"/>
        <v>340</v>
      </c>
      <c r="M23" s="24">
        <f t="shared" si="5"/>
        <v>714</v>
      </c>
      <c r="O23" s="24">
        <f t="shared" si="2"/>
        <v>2091.5</v>
      </c>
    </row>
    <row r="24" spans="1:19" x14ac:dyDescent="0.25">
      <c r="A24" s="23">
        <v>44643</v>
      </c>
      <c r="B24" s="24">
        <v>3</v>
      </c>
      <c r="C24" s="24">
        <v>40</v>
      </c>
      <c r="D24" s="24">
        <f t="shared" si="6"/>
        <v>120</v>
      </c>
      <c r="E24" s="24">
        <v>6.7</v>
      </c>
      <c r="F24" s="24">
        <v>300</v>
      </c>
      <c r="G24" s="24">
        <f t="shared" si="1"/>
        <v>500</v>
      </c>
      <c r="H24" s="24">
        <v>34</v>
      </c>
      <c r="I24" s="24">
        <v>10.7</v>
      </c>
      <c r="J24" s="24">
        <f t="shared" si="7"/>
        <v>363.79999999999995</v>
      </c>
      <c r="K24" s="24">
        <v>9.6999999999999993</v>
      </c>
      <c r="L24" s="24">
        <f t="shared" si="4"/>
        <v>329.79999999999995</v>
      </c>
      <c r="M24" s="24">
        <f t="shared" si="5"/>
        <v>693.59999999999991</v>
      </c>
      <c r="O24" s="24">
        <f t="shared" si="2"/>
        <v>1313.6</v>
      </c>
    </row>
    <row r="25" spans="1:19" x14ac:dyDescent="0.25">
      <c r="A25" s="23">
        <v>44644</v>
      </c>
      <c r="B25" s="24">
        <v>3</v>
      </c>
      <c r="C25" s="24">
        <v>60</v>
      </c>
      <c r="D25" s="24">
        <f t="shared" si="6"/>
        <v>180</v>
      </c>
      <c r="E25" s="24">
        <v>10.199999999999999</v>
      </c>
      <c r="F25" s="24">
        <v>200</v>
      </c>
      <c r="G25" s="24">
        <f t="shared" si="1"/>
        <v>2010</v>
      </c>
      <c r="H25" s="24">
        <v>34</v>
      </c>
      <c r="I25" s="24">
        <v>10.5</v>
      </c>
      <c r="J25" s="24">
        <f t="shared" si="7"/>
        <v>357</v>
      </c>
      <c r="K25" s="24">
        <v>9.6</v>
      </c>
      <c r="L25" s="24">
        <f t="shared" si="4"/>
        <v>326.39999999999998</v>
      </c>
      <c r="M25" s="24">
        <f t="shared" si="5"/>
        <v>683.4</v>
      </c>
      <c r="O25" s="24">
        <f t="shared" si="2"/>
        <v>2873.4</v>
      </c>
    </row>
    <row r="26" spans="1:19" x14ac:dyDescent="0.25">
      <c r="A26" s="23">
        <v>44645</v>
      </c>
      <c r="B26" s="24">
        <v>2</v>
      </c>
      <c r="C26" s="24">
        <v>70</v>
      </c>
      <c r="D26" s="24">
        <f t="shared" si="6"/>
        <v>140</v>
      </c>
      <c r="E26" s="24">
        <v>3.15</v>
      </c>
      <c r="F26" s="24">
        <v>350</v>
      </c>
      <c r="G26" s="24">
        <f t="shared" si="1"/>
        <v>2039.9999999999998</v>
      </c>
      <c r="H26" s="24">
        <v>34</v>
      </c>
      <c r="I26" s="24">
        <v>10.4</v>
      </c>
      <c r="J26" s="24">
        <f>I26*H26</f>
        <v>353.6</v>
      </c>
      <c r="K26" s="24">
        <v>9.6999999999999993</v>
      </c>
      <c r="L26" s="24">
        <f t="shared" si="4"/>
        <v>329.79999999999995</v>
      </c>
      <c r="M26" s="24">
        <f t="shared" si="5"/>
        <v>683.4</v>
      </c>
      <c r="O26" s="24">
        <f t="shared" si="2"/>
        <v>2863.4</v>
      </c>
    </row>
    <row r="27" spans="1:19" x14ac:dyDescent="0.25">
      <c r="A27" s="23">
        <v>44646</v>
      </c>
      <c r="B27" s="24">
        <v>3</v>
      </c>
      <c r="C27" s="24">
        <v>60</v>
      </c>
      <c r="D27" s="24">
        <f t="shared" si="6"/>
        <v>180</v>
      </c>
      <c r="E27" s="24">
        <v>3.7</v>
      </c>
      <c r="F27" s="24">
        <v>300</v>
      </c>
      <c r="G27" s="24">
        <f t="shared" si="1"/>
        <v>1102.5</v>
      </c>
      <c r="H27" s="24">
        <v>34</v>
      </c>
      <c r="I27" s="24">
        <v>10.199999999999999</v>
      </c>
      <c r="J27" s="24">
        <f>I27*H27</f>
        <v>346.79999999999995</v>
      </c>
      <c r="K27" s="24">
        <v>9.4</v>
      </c>
      <c r="L27" s="24">
        <f t="shared" si="4"/>
        <v>319.60000000000002</v>
      </c>
      <c r="M27" s="24">
        <f t="shared" si="5"/>
        <v>666.4</v>
      </c>
      <c r="O27" s="24">
        <f t="shared" si="2"/>
        <v>1948.9</v>
      </c>
    </row>
    <row r="28" spans="1:19" x14ac:dyDescent="0.25">
      <c r="A28" s="23">
        <v>44647</v>
      </c>
      <c r="B28" s="24">
        <v>3</v>
      </c>
      <c r="C28" s="24">
        <v>80</v>
      </c>
      <c r="D28" s="24">
        <f t="shared" si="6"/>
        <v>240</v>
      </c>
      <c r="E28" s="24">
        <v>4.4000000000000004</v>
      </c>
      <c r="F28" s="24">
        <v>300</v>
      </c>
      <c r="G28" s="24">
        <f t="shared" si="1"/>
        <v>1110</v>
      </c>
      <c r="H28" s="24">
        <v>34</v>
      </c>
      <c r="I28" s="24">
        <v>10.3</v>
      </c>
      <c r="J28" s="24">
        <f>H28*I28</f>
        <v>350.20000000000005</v>
      </c>
      <c r="K28" s="24">
        <v>9.6999999999999993</v>
      </c>
      <c r="L28" s="24">
        <f t="shared" si="4"/>
        <v>329.79999999999995</v>
      </c>
      <c r="M28" s="24">
        <f t="shared" si="5"/>
        <v>680</v>
      </c>
      <c r="O28" s="24">
        <f t="shared" si="2"/>
        <v>2030</v>
      </c>
    </row>
    <row r="29" spans="1:19" x14ac:dyDescent="0.25">
      <c r="A29" s="23">
        <v>44648</v>
      </c>
      <c r="B29" s="24">
        <v>3</v>
      </c>
      <c r="C29" s="24">
        <v>60</v>
      </c>
      <c r="D29" s="24">
        <f t="shared" si="6"/>
        <v>180</v>
      </c>
      <c r="E29" s="24">
        <v>2.5</v>
      </c>
      <c r="F29" s="24">
        <v>250</v>
      </c>
      <c r="G29" s="24">
        <f t="shared" si="1"/>
        <v>1320</v>
      </c>
      <c r="H29" s="24">
        <v>34</v>
      </c>
      <c r="I29" s="24">
        <v>10.199999999999999</v>
      </c>
      <c r="J29" s="24">
        <f t="shared" ref="J29:J123" si="8">H29*I29</f>
        <v>346.79999999999995</v>
      </c>
      <c r="K29" s="24">
        <v>9.5</v>
      </c>
      <c r="L29" s="24">
        <f t="shared" si="4"/>
        <v>323</v>
      </c>
      <c r="M29" s="24">
        <f t="shared" si="5"/>
        <v>669.8</v>
      </c>
      <c r="N29" s="24">
        <f>450*5</f>
        <v>2250</v>
      </c>
      <c r="O29" s="24">
        <f t="shared" si="2"/>
        <v>4419.8</v>
      </c>
    </row>
    <row r="30" spans="1:19" x14ac:dyDescent="0.25">
      <c r="A30" s="23">
        <v>44649</v>
      </c>
      <c r="B30" s="24">
        <v>3</v>
      </c>
      <c r="C30" s="24">
        <v>40</v>
      </c>
      <c r="D30" s="24">
        <f t="shared" si="6"/>
        <v>120</v>
      </c>
      <c r="E30" s="24">
        <v>3.2</v>
      </c>
      <c r="F30" s="24">
        <v>220</v>
      </c>
      <c r="G30" s="24">
        <f t="shared" si="1"/>
        <v>625</v>
      </c>
      <c r="H30" s="24">
        <v>34</v>
      </c>
      <c r="I30" s="24">
        <v>10.3</v>
      </c>
      <c r="J30" s="24">
        <f t="shared" si="8"/>
        <v>350.20000000000005</v>
      </c>
      <c r="K30" s="24">
        <v>10.199999999999999</v>
      </c>
      <c r="L30" s="24">
        <f t="shared" si="4"/>
        <v>346.79999999999995</v>
      </c>
      <c r="M30" s="24">
        <f t="shared" si="5"/>
        <v>697</v>
      </c>
      <c r="O30" s="24">
        <f t="shared" si="2"/>
        <v>1442</v>
      </c>
    </row>
    <row r="31" spans="1:19" x14ac:dyDescent="0.25">
      <c r="A31" s="23">
        <v>44650</v>
      </c>
      <c r="B31" s="24">
        <v>2.6</v>
      </c>
      <c r="C31" s="24">
        <v>100</v>
      </c>
      <c r="D31" s="24">
        <f t="shared" si="6"/>
        <v>260</v>
      </c>
      <c r="E31" s="24">
        <v>3.5</v>
      </c>
      <c r="F31" s="24">
        <v>250</v>
      </c>
      <c r="G31" s="24">
        <f t="shared" si="1"/>
        <v>704</v>
      </c>
      <c r="H31" s="24">
        <v>34</v>
      </c>
      <c r="I31" s="24">
        <v>10.4</v>
      </c>
      <c r="J31" s="24">
        <f t="shared" si="8"/>
        <v>353.6</v>
      </c>
      <c r="K31" s="24">
        <v>10.3</v>
      </c>
      <c r="L31" s="24">
        <f t="shared" si="4"/>
        <v>350.20000000000005</v>
      </c>
      <c r="M31" s="24">
        <f t="shared" si="5"/>
        <v>703.80000000000007</v>
      </c>
      <c r="O31" s="24">
        <f t="shared" si="2"/>
        <v>1667.8000000000002</v>
      </c>
    </row>
    <row r="32" spans="1:19" x14ac:dyDescent="0.25">
      <c r="A32" s="23">
        <v>44651</v>
      </c>
      <c r="B32" s="24">
        <v>3</v>
      </c>
      <c r="C32" s="24">
        <v>90</v>
      </c>
      <c r="D32" s="24">
        <f t="shared" si="6"/>
        <v>270</v>
      </c>
      <c r="E32" s="24">
        <v>2.2999999999999998</v>
      </c>
      <c r="F32" s="24">
        <v>300</v>
      </c>
      <c r="G32" s="24">
        <f t="shared" si="1"/>
        <v>875</v>
      </c>
      <c r="H32" s="24">
        <v>34</v>
      </c>
      <c r="I32" s="24">
        <v>10.7</v>
      </c>
      <c r="J32" s="24">
        <f t="shared" si="8"/>
        <v>363.79999999999995</v>
      </c>
      <c r="K32" s="24">
        <v>10.3</v>
      </c>
      <c r="L32" s="24">
        <f t="shared" si="4"/>
        <v>350.20000000000005</v>
      </c>
      <c r="M32" s="24">
        <f t="shared" si="5"/>
        <v>714</v>
      </c>
      <c r="O32" s="24">
        <f t="shared" si="2"/>
        <v>1859</v>
      </c>
    </row>
    <row r="33" spans="1:15" x14ac:dyDescent="0.25">
      <c r="A33" s="23">
        <v>44652</v>
      </c>
      <c r="B33" s="24">
        <v>1.5</v>
      </c>
      <c r="C33" s="24">
        <v>150</v>
      </c>
      <c r="D33" s="24">
        <f t="shared" si="6"/>
        <v>225</v>
      </c>
      <c r="E33" s="24">
        <v>0.5</v>
      </c>
      <c r="F33" s="24">
        <v>200</v>
      </c>
      <c r="G33" s="24">
        <f t="shared" si="1"/>
        <v>690</v>
      </c>
      <c r="H33" s="24">
        <v>34</v>
      </c>
      <c r="I33" s="24">
        <v>9</v>
      </c>
      <c r="J33" s="24">
        <f t="shared" si="8"/>
        <v>306</v>
      </c>
      <c r="K33" s="24">
        <v>11</v>
      </c>
      <c r="L33" s="24">
        <f t="shared" si="4"/>
        <v>374</v>
      </c>
      <c r="M33" s="24">
        <f t="shared" si="5"/>
        <v>680</v>
      </c>
      <c r="O33" s="24">
        <f t="shared" si="2"/>
        <v>1595</v>
      </c>
    </row>
    <row r="34" spans="1:15" x14ac:dyDescent="0.25">
      <c r="A34" s="23">
        <v>44653</v>
      </c>
      <c r="B34" s="24">
        <v>2</v>
      </c>
      <c r="C34" s="24">
        <v>120</v>
      </c>
      <c r="D34" s="24">
        <f t="shared" si="6"/>
        <v>240</v>
      </c>
      <c r="E34" s="24">
        <v>0.8</v>
      </c>
      <c r="F34" s="24">
        <v>180</v>
      </c>
      <c r="G34" s="24">
        <f t="shared" si="1"/>
        <v>100</v>
      </c>
      <c r="H34" s="24">
        <v>34</v>
      </c>
      <c r="I34" s="24">
        <v>8.6999999999999993</v>
      </c>
      <c r="J34" s="24">
        <f t="shared" si="8"/>
        <v>295.79999999999995</v>
      </c>
      <c r="K34" s="24">
        <v>10.7</v>
      </c>
      <c r="L34" s="24">
        <f t="shared" si="4"/>
        <v>363.79999999999995</v>
      </c>
      <c r="M34" s="24">
        <f t="shared" si="5"/>
        <v>659.59999999999991</v>
      </c>
      <c r="O34" s="24">
        <f t="shared" si="2"/>
        <v>999.59999999999991</v>
      </c>
    </row>
    <row r="35" spans="1:15" x14ac:dyDescent="0.25">
      <c r="A35" s="23">
        <v>44654</v>
      </c>
      <c r="B35" s="24">
        <v>3</v>
      </c>
      <c r="C35" s="24">
        <v>130</v>
      </c>
      <c r="D35" s="24">
        <f t="shared" si="6"/>
        <v>390</v>
      </c>
      <c r="E35" s="24">
        <v>1.5</v>
      </c>
      <c r="F35" s="24">
        <v>190</v>
      </c>
      <c r="G35" s="24">
        <f t="shared" ref="G35:G66" si="9">E34*F34</f>
        <v>144</v>
      </c>
      <c r="H35" s="24">
        <v>34</v>
      </c>
      <c r="I35" s="24">
        <v>8.8000000000000007</v>
      </c>
      <c r="J35" s="24">
        <f t="shared" si="8"/>
        <v>299.20000000000005</v>
      </c>
      <c r="K35" s="24">
        <v>10.6</v>
      </c>
      <c r="L35" s="24">
        <f t="shared" si="4"/>
        <v>360.4</v>
      </c>
      <c r="M35" s="24">
        <f t="shared" si="5"/>
        <v>659.6</v>
      </c>
      <c r="O35" s="24">
        <f t="shared" si="2"/>
        <v>1193.5999999999999</v>
      </c>
    </row>
    <row r="36" spans="1:15" x14ac:dyDescent="0.25">
      <c r="A36" s="23">
        <v>44655</v>
      </c>
      <c r="B36" s="24">
        <v>2</v>
      </c>
      <c r="C36" s="24">
        <v>150</v>
      </c>
      <c r="D36" s="24">
        <f t="shared" si="6"/>
        <v>300</v>
      </c>
      <c r="E36" s="24">
        <v>2</v>
      </c>
      <c r="F36" s="24">
        <v>200</v>
      </c>
      <c r="G36" s="24">
        <f t="shared" si="9"/>
        <v>285</v>
      </c>
      <c r="H36" s="24">
        <v>34</v>
      </c>
      <c r="I36" s="24">
        <v>9</v>
      </c>
      <c r="J36" s="24">
        <f t="shared" si="8"/>
        <v>306</v>
      </c>
      <c r="K36" s="24">
        <v>11</v>
      </c>
      <c r="L36" s="24">
        <f t="shared" si="4"/>
        <v>374</v>
      </c>
      <c r="M36" s="24">
        <f t="shared" si="5"/>
        <v>680</v>
      </c>
      <c r="O36" s="24">
        <f t="shared" si="2"/>
        <v>1265</v>
      </c>
    </row>
    <row r="37" spans="1:15" x14ac:dyDescent="0.25">
      <c r="A37" s="23">
        <v>44656</v>
      </c>
      <c r="B37" s="24">
        <v>1.8</v>
      </c>
      <c r="C37" s="24">
        <v>150</v>
      </c>
      <c r="D37" s="24">
        <f t="shared" si="6"/>
        <v>270</v>
      </c>
      <c r="E37" s="24">
        <v>3</v>
      </c>
      <c r="F37" s="24">
        <v>300</v>
      </c>
      <c r="G37" s="24">
        <f t="shared" si="9"/>
        <v>400</v>
      </c>
      <c r="H37" s="24">
        <v>34</v>
      </c>
      <c r="I37" s="24">
        <v>8.6999999999999993</v>
      </c>
      <c r="J37" s="24">
        <f t="shared" si="8"/>
        <v>295.79999999999995</v>
      </c>
      <c r="K37" s="24">
        <v>10.8</v>
      </c>
      <c r="L37" s="24">
        <f t="shared" si="4"/>
        <v>367.20000000000005</v>
      </c>
      <c r="M37" s="24">
        <f t="shared" si="5"/>
        <v>663</v>
      </c>
      <c r="N37" s="24">
        <f>450*4</f>
        <v>1800</v>
      </c>
      <c r="O37" s="24">
        <f t="shared" si="2"/>
        <v>3133</v>
      </c>
    </row>
    <row r="38" spans="1:15" x14ac:dyDescent="0.25">
      <c r="A38" s="38">
        <v>44657</v>
      </c>
      <c r="B38" s="24">
        <v>2</v>
      </c>
      <c r="C38" s="24">
        <v>150</v>
      </c>
      <c r="D38" s="24">
        <f t="shared" si="6"/>
        <v>300</v>
      </c>
      <c r="E38" s="24">
        <v>2.5</v>
      </c>
      <c r="F38" s="24">
        <v>200</v>
      </c>
      <c r="G38" s="24">
        <f t="shared" si="9"/>
        <v>900</v>
      </c>
      <c r="H38" s="24">
        <v>34</v>
      </c>
      <c r="I38" s="24">
        <v>8.8000000000000007</v>
      </c>
      <c r="J38" s="24">
        <f t="shared" si="8"/>
        <v>299.20000000000005</v>
      </c>
      <c r="K38" s="24">
        <v>10.7</v>
      </c>
      <c r="L38" s="24">
        <f t="shared" si="4"/>
        <v>363.79999999999995</v>
      </c>
      <c r="M38" s="24">
        <f t="shared" si="5"/>
        <v>663</v>
      </c>
      <c r="O38" s="24">
        <f t="shared" si="2"/>
        <v>1863</v>
      </c>
    </row>
    <row r="39" spans="1:15" x14ac:dyDescent="0.25">
      <c r="A39" s="23">
        <v>44658</v>
      </c>
      <c r="B39" s="24">
        <v>2.2000000000000002</v>
      </c>
      <c r="C39" s="24">
        <v>120</v>
      </c>
      <c r="D39" s="24">
        <f t="shared" si="6"/>
        <v>264</v>
      </c>
      <c r="E39" s="24">
        <v>2.8</v>
      </c>
      <c r="F39" s="24">
        <v>250</v>
      </c>
      <c r="G39" s="24">
        <f t="shared" si="9"/>
        <v>500</v>
      </c>
      <c r="H39" s="24">
        <v>34</v>
      </c>
      <c r="I39" s="24">
        <v>8.9</v>
      </c>
      <c r="J39" s="24">
        <f t="shared" si="8"/>
        <v>302.60000000000002</v>
      </c>
      <c r="K39" s="24">
        <v>10.5</v>
      </c>
      <c r="L39" s="24">
        <f t="shared" si="4"/>
        <v>357</v>
      </c>
      <c r="M39" s="24">
        <f t="shared" si="5"/>
        <v>659.6</v>
      </c>
      <c r="O39" s="24">
        <f t="shared" si="2"/>
        <v>1423.6</v>
      </c>
    </row>
    <row r="40" spans="1:15" x14ac:dyDescent="0.25">
      <c r="A40" s="23">
        <v>44659</v>
      </c>
      <c r="B40" s="24">
        <v>2.5</v>
      </c>
      <c r="C40" s="24">
        <v>130</v>
      </c>
      <c r="D40" s="24">
        <f t="shared" si="6"/>
        <v>325</v>
      </c>
      <c r="E40" s="24">
        <v>2.9</v>
      </c>
      <c r="F40" s="24">
        <v>300</v>
      </c>
      <c r="G40" s="24">
        <f t="shared" si="9"/>
        <v>700</v>
      </c>
      <c r="H40" s="24">
        <v>34</v>
      </c>
      <c r="I40" s="24">
        <v>8.8000000000000007</v>
      </c>
      <c r="J40" s="24">
        <f t="shared" si="8"/>
        <v>299.20000000000005</v>
      </c>
      <c r="K40" s="24">
        <v>10.6</v>
      </c>
      <c r="L40" s="24">
        <f t="shared" si="4"/>
        <v>360.4</v>
      </c>
      <c r="M40" s="24">
        <f t="shared" si="5"/>
        <v>659.6</v>
      </c>
      <c r="O40" s="24">
        <f t="shared" si="2"/>
        <v>1684.6</v>
      </c>
    </row>
    <row r="41" spans="1:15" x14ac:dyDescent="0.25">
      <c r="A41" s="23">
        <v>44660</v>
      </c>
      <c r="B41" s="24">
        <v>2.2000000000000002</v>
      </c>
      <c r="C41" s="24">
        <v>130</v>
      </c>
      <c r="D41" s="24">
        <f t="shared" si="6"/>
        <v>286</v>
      </c>
      <c r="E41" s="24">
        <v>3</v>
      </c>
      <c r="F41" s="24">
        <v>250</v>
      </c>
      <c r="G41" s="24">
        <f t="shared" si="9"/>
        <v>870</v>
      </c>
      <c r="H41" s="24">
        <v>34</v>
      </c>
      <c r="I41" s="24">
        <v>9</v>
      </c>
      <c r="J41" s="24">
        <f t="shared" si="8"/>
        <v>306</v>
      </c>
      <c r="K41" s="24">
        <v>10.7</v>
      </c>
      <c r="L41" s="24">
        <f t="shared" si="4"/>
        <v>363.79999999999995</v>
      </c>
      <c r="M41" s="24">
        <f t="shared" si="5"/>
        <v>669.8</v>
      </c>
      <c r="O41" s="24">
        <f t="shared" si="2"/>
        <v>1825.8</v>
      </c>
    </row>
    <row r="42" spans="1:15" x14ac:dyDescent="0.25">
      <c r="A42" s="23">
        <v>44661</v>
      </c>
      <c r="B42" s="24">
        <v>2.4</v>
      </c>
      <c r="C42" s="24">
        <v>150</v>
      </c>
      <c r="D42" s="24">
        <f t="shared" si="6"/>
        <v>360</v>
      </c>
      <c r="E42" s="24">
        <v>1.6</v>
      </c>
      <c r="F42" s="24">
        <v>250</v>
      </c>
      <c r="G42" s="24">
        <f t="shared" si="9"/>
        <v>750</v>
      </c>
      <c r="H42" s="24">
        <v>34</v>
      </c>
      <c r="I42" s="24">
        <v>8.8000000000000007</v>
      </c>
      <c r="J42" s="24">
        <f t="shared" si="8"/>
        <v>299.20000000000005</v>
      </c>
      <c r="K42" s="24">
        <v>10.9</v>
      </c>
      <c r="L42" s="24">
        <f t="shared" si="4"/>
        <v>370.6</v>
      </c>
      <c r="M42" s="24">
        <f t="shared" si="5"/>
        <v>669.80000000000007</v>
      </c>
      <c r="O42" s="24">
        <f t="shared" si="2"/>
        <v>1779.8000000000002</v>
      </c>
    </row>
    <row r="43" spans="1:15" x14ac:dyDescent="0.25">
      <c r="A43" s="23">
        <v>44662</v>
      </c>
      <c r="B43" s="24">
        <v>2.2999999999999998</v>
      </c>
      <c r="C43" s="24">
        <v>150</v>
      </c>
      <c r="D43" s="24">
        <f t="shared" si="6"/>
        <v>345</v>
      </c>
      <c r="E43" s="24">
        <v>1.8</v>
      </c>
      <c r="F43" s="24">
        <v>300</v>
      </c>
      <c r="G43" s="24">
        <f t="shared" si="9"/>
        <v>400</v>
      </c>
      <c r="H43" s="24">
        <v>34</v>
      </c>
      <c r="I43" s="24">
        <v>8.6999999999999993</v>
      </c>
      <c r="J43" s="24">
        <f t="shared" si="8"/>
        <v>295.79999999999995</v>
      </c>
      <c r="K43" s="24">
        <v>10.5</v>
      </c>
      <c r="L43" s="24">
        <f t="shared" si="4"/>
        <v>357</v>
      </c>
      <c r="M43" s="24">
        <f t="shared" si="5"/>
        <v>652.79999999999995</v>
      </c>
      <c r="O43" s="24">
        <f t="shared" si="2"/>
        <v>1397.8</v>
      </c>
    </row>
    <row r="44" spans="1:15" x14ac:dyDescent="0.25">
      <c r="A44" s="23">
        <v>44663</v>
      </c>
      <c r="B44" s="24">
        <v>2</v>
      </c>
      <c r="C44" s="24">
        <v>120</v>
      </c>
      <c r="D44" s="24">
        <f t="shared" si="6"/>
        <v>240</v>
      </c>
      <c r="E44" s="24">
        <v>1.7</v>
      </c>
      <c r="F44" s="24">
        <v>250</v>
      </c>
      <c r="G44" s="24">
        <f t="shared" si="9"/>
        <v>540</v>
      </c>
      <c r="H44" s="24">
        <v>34</v>
      </c>
      <c r="I44" s="24">
        <v>9</v>
      </c>
      <c r="J44" s="24">
        <f t="shared" si="8"/>
        <v>306</v>
      </c>
      <c r="K44" s="24">
        <v>10.8</v>
      </c>
      <c r="L44" s="24">
        <f t="shared" si="4"/>
        <v>367.20000000000005</v>
      </c>
      <c r="M44" s="24">
        <f t="shared" si="5"/>
        <v>673.2</v>
      </c>
      <c r="O44" s="24">
        <f t="shared" si="2"/>
        <v>1453.2</v>
      </c>
    </row>
    <row r="45" spans="1:15" x14ac:dyDescent="0.25">
      <c r="A45" s="23">
        <v>44664</v>
      </c>
      <c r="B45" s="24">
        <v>2.2999999999999998</v>
      </c>
      <c r="C45" s="24">
        <v>200</v>
      </c>
      <c r="D45" s="24">
        <f t="shared" si="6"/>
        <v>459.99999999999994</v>
      </c>
      <c r="E45" s="24">
        <v>1.6</v>
      </c>
      <c r="F45" s="24">
        <v>250</v>
      </c>
      <c r="G45" s="24">
        <f t="shared" si="9"/>
        <v>425</v>
      </c>
      <c r="H45" s="24">
        <v>34</v>
      </c>
      <c r="I45" s="24">
        <v>8.8000000000000007</v>
      </c>
      <c r="J45" s="24">
        <f t="shared" si="8"/>
        <v>299.20000000000005</v>
      </c>
      <c r="K45" s="24">
        <v>10.5</v>
      </c>
      <c r="L45" s="24">
        <f t="shared" si="4"/>
        <v>357</v>
      </c>
      <c r="M45" s="24">
        <f t="shared" si="5"/>
        <v>656.2</v>
      </c>
      <c r="O45" s="24">
        <f t="shared" si="2"/>
        <v>1541.2</v>
      </c>
    </row>
    <row r="46" spans="1:15" x14ac:dyDescent="0.25">
      <c r="A46" s="23">
        <v>44665</v>
      </c>
      <c r="B46" s="24">
        <v>2.2000000000000002</v>
      </c>
      <c r="C46" s="24">
        <v>170</v>
      </c>
      <c r="D46" s="24">
        <f t="shared" si="6"/>
        <v>374.00000000000006</v>
      </c>
      <c r="E46" s="24">
        <v>1.8</v>
      </c>
      <c r="F46" s="24">
        <v>300</v>
      </c>
      <c r="G46" s="24">
        <f t="shared" si="9"/>
        <v>400</v>
      </c>
      <c r="H46" s="24">
        <v>34</v>
      </c>
      <c r="I46" s="24">
        <v>9</v>
      </c>
      <c r="J46" s="24">
        <f t="shared" si="8"/>
        <v>306</v>
      </c>
      <c r="K46" s="24">
        <v>11</v>
      </c>
      <c r="L46" s="24">
        <f t="shared" si="4"/>
        <v>374</v>
      </c>
      <c r="M46" s="24">
        <f t="shared" si="5"/>
        <v>680</v>
      </c>
      <c r="O46" s="24">
        <f t="shared" si="2"/>
        <v>1454</v>
      </c>
    </row>
    <row r="47" spans="1:15" x14ac:dyDescent="0.25">
      <c r="A47" s="23">
        <v>44666</v>
      </c>
      <c r="B47" s="24">
        <v>2.2999999999999998</v>
      </c>
      <c r="C47" s="24">
        <v>140</v>
      </c>
      <c r="D47" s="24">
        <f t="shared" si="6"/>
        <v>322</v>
      </c>
      <c r="E47" s="24">
        <v>1.3</v>
      </c>
      <c r="F47" s="24">
        <v>250</v>
      </c>
      <c r="G47" s="24">
        <f t="shared" si="9"/>
        <v>540</v>
      </c>
      <c r="H47" s="24">
        <v>34</v>
      </c>
      <c r="I47" s="24">
        <v>8.8000000000000007</v>
      </c>
      <c r="J47" s="24">
        <f t="shared" si="8"/>
        <v>299.20000000000005</v>
      </c>
      <c r="K47" s="24">
        <v>10.9</v>
      </c>
      <c r="L47" s="24">
        <f t="shared" si="4"/>
        <v>370.6</v>
      </c>
      <c r="M47" s="24">
        <f t="shared" si="5"/>
        <v>669.80000000000007</v>
      </c>
      <c r="O47" s="24">
        <f t="shared" si="2"/>
        <v>1531.8000000000002</v>
      </c>
    </row>
    <row r="48" spans="1:15" x14ac:dyDescent="0.25">
      <c r="A48" s="23">
        <v>44667</v>
      </c>
      <c r="B48" s="24">
        <v>2</v>
      </c>
      <c r="C48" s="24">
        <v>150</v>
      </c>
      <c r="D48" s="24">
        <f t="shared" si="6"/>
        <v>300</v>
      </c>
      <c r="E48" s="24">
        <v>1.5</v>
      </c>
      <c r="F48" s="24">
        <v>200</v>
      </c>
      <c r="G48" s="24">
        <f t="shared" si="9"/>
        <v>325</v>
      </c>
      <c r="H48" s="24">
        <v>34</v>
      </c>
      <c r="I48" s="24">
        <v>8.6999999999999993</v>
      </c>
      <c r="J48" s="24">
        <f t="shared" si="8"/>
        <v>295.79999999999995</v>
      </c>
      <c r="K48" s="24">
        <v>10.8</v>
      </c>
      <c r="L48" s="24">
        <f t="shared" si="4"/>
        <v>367.20000000000005</v>
      </c>
      <c r="M48" s="24">
        <f t="shared" si="5"/>
        <v>663</v>
      </c>
      <c r="O48" s="24">
        <f t="shared" si="2"/>
        <v>1288</v>
      </c>
    </row>
    <row r="49" spans="1:15" x14ac:dyDescent="0.25">
      <c r="A49" s="23">
        <v>44668</v>
      </c>
      <c r="B49" s="24">
        <v>2.4</v>
      </c>
      <c r="C49" s="24">
        <v>210</v>
      </c>
      <c r="D49" s="24">
        <f t="shared" si="6"/>
        <v>504</v>
      </c>
      <c r="E49" s="24">
        <v>1.7</v>
      </c>
      <c r="F49" s="24">
        <v>250</v>
      </c>
      <c r="G49" s="24">
        <f t="shared" si="9"/>
        <v>300</v>
      </c>
      <c r="H49" s="24">
        <v>34</v>
      </c>
      <c r="I49" s="24">
        <v>9</v>
      </c>
      <c r="J49" s="24">
        <f t="shared" si="8"/>
        <v>306</v>
      </c>
      <c r="K49" s="24">
        <v>10.7</v>
      </c>
      <c r="L49" s="24">
        <f t="shared" si="4"/>
        <v>363.79999999999995</v>
      </c>
      <c r="M49" s="24">
        <f t="shared" si="5"/>
        <v>669.8</v>
      </c>
      <c r="O49" s="24">
        <f t="shared" si="2"/>
        <v>1473.8</v>
      </c>
    </row>
    <row r="50" spans="1:15" x14ac:dyDescent="0.25">
      <c r="A50" s="23">
        <v>44669</v>
      </c>
      <c r="B50" s="24">
        <v>2.2999999999999998</v>
      </c>
      <c r="C50" s="24">
        <v>170</v>
      </c>
      <c r="D50" s="24">
        <f t="shared" si="6"/>
        <v>390.99999999999994</v>
      </c>
      <c r="E50" s="24">
        <v>1.7</v>
      </c>
      <c r="F50" s="24">
        <v>170</v>
      </c>
      <c r="G50" s="24">
        <f t="shared" si="9"/>
        <v>425</v>
      </c>
      <c r="H50" s="24">
        <v>34</v>
      </c>
      <c r="I50" s="24">
        <v>9</v>
      </c>
      <c r="J50" s="24">
        <f t="shared" si="8"/>
        <v>306</v>
      </c>
      <c r="K50" s="24">
        <v>10.9</v>
      </c>
      <c r="L50" s="24">
        <f t="shared" si="4"/>
        <v>370.6</v>
      </c>
      <c r="M50" s="24">
        <f t="shared" si="5"/>
        <v>676.6</v>
      </c>
      <c r="N50" s="24">
        <f>450*2</f>
        <v>900</v>
      </c>
      <c r="O50" s="24">
        <f t="shared" si="2"/>
        <v>2392.6</v>
      </c>
    </row>
    <row r="51" spans="1:15" x14ac:dyDescent="0.25">
      <c r="A51" s="23">
        <v>44670</v>
      </c>
      <c r="B51" s="24">
        <v>2.4</v>
      </c>
      <c r="C51" s="24">
        <v>160</v>
      </c>
      <c r="D51" s="24">
        <f t="shared" si="6"/>
        <v>384</v>
      </c>
      <c r="E51" s="24">
        <v>1.5</v>
      </c>
      <c r="F51" s="24">
        <v>280</v>
      </c>
      <c r="G51" s="24">
        <f t="shared" si="9"/>
        <v>289</v>
      </c>
      <c r="H51" s="24">
        <v>34</v>
      </c>
      <c r="I51" s="24">
        <v>8.9</v>
      </c>
      <c r="J51" s="24">
        <f t="shared" si="8"/>
        <v>302.60000000000002</v>
      </c>
      <c r="K51" s="24">
        <v>10.8</v>
      </c>
      <c r="L51" s="24">
        <f t="shared" si="4"/>
        <v>367.20000000000005</v>
      </c>
      <c r="M51" s="24">
        <f t="shared" si="5"/>
        <v>669.80000000000007</v>
      </c>
      <c r="O51" s="24">
        <f t="shared" si="2"/>
        <v>1342.8000000000002</v>
      </c>
    </row>
    <row r="52" spans="1:15" x14ac:dyDescent="0.25">
      <c r="A52" s="23">
        <v>44671</v>
      </c>
      <c r="B52" s="24">
        <v>2.2000000000000002</v>
      </c>
      <c r="C52" s="24">
        <v>160</v>
      </c>
      <c r="D52" s="24">
        <f t="shared" si="6"/>
        <v>352</v>
      </c>
      <c r="E52" s="24">
        <v>1.6</v>
      </c>
      <c r="F52" s="24">
        <v>300</v>
      </c>
      <c r="G52" s="24">
        <f t="shared" si="9"/>
        <v>420</v>
      </c>
      <c r="H52" s="24">
        <v>34</v>
      </c>
      <c r="I52" s="24">
        <v>8.6999999999999993</v>
      </c>
      <c r="J52" s="24">
        <f t="shared" si="8"/>
        <v>295.79999999999995</v>
      </c>
      <c r="K52" s="24">
        <v>10.7</v>
      </c>
      <c r="L52" s="24">
        <f t="shared" si="4"/>
        <v>363.79999999999995</v>
      </c>
      <c r="M52" s="24">
        <f t="shared" si="5"/>
        <v>659.59999999999991</v>
      </c>
      <c r="O52" s="24">
        <f t="shared" si="2"/>
        <v>1431.6</v>
      </c>
    </row>
    <row r="53" spans="1:15" x14ac:dyDescent="0.25">
      <c r="A53" s="23">
        <v>44672</v>
      </c>
      <c r="B53" s="24">
        <v>2.4</v>
      </c>
      <c r="C53" s="24">
        <v>170</v>
      </c>
      <c r="D53" s="24">
        <f t="shared" si="6"/>
        <v>408</v>
      </c>
      <c r="E53" s="24">
        <v>2</v>
      </c>
      <c r="F53" s="24">
        <v>240</v>
      </c>
      <c r="G53" s="24">
        <f t="shared" si="9"/>
        <v>480</v>
      </c>
      <c r="H53" s="24">
        <v>34</v>
      </c>
      <c r="I53" s="24">
        <v>8.6</v>
      </c>
      <c r="J53" s="24">
        <f t="shared" si="8"/>
        <v>292.39999999999998</v>
      </c>
      <c r="K53" s="24">
        <v>10.6</v>
      </c>
      <c r="L53" s="24">
        <f t="shared" si="4"/>
        <v>360.4</v>
      </c>
      <c r="M53" s="24">
        <f t="shared" si="5"/>
        <v>652.79999999999995</v>
      </c>
      <c r="O53" s="24">
        <f t="shared" si="2"/>
        <v>1540.8</v>
      </c>
    </row>
    <row r="54" spans="1:15" x14ac:dyDescent="0.25">
      <c r="A54" s="23">
        <v>44673</v>
      </c>
      <c r="B54" s="24">
        <v>2.2999999999999998</v>
      </c>
      <c r="C54" s="24">
        <v>180</v>
      </c>
      <c r="D54" s="24">
        <f t="shared" si="6"/>
        <v>413.99999999999994</v>
      </c>
      <c r="E54" s="24">
        <v>2.4</v>
      </c>
      <c r="F54" s="24">
        <v>230</v>
      </c>
      <c r="G54" s="24">
        <f t="shared" si="9"/>
        <v>480</v>
      </c>
      <c r="H54" s="24">
        <v>34</v>
      </c>
      <c r="I54" s="24">
        <v>9</v>
      </c>
      <c r="J54" s="24">
        <f t="shared" si="8"/>
        <v>306</v>
      </c>
      <c r="K54" s="24">
        <v>10.6</v>
      </c>
      <c r="L54" s="24">
        <f t="shared" si="4"/>
        <v>360.4</v>
      </c>
      <c r="M54" s="24">
        <f t="shared" si="5"/>
        <v>666.4</v>
      </c>
      <c r="O54" s="24">
        <f t="shared" si="2"/>
        <v>1560.4</v>
      </c>
    </row>
    <row r="55" spans="1:15" x14ac:dyDescent="0.25">
      <c r="A55" s="23">
        <v>44674</v>
      </c>
      <c r="B55" s="24">
        <v>2.4</v>
      </c>
      <c r="C55" s="24">
        <v>180</v>
      </c>
      <c r="D55" s="24">
        <f t="shared" si="6"/>
        <v>432</v>
      </c>
      <c r="E55" s="24">
        <v>2.2000000000000002</v>
      </c>
      <c r="F55" s="24">
        <v>190</v>
      </c>
      <c r="G55" s="24">
        <f t="shared" si="9"/>
        <v>552</v>
      </c>
      <c r="H55" s="24">
        <v>34</v>
      </c>
      <c r="I55" s="24">
        <v>8.6999999999999993</v>
      </c>
      <c r="J55" s="24">
        <f t="shared" si="8"/>
        <v>295.79999999999995</v>
      </c>
      <c r="K55" s="24">
        <v>11</v>
      </c>
      <c r="L55" s="24">
        <f t="shared" si="4"/>
        <v>374</v>
      </c>
      <c r="M55" s="24">
        <f t="shared" si="5"/>
        <v>669.8</v>
      </c>
      <c r="O55" s="24">
        <f t="shared" si="2"/>
        <v>1653.8</v>
      </c>
    </row>
    <row r="56" spans="1:15" x14ac:dyDescent="0.25">
      <c r="A56" s="23">
        <v>44675</v>
      </c>
      <c r="B56" s="24">
        <v>2</v>
      </c>
      <c r="C56" s="24">
        <v>200</v>
      </c>
      <c r="D56" s="24">
        <f t="shared" si="6"/>
        <v>400</v>
      </c>
      <c r="E56" s="24">
        <v>2.5</v>
      </c>
      <c r="F56" s="24">
        <v>240</v>
      </c>
      <c r="G56" s="24">
        <f t="shared" si="9"/>
        <v>418.00000000000006</v>
      </c>
      <c r="H56" s="24">
        <v>34</v>
      </c>
      <c r="I56" s="24">
        <v>8.8000000000000007</v>
      </c>
      <c r="J56" s="24">
        <f t="shared" si="8"/>
        <v>299.20000000000005</v>
      </c>
      <c r="K56" s="24">
        <v>11.2</v>
      </c>
      <c r="L56" s="24">
        <f t="shared" si="4"/>
        <v>380.79999999999995</v>
      </c>
      <c r="M56" s="24">
        <f t="shared" si="5"/>
        <v>680</v>
      </c>
      <c r="O56" s="24">
        <f t="shared" si="2"/>
        <v>1498</v>
      </c>
    </row>
    <row r="57" spans="1:15" x14ac:dyDescent="0.25">
      <c r="A57" s="23">
        <v>44676</v>
      </c>
      <c r="B57" s="24">
        <v>2.5</v>
      </c>
      <c r="C57" s="24">
        <v>200</v>
      </c>
      <c r="D57" s="24">
        <f t="shared" si="6"/>
        <v>500</v>
      </c>
      <c r="E57" s="24">
        <v>2.6</v>
      </c>
      <c r="F57" s="24">
        <v>260</v>
      </c>
      <c r="G57" s="24">
        <f t="shared" si="9"/>
        <v>600</v>
      </c>
      <c r="H57" s="24">
        <v>34</v>
      </c>
      <c r="I57" s="24">
        <v>8.6</v>
      </c>
      <c r="J57" s="24">
        <f t="shared" si="8"/>
        <v>292.39999999999998</v>
      </c>
      <c r="K57" s="24">
        <v>11</v>
      </c>
      <c r="L57" s="24">
        <f t="shared" si="4"/>
        <v>374</v>
      </c>
      <c r="M57" s="24">
        <f t="shared" si="5"/>
        <v>666.4</v>
      </c>
      <c r="O57" s="24">
        <f t="shared" si="2"/>
        <v>1766.4</v>
      </c>
    </row>
    <row r="58" spans="1:15" x14ac:dyDescent="0.25">
      <c r="A58" s="23">
        <v>44677</v>
      </c>
      <c r="B58" s="24">
        <v>2.4</v>
      </c>
      <c r="C58" s="24">
        <v>190</v>
      </c>
      <c r="D58" s="24">
        <f t="shared" si="6"/>
        <v>456</v>
      </c>
      <c r="E58" s="24">
        <v>2.7</v>
      </c>
      <c r="F58" s="24">
        <v>180</v>
      </c>
      <c r="G58" s="24">
        <f t="shared" si="9"/>
        <v>676</v>
      </c>
      <c r="H58" s="24">
        <v>34</v>
      </c>
      <c r="I58" s="24">
        <v>8.6</v>
      </c>
      <c r="J58" s="24">
        <f t="shared" si="8"/>
        <v>292.39999999999998</v>
      </c>
      <c r="K58" s="24">
        <v>10.9</v>
      </c>
      <c r="L58" s="24">
        <f t="shared" si="4"/>
        <v>370.6</v>
      </c>
      <c r="M58" s="24">
        <f t="shared" si="5"/>
        <v>663</v>
      </c>
      <c r="O58" s="24">
        <f t="shared" si="2"/>
        <v>1795</v>
      </c>
    </row>
    <row r="59" spans="1:15" x14ac:dyDescent="0.25">
      <c r="A59" s="23">
        <v>44678</v>
      </c>
      <c r="B59" s="24">
        <v>2.2999999999999998</v>
      </c>
      <c r="C59" s="24">
        <v>140</v>
      </c>
      <c r="D59" s="24">
        <f t="shared" si="6"/>
        <v>322</v>
      </c>
      <c r="E59" s="24">
        <v>2.9</v>
      </c>
      <c r="F59" s="24">
        <v>200</v>
      </c>
      <c r="G59" s="24">
        <f t="shared" si="9"/>
        <v>486.00000000000006</v>
      </c>
      <c r="H59" s="24">
        <v>34</v>
      </c>
      <c r="I59" s="24">
        <v>8.9</v>
      </c>
      <c r="J59" s="24">
        <f t="shared" si="8"/>
        <v>302.60000000000002</v>
      </c>
      <c r="K59" s="24">
        <v>10.9</v>
      </c>
      <c r="L59" s="24">
        <f t="shared" si="4"/>
        <v>370.6</v>
      </c>
      <c r="M59" s="24">
        <f t="shared" si="5"/>
        <v>673.2</v>
      </c>
      <c r="O59" s="24">
        <f t="shared" si="2"/>
        <v>1481.2</v>
      </c>
    </row>
    <row r="60" spans="1:15" x14ac:dyDescent="0.25">
      <c r="A60" s="23">
        <v>44679</v>
      </c>
      <c r="B60" s="24">
        <v>2</v>
      </c>
      <c r="C60" s="24">
        <v>190</v>
      </c>
      <c r="D60" s="24">
        <f t="shared" si="6"/>
        <v>380</v>
      </c>
      <c r="E60" s="24">
        <v>3</v>
      </c>
      <c r="F60" s="24">
        <v>250</v>
      </c>
      <c r="G60" s="24">
        <f t="shared" si="9"/>
        <v>580</v>
      </c>
      <c r="H60" s="24">
        <v>34</v>
      </c>
      <c r="I60" s="24">
        <v>9</v>
      </c>
      <c r="J60" s="24">
        <f t="shared" si="8"/>
        <v>306</v>
      </c>
      <c r="K60" s="24">
        <v>10.8</v>
      </c>
      <c r="L60" s="24">
        <f t="shared" si="4"/>
        <v>367.20000000000005</v>
      </c>
      <c r="M60" s="24">
        <f t="shared" si="5"/>
        <v>673.2</v>
      </c>
      <c r="O60" s="24">
        <f t="shared" si="2"/>
        <v>1633.2</v>
      </c>
    </row>
    <row r="61" spans="1:15" x14ac:dyDescent="0.25">
      <c r="A61" s="23">
        <v>44680</v>
      </c>
      <c r="B61" s="24">
        <v>2.4</v>
      </c>
      <c r="C61" s="24">
        <v>170</v>
      </c>
      <c r="D61" s="24">
        <f t="shared" si="6"/>
        <v>408</v>
      </c>
      <c r="E61" s="24">
        <v>3.2</v>
      </c>
      <c r="F61" s="24">
        <v>300</v>
      </c>
      <c r="G61" s="24">
        <f t="shared" si="9"/>
        <v>750</v>
      </c>
      <c r="H61" s="24">
        <v>34</v>
      </c>
      <c r="I61" s="24">
        <v>8.8000000000000007</v>
      </c>
      <c r="J61" s="24">
        <f t="shared" si="8"/>
        <v>299.20000000000005</v>
      </c>
      <c r="K61" s="24">
        <v>10.9</v>
      </c>
      <c r="L61" s="24">
        <f t="shared" si="4"/>
        <v>370.6</v>
      </c>
      <c r="M61" s="24">
        <f t="shared" si="5"/>
        <v>669.80000000000007</v>
      </c>
      <c r="O61" s="24">
        <f t="shared" si="2"/>
        <v>1827.8000000000002</v>
      </c>
    </row>
    <row r="62" spans="1:15" x14ac:dyDescent="0.25">
      <c r="A62" s="23">
        <v>44681</v>
      </c>
      <c r="B62" s="24">
        <v>2</v>
      </c>
      <c r="C62" s="24">
        <v>180</v>
      </c>
      <c r="D62" s="24">
        <f t="shared" si="6"/>
        <v>360</v>
      </c>
      <c r="E62" s="24">
        <v>3.5</v>
      </c>
      <c r="F62" s="24">
        <v>200</v>
      </c>
      <c r="G62" s="24">
        <f t="shared" si="9"/>
        <v>960</v>
      </c>
      <c r="H62" s="24">
        <v>34</v>
      </c>
      <c r="I62" s="24">
        <v>9</v>
      </c>
      <c r="J62" s="24">
        <f t="shared" si="8"/>
        <v>306</v>
      </c>
      <c r="K62" s="24">
        <v>11</v>
      </c>
      <c r="L62" s="24">
        <f t="shared" si="4"/>
        <v>374</v>
      </c>
      <c r="M62" s="24">
        <f t="shared" si="5"/>
        <v>680</v>
      </c>
      <c r="O62" s="24">
        <f t="shared" si="2"/>
        <v>2000</v>
      </c>
    </row>
    <row r="63" spans="1:15" x14ac:dyDescent="0.25">
      <c r="A63" s="23">
        <v>44682</v>
      </c>
      <c r="B63" s="24">
        <v>2.2000000000000002</v>
      </c>
      <c r="C63" s="24">
        <v>150</v>
      </c>
      <c r="D63" s="24">
        <f t="shared" si="6"/>
        <v>330</v>
      </c>
      <c r="E63" s="24">
        <v>0.4</v>
      </c>
      <c r="F63" s="24">
        <v>300</v>
      </c>
      <c r="G63" s="24">
        <f t="shared" si="9"/>
        <v>700</v>
      </c>
      <c r="H63" s="24">
        <v>34</v>
      </c>
      <c r="I63" s="24">
        <v>10.5</v>
      </c>
      <c r="J63" s="24">
        <f t="shared" si="8"/>
        <v>357</v>
      </c>
      <c r="K63" s="24">
        <v>10.5</v>
      </c>
      <c r="L63" s="24">
        <f t="shared" si="4"/>
        <v>357</v>
      </c>
      <c r="M63" s="24">
        <f t="shared" si="5"/>
        <v>714</v>
      </c>
      <c r="O63" s="24">
        <f t="shared" si="2"/>
        <v>1744</v>
      </c>
    </row>
    <row r="64" spans="1:15" x14ac:dyDescent="0.25">
      <c r="A64" s="23">
        <v>44683</v>
      </c>
      <c r="B64" s="24">
        <v>2.4</v>
      </c>
      <c r="C64" s="24">
        <v>170</v>
      </c>
      <c r="D64" s="24">
        <f t="shared" si="6"/>
        <v>408</v>
      </c>
      <c r="E64" s="24">
        <v>0.6</v>
      </c>
      <c r="F64" s="24">
        <v>320</v>
      </c>
      <c r="G64" s="24">
        <f t="shared" si="9"/>
        <v>120</v>
      </c>
      <c r="H64" s="24">
        <v>34</v>
      </c>
      <c r="I64" s="24">
        <v>11</v>
      </c>
      <c r="J64" s="24">
        <f t="shared" si="8"/>
        <v>374</v>
      </c>
      <c r="K64" s="24">
        <v>10.4</v>
      </c>
      <c r="L64" s="24">
        <f t="shared" si="4"/>
        <v>353.6</v>
      </c>
      <c r="M64" s="24">
        <f t="shared" si="5"/>
        <v>727.6</v>
      </c>
      <c r="O64" s="24">
        <f t="shared" si="2"/>
        <v>1255.5999999999999</v>
      </c>
    </row>
    <row r="65" spans="1:15" x14ac:dyDescent="0.25">
      <c r="A65" s="23">
        <v>44684</v>
      </c>
      <c r="B65" s="24">
        <v>2.2999999999999998</v>
      </c>
      <c r="C65" s="24">
        <v>180</v>
      </c>
      <c r="D65" s="24">
        <f t="shared" si="6"/>
        <v>413.99999999999994</v>
      </c>
      <c r="E65" s="24">
        <v>0.7</v>
      </c>
      <c r="F65" s="24">
        <v>300</v>
      </c>
      <c r="G65" s="24">
        <f t="shared" si="9"/>
        <v>192</v>
      </c>
      <c r="H65" s="24">
        <v>34</v>
      </c>
      <c r="I65" s="24">
        <v>12</v>
      </c>
      <c r="J65" s="24">
        <f t="shared" si="8"/>
        <v>408</v>
      </c>
      <c r="K65" s="24">
        <v>10</v>
      </c>
      <c r="L65" s="24">
        <f t="shared" si="4"/>
        <v>340</v>
      </c>
      <c r="M65" s="24">
        <f t="shared" si="5"/>
        <v>748</v>
      </c>
      <c r="O65" s="24">
        <f t="shared" si="2"/>
        <v>1354</v>
      </c>
    </row>
    <row r="66" spans="1:15" x14ac:dyDescent="0.25">
      <c r="A66" s="23">
        <v>44685</v>
      </c>
      <c r="B66" s="24">
        <v>2.1</v>
      </c>
      <c r="C66" s="24">
        <v>170</v>
      </c>
      <c r="D66" s="24">
        <f t="shared" si="6"/>
        <v>357</v>
      </c>
      <c r="E66" s="24">
        <v>0.5</v>
      </c>
      <c r="F66" s="24">
        <v>270</v>
      </c>
      <c r="G66" s="24">
        <f t="shared" si="9"/>
        <v>210</v>
      </c>
      <c r="H66" s="24">
        <v>34</v>
      </c>
      <c r="I66" s="24">
        <v>11.5</v>
      </c>
      <c r="J66" s="24">
        <f t="shared" si="8"/>
        <v>391</v>
      </c>
      <c r="K66" s="24">
        <v>10.3</v>
      </c>
      <c r="L66" s="24">
        <f t="shared" si="4"/>
        <v>350.20000000000005</v>
      </c>
      <c r="M66" s="24">
        <f t="shared" si="5"/>
        <v>741.2</v>
      </c>
      <c r="N66" s="24">
        <f>4*450</f>
        <v>1800</v>
      </c>
      <c r="O66" s="24">
        <f t="shared" si="2"/>
        <v>3108.2</v>
      </c>
    </row>
    <row r="67" spans="1:15" x14ac:dyDescent="0.25">
      <c r="A67" s="23">
        <v>44686</v>
      </c>
      <c r="B67" s="24">
        <v>2.4</v>
      </c>
      <c r="C67" s="24">
        <v>160</v>
      </c>
      <c r="D67" s="24">
        <f t="shared" si="6"/>
        <v>384</v>
      </c>
      <c r="E67" s="24">
        <v>0.6</v>
      </c>
      <c r="F67" s="24">
        <v>190</v>
      </c>
      <c r="G67" s="24">
        <f t="shared" ref="G67:G98" si="10">E66*F66</f>
        <v>135</v>
      </c>
      <c r="H67" s="24">
        <v>34</v>
      </c>
      <c r="I67" s="24">
        <v>11.3</v>
      </c>
      <c r="J67" s="24">
        <f t="shared" si="8"/>
        <v>384.20000000000005</v>
      </c>
      <c r="K67" s="24">
        <v>10.199999999999999</v>
      </c>
      <c r="L67" s="24">
        <f t="shared" si="4"/>
        <v>346.79999999999995</v>
      </c>
      <c r="M67" s="24">
        <f t="shared" si="5"/>
        <v>731</v>
      </c>
      <c r="O67" s="24">
        <f t="shared" ref="O67:O123" si="11">D67+G67+M67+N67</f>
        <v>1250</v>
      </c>
    </row>
    <row r="68" spans="1:15" x14ac:dyDescent="0.25">
      <c r="A68" s="23">
        <v>44687</v>
      </c>
      <c r="B68" s="24">
        <v>2.5</v>
      </c>
      <c r="C68" s="24">
        <v>170</v>
      </c>
      <c r="D68" s="24">
        <f t="shared" si="6"/>
        <v>425</v>
      </c>
      <c r="E68" s="24">
        <v>0.7</v>
      </c>
      <c r="F68" s="24">
        <v>200</v>
      </c>
      <c r="G68" s="24">
        <f t="shared" si="10"/>
        <v>114</v>
      </c>
      <c r="H68" s="24">
        <v>34</v>
      </c>
      <c r="I68" s="24">
        <v>11.2</v>
      </c>
      <c r="J68" s="24">
        <f t="shared" si="8"/>
        <v>380.79999999999995</v>
      </c>
      <c r="K68" s="24">
        <v>10.3</v>
      </c>
      <c r="L68" s="24">
        <f t="shared" si="4"/>
        <v>350.20000000000005</v>
      </c>
      <c r="M68" s="24">
        <f t="shared" si="5"/>
        <v>731</v>
      </c>
      <c r="O68" s="24">
        <f t="shared" si="11"/>
        <v>1270</v>
      </c>
    </row>
    <row r="69" spans="1:15" x14ac:dyDescent="0.25">
      <c r="A69" s="23">
        <v>44688</v>
      </c>
      <c r="B69" s="24">
        <v>2.2999999999999998</v>
      </c>
      <c r="C69" s="24">
        <v>190</v>
      </c>
      <c r="D69" s="24">
        <f t="shared" si="6"/>
        <v>436.99999999999994</v>
      </c>
      <c r="E69" s="24">
        <v>0.6</v>
      </c>
      <c r="F69" s="24">
        <v>300</v>
      </c>
      <c r="G69" s="24">
        <f t="shared" si="10"/>
        <v>140</v>
      </c>
      <c r="H69" s="24">
        <v>34</v>
      </c>
      <c r="I69" s="24">
        <v>11.7</v>
      </c>
      <c r="J69" s="24">
        <f t="shared" si="8"/>
        <v>397.79999999999995</v>
      </c>
      <c r="K69" s="24">
        <v>10.4</v>
      </c>
      <c r="L69" s="24">
        <f t="shared" si="4"/>
        <v>353.6</v>
      </c>
      <c r="M69" s="24">
        <f t="shared" si="5"/>
        <v>751.4</v>
      </c>
      <c r="O69" s="24">
        <f t="shared" si="11"/>
        <v>1328.4</v>
      </c>
    </row>
    <row r="70" spans="1:15" x14ac:dyDescent="0.25">
      <c r="A70" s="23">
        <v>44689</v>
      </c>
      <c r="B70" s="24">
        <v>2.4</v>
      </c>
      <c r="C70" s="24">
        <v>160</v>
      </c>
      <c r="D70" s="24">
        <f t="shared" si="6"/>
        <v>384</v>
      </c>
      <c r="E70" s="24">
        <v>0.5</v>
      </c>
      <c r="F70" s="24">
        <v>200</v>
      </c>
      <c r="G70" s="24">
        <f t="shared" si="10"/>
        <v>180</v>
      </c>
      <c r="H70" s="24">
        <v>34</v>
      </c>
      <c r="I70" s="24">
        <v>11.7</v>
      </c>
      <c r="J70" s="24">
        <f t="shared" si="8"/>
        <v>397.79999999999995</v>
      </c>
      <c r="K70" s="24">
        <v>10.3</v>
      </c>
      <c r="L70" s="24">
        <f t="shared" si="4"/>
        <v>350.20000000000005</v>
      </c>
      <c r="M70" s="24">
        <f t="shared" si="5"/>
        <v>748</v>
      </c>
      <c r="O70" s="24">
        <f t="shared" si="11"/>
        <v>1312</v>
      </c>
    </row>
    <row r="71" spans="1:15" x14ac:dyDescent="0.25">
      <c r="A71" s="23">
        <v>44690</v>
      </c>
      <c r="B71" s="24">
        <v>2.5</v>
      </c>
      <c r="C71" s="24">
        <v>180</v>
      </c>
      <c r="D71" s="24">
        <f t="shared" si="6"/>
        <v>450</v>
      </c>
      <c r="E71" s="24">
        <v>0.7</v>
      </c>
      <c r="F71" s="24">
        <v>250</v>
      </c>
      <c r="G71" s="24">
        <f t="shared" si="10"/>
        <v>100</v>
      </c>
      <c r="H71" s="24">
        <v>34</v>
      </c>
      <c r="I71" s="24">
        <v>11.3</v>
      </c>
      <c r="J71" s="24">
        <f t="shared" si="8"/>
        <v>384.20000000000005</v>
      </c>
      <c r="K71" s="24">
        <v>10.4</v>
      </c>
      <c r="L71" s="24">
        <f t="shared" si="4"/>
        <v>353.6</v>
      </c>
      <c r="M71" s="24">
        <f t="shared" si="5"/>
        <v>737.80000000000007</v>
      </c>
      <c r="O71" s="24">
        <f t="shared" si="11"/>
        <v>1287.8000000000002</v>
      </c>
    </row>
    <row r="72" spans="1:15" x14ac:dyDescent="0.25">
      <c r="A72" s="23">
        <v>44691</v>
      </c>
      <c r="B72" s="24">
        <v>2.4</v>
      </c>
      <c r="C72" s="24">
        <v>150</v>
      </c>
      <c r="D72" s="24">
        <f t="shared" si="6"/>
        <v>360</v>
      </c>
      <c r="E72" s="24">
        <v>0.6</v>
      </c>
      <c r="F72" s="24">
        <v>260</v>
      </c>
      <c r="G72" s="24">
        <f t="shared" si="10"/>
        <v>175</v>
      </c>
      <c r="H72" s="24">
        <v>34</v>
      </c>
      <c r="I72" s="24">
        <v>11.4</v>
      </c>
      <c r="J72" s="24">
        <f t="shared" si="8"/>
        <v>387.6</v>
      </c>
      <c r="K72" s="24">
        <v>10.5</v>
      </c>
      <c r="L72" s="24">
        <f t="shared" si="4"/>
        <v>357</v>
      </c>
      <c r="M72" s="24">
        <f t="shared" si="5"/>
        <v>744.6</v>
      </c>
      <c r="O72" s="24">
        <f t="shared" si="11"/>
        <v>1279.5999999999999</v>
      </c>
    </row>
    <row r="73" spans="1:15" x14ac:dyDescent="0.25">
      <c r="A73" s="23">
        <v>44692</v>
      </c>
      <c r="B73" s="24">
        <v>2.2999999999999998</v>
      </c>
      <c r="C73" s="24">
        <v>180</v>
      </c>
      <c r="D73" s="24">
        <f t="shared" si="6"/>
        <v>413.99999999999994</v>
      </c>
      <c r="E73" s="24">
        <v>0.6</v>
      </c>
      <c r="F73" s="24">
        <v>240</v>
      </c>
      <c r="G73" s="24">
        <f t="shared" si="10"/>
        <v>156</v>
      </c>
      <c r="H73" s="24">
        <v>34</v>
      </c>
      <c r="I73" s="24">
        <v>12</v>
      </c>
      <c r="J73" s="24">
        <f t="shared" si="8"/>
        <v>408</v>
      </c>
      <c r="K73" s="24">
        <v>10</v>
      </c>
      <c r="L73" s="24">
        <f t="shared" si="4"/>
        <v>340</v>
      </c>
      <c r="M73" s="24">
        <f t="shared" si="5"/>
        <v>748</v>
      </c>
      <c r="O73" s="24">
        <f t="shared" si="11"/>
        <v>1318</v>
      </c>
    </row>
    <row r="74" spans="1:15" x14ac:dyDescent="0.25">
      <c r="A74" s="23">
        <v>44693</v>
      </c>
      <c r="B74" s="24">
        <v>2.2000000000000002</v>
      </c>
      <c r="C74" s="24">
        <v>170</v>
      </c>
      <c r="D74" s="24">
        <f t="shared" si="6"/>
        <v>374.00000000000006</v>
      </c>
      <c r="E74" s="24">
        <v>0.7</v>
      </c>
      <c r="F74" s="24">
        <v>250</v>
      </c>
      <c r="G74" s="24">
        <f t="shared" si="10"/>
        <v>144</v>
      </c>
      <c r="H74" s="24">
        <v>34</v>
      </c>
      <c r="I74" s="24">
        <v>12</v>
      </c>
      <c r="J74" s="24">
        <f t="shared" si="8"/>
        <v>408</v>
      </c>
      <c r="K74" s="24">
        <v>10.199999999999999</v>
      </c>
      <c r="L74" s="24">
        <f t="shared" si="4"/>
        <v>346.79999999999995</v>
      </c>
      <c r="M74" s="24">
        <f t="shared" si="5"/>
        <v>754.8</v>
      </c>
      <c r="O74" s="24">
        <f t="shared" si="11"/>
        <v>1272.8</v>
      </c>
    </row>
    <row r="75" spans="1:15" x14ac:dyDescent="0.25">
      <c r="A75" s="23">
        <v>44694</v>
      </c>
      <c r="B75" s="24">
        <v>2.5</v>
      </c>
      <c r="C75" s="24">
        <v>160</v>
      </c>
      <c r="D75" s="24">
        <f t="shared" si="6"/>
        <v>400</v>
      </c>
      <c r="E75" s="24">
        <v>0.6</v>
      </c>
      <c r="F75" s="24">
        <v>190</v>
      </c>
      <c r="G75" s="24">
        <f t="shared" si="10"/>
        <v>175</v>
      </c>
      <c r="H75" s="24">
        <v>34</v>
      </c>
      <c r="I75" s="24">
        <v>11.2</v>
      </c>
      <c r="J75" s="24">
        <f t="shared" si="8"/>
        <v>380.79999999999995</v>
      </c>
      <c r="K75" s="24">
        <v>10.199999999999999</v>
      </c>
      <c r="L75" s="24">
        <f t="shared" si="4"/>
        <v>346.79999999999995</v>
      </c>
      <c r="M75" s="24">
        <f t="shared" si="5"/>
        <v>727.59999999999991</v>
      </c>
      <c r="O75" s="24">
        <f t="shared" si="11"/>
        <v>1302.5999999999999</v>
      </c>
    </row>
    <row r="76" spans="1:15" x14ac:dyDescent="0.25">
      <c r="A76" s="23">
        <v>44695</v>
      </c>
      <c r="B76" s="24">
        <v>2.2999999999999998</v>
      </c>
      <c r="C76" s="24">
        <v>200</v>
      </c>
      <c r="D76" s="24">
        <f t="shared" si="6"/>
        <v>459.99999999999994</v>
      </c>
      <c r="E76" s="24">
        <v>0.6</v>
      </c>
      <c r="F76" s="24">
        <v>150</v>
      </c>
      <c r="G76" s="24">
        <f t="shared" si="10"/>
        <v>114</v>
      </c>
      <c r="H76" s="24">
        <v>34</v>
      </c>
      <c r="I76" s="24">
        <v>11.4</v>
      </c>
      <c r="J76" s="24">
        <f t="shared" si="8"/>
        <v>387.6</v>
      </c>
      <c r="K76" s="24">
        <v>10.5</v>
      </c>
      <c r="L76" s="24">
        <f t="shared" si="4"/>
        <v>357</v>
      </c>
      <c r="M76" s="24">
        <f t="shared" si="5"/>
        <v>744.6</v>
      </c>
      <c r="O76" s="24">
        <f t="shared" si="11"/>
        <v>1318.6</v>
      </c>
    </row>
    <row r="77" spans="1:15" x14ac:dyDescent="0.25">
      <c r="A77" s="23">
        <v>44696</v>
      </c>
      <c r="B77" s="24">
        <v>2.7</v>
      </c>
      <c r="C77" s="24">
        <v>210</v>
      </c>
      <c r="D77" s="24">
        <f t="shared" si="6"/>
        <v>567</v>
      </c>
      <c r="E77" s="24">
        <v>0.7</v>
      </c>
      <c r="F77" s="24">
        <v>160</v>
      </c>
      <c r="G77" s="24">
        <f t="shared" si="10"/>
        <v>90</v>
      </c>
      <c r="H77" s="24">
        <v>34</v>
      </c>
      <c r="I77" s="24">
        <v>11.4</v>
      </c>
      <c r="J77" s="24">
        <f t="shared" si="8"/>
        <v>387.6</v>
      </c>
      <c r="K77" s="24">
        <v>10.3</v>
      </c>
      <c r="L77" s="24">
        <f t="shared" si="4"/>
        <v>350.20000000000005</v>
      </c>
      <c r="M77" s="24">
        <f t="shared" si="5"/>
        <v>737.80000000000007</v>
      </c>
      <c r="O77" s="24">
        <f t="shared" si="11"/>
        <v>1394.8000000000002</v>
      </c>
    </row>
    <row r="78" spans="1:15" x14ac:dyDescent="0.25">
      <c r="A78" s="23">
        <v>44697</v>
      </c>
      <c r="B78" s="24">
        <v>2.6</v>
      </c>
      <c r="C78" s="24">
        <v>150</v>
      </c>
      <c r="D78" s="24">
        <f t="shared" si="6"/>
        <v>390</v>
      </c>
      <c r="E78" s="24">
        <v>0.7</v>
      </c>
      <c r="F78" s="24">
        <v>200</v>
      </c>
      <c r="G78" s="24">
        <f t="shared" si="10"/>
        <v>112</v>
      </c>
      <c r="H78" s="24">
        <v>34</v>
      </c>
      <c r="I78" s="24">
        <v>11.3</v>
      </c>
      <c r="J78" s="24">
        <f t="shared" si="8"/>
        <v>384.20000000000005</v>
      </c>
      <c r="K78" s="24">
        <v>10.199999999999999</v>
      </c>
      <c r="L78" s="24">
        <f t="shared" si="4"/>
        <v>346.79999999999995</v>
      </c>
      <c r="M78" s="24">
        <f t="shared" si="5"/>
        <v>731</v>
      </c>
      <c r="O78" s="24">
        <f t="shared" si="11"/>
        <v>1233</v>
      </c>
    </row>
    <row r="79" spans="1:15" x14ac:dyDescent="0.25">
      <c r="A79" s="23">
        <v>44698</v>
      </c>
      <c r="B79" s="24">
        <v>2.5</v>
      </c>
      <c r="C79" s="24">
        <v>160</v>
      </c>
      <c r="D79" s="24">
        <f t="shared" si="6"/>
        <v>400</v>
      </c>
      <c r="E79" s="24">
        <v>0.6</v>
      </c>
      <c r="F79" s="24">
        <v>300</v>
      </c>
      <c r="G79" s="24">
        <f t="shared" si="10"/>
        <v>140</v>
      </c>
      <c r="H79" s="24">
        <v>34</v>
      </c>
      <c r="I79" s="24">
        <v>11.5</v>
      </c>
      <c r="J79" s="24">
        <f t="shared" si="8"/>
        <v>391</v>
      </c>
      <c r="K79" s="24">
        <v>10.4</v>
      </c>
      <c r="L79" s="24">
        <f t="shared" si="4"/>
        <v>353.6</v>
      </c>
      <c r="M79" s="24">
        <f t="shared" si="5"/>
        <v>744.6</v>
      </c>
      <c r="O79" s="24">
        <f t="shared" si="11"/>
        <v>1284.5999999999999</v>
      </c>
    </row>
    <row r="80" spans="1:15" x14ac:dyDescent="0.25">
      <c r="A80" s="23">
        <v>44699</v>
      </c>
      <c r="B80" s="24">
        <v>2.4</v>
      </c>
      <c r="C80" s="24">
        <v>170</v>
      </c>
      <c r="D80" s="24">
        <f t="shared" si="6"/>
        <v>408</v>
      </c>
      <c r="E80" s="24">
        <v>0.7</v>
      </c>
      <c r="F80" s="24">
        <v>200</v>
      </c>
      <c r="G80" s="24">
        <f t="shared" si="10"/>
        <v>180</v>
      </c>
      <c r="H80" s="24">
        <v>34</v>
      </c>
      <c r="I80" s="24">
        <v>11.6</v>
      </c>
      <c r="J80" s="24">
        <f t="shared" si="8"/>
        <v>394.4</v>
      </c>
      <c r="K80" s="24">
        <v>10.199999999999999</v>
      </c>
      <c r="L80" s="24">
        <f t="shared" si="4"/>
        <v>346.79999999999995</v>
      </c>
      <c r="M80" s="24">
        <f t="shared" si="5"/>
        <v>741.19999999999993</v>
      </c>
      <c r="O80" s="24">
        <f t="shared" si="11"/>
        <v>1329.1999999999998</v>
      </c>
    </row>
    <row r="81" spans="1:15" x14ac:dyDescent="0.25">
      <c r="A81" s="23">
        <v>44700</v>
      </c>
      <c r="B81" s="24">
        <v>2.5</v>
      </c>
      <c r="C81" s="24">
        <v>170</v>
      </c>
      <c r="D81" s="24">
        <f t="shared" si="6"/>
        <v>425</v>
      </c>
      <c r="E81" s="24">
        <v>0.6</v>
      </c>
      <c r="F81" s="24">
        <v>190</v>
      </c>
      <c r="G81" s="24">
        <f t="shared" si="10"/>
        <v>140</v>
      </c>
      <c r="H81" s="24">
        <v>34</v>
      </c>
      <c r="I81" s="24">
        <v>11.7</v>
      </c>
      <c r="J81" s="24">
        <f t="shared" si="8"/>
        <v>397.79999999999995</v>
      </c>
      <c r="K81" s="24">
        <v>10.5</v>
      </c>
      <c r="L81" s="24">
        <f t="shared" si="4"/>
        <v>357</v>
      </c>
      <c r="M81" s="24">
        <f t="shared" si="5"/>
        <v>754.8</v>
      </c>
      <c r="O81" s="24">
        <f t="shared" si="11"/>
        <v>1319.8</v>
      </c>
    </row>
    <row r="82" spans="1:15" x14ac:dyDescent="0.25">
      <c r="A82" s="23">
        <v>44701</v>
      </c>
      <c r="B82" s="24">
        <v>2.6</v>
      </c>
      <c r="C82" s="24">
        <v>200</v>
      </c>
      <c r="D82" s="24">
        <f t="shared" si="6"/>
        <v>520</v>
      </c>
      <c r="E82" s="24">
        <v>0.6</v>
      </c>
      <c r="F82" s="24">
        <v>300</v>
      </c>
      <c r="G82" s="24">
        <f t="shared" si="10"/>
        <v>114</v>
      </c>
      <c r="H82" s="24">
        <v>34</v>
      </c>
      <c r="I82" s="24">
        <v>11.4</v>
      </c>
      <c r="J82" s="24">
        <f t="shared" si="8"/>
        <v>387.6</v>
      </c>
      <c r="K82" s="24">
        <v>10.3</v>
      </c>
      <c r="L82" s="24">
        <f t="shared" si="4"/>
        <v>350.20000000000005</v>
      </c>
      <c r="M82" s="24">
        <f t="shared" si="5"/>
        <v>737.80000000000007</v>
      </c>
      <c r="O82" s="24">
        <f t="shared" si="11"/>
        <v>1371.8000000000002</v>
      </c>
    </row>
    <row r="83" spans="1:15" x14ac:dyDescent="0.25">
      <c r="A83" s="23">
        <v>44702</v>
      </c>
      <c r="B83" s="24">
        <v>2.5</v>
      </c>
      <c r="C83" s="24">
        <v>110</v>
      </c>
      <c r="D83" s="24">
        <f t="shared" si="6"/>
        <v>275</v>
      </c>
      <c r="E83" s="24">
        <v>0.6</v>
      </c>
      <c r="F83" s="24">
        <v>200</v>
      </c>
      <c r="G83" s="24">
        <f t="shared" si="10"/>
        <v>180</v>
      </c>
      <c r="H83" s="24">
        <v>34</v>
      </c>
      <c r="I83" s="24">
        <v>11.3</v>
      </c>
      <c r="J83" s="24">
        <f t="shared" si="8"/>
        <v>384.20000000000005</v>
      </c>
      <c r="K83" s="24">
        <v>10.199999999999999</v>
      </c>
      <c r="L83" s="24">
        <f t="shared" si="4"/>
        <v>346.79999999999995</v>
      </c>
      <c r="M83" s="24">
        <f t="shared" si="5"/>
        <v>731</v>
      </c>
      <c r="O83" s="24">
        <f t="shared" si="11"/>
        <v>1186</v>
      </c>
    </row>
    <row r="84" spans="1:15" x14ac:dyDescent="0.25">
      <c r="A84" s="23">
        <v>44703</v>
      </c>
      <c r="B84" s="24">
        <v>2.4</v>
      </c>
      <c r="C84" s="24">
        <v>130</v>
      </c>
      <c r="D84" s="24">
        <f t="shared" si="6"/>
        <v>312</v>
      </c>
      <c r="E84" s="24">
        <v>0.7</v>
      </c>
      <c r="F84" s="24">
        <v>300</v>
      </c>
      <c r="G84" s="24">
        <f t="shared" si="10"/>
        <v>120</v>
      </c>
      <c r="H84" s="24">
        <v>34</v>
      </c>
      <c r="I84" s="24">
        <v>11.2</v>
      </c>
      <c r="J84" s="24">
        <f t="shared" si="8"/>
        <v>380.79999999999995</v>
      </c>
      <c r="K84" s="24">
        <v>10.1</v>
      </c>
      <c r="L84" s="24">
        <f t="shared" si="4"/>
        <v>343.4</v>
      </c>
      <c r="M84" s="24">
        <f t="shared" si="5"/>
        <v>724.19999999999993</v>
      </c>
      <c r="O84" s="24">
        <f t="shared" si="11"/>
        <v>1156.1999999999998</v>
      </c>
    </row>
    <row r="85" spans="1:15" x14ac:dyDescent="0.25">
      <c r="A85" s="23">
        <v>44704</v>
      </c>
      <c r="B85" s="24">
        <v>2.6</v>
      </c>
      <c r="C85" s="24">
        <v>150</v>
      </c>
      <c r="D85" s="24">
        <f t="shared" si="6"/>
        <v>390</v>
      </c>
      <c r="E85" s="24">
        <v>0.6</v>
      </c>
      <c r="F85" s="24">
        <v>400</v>
      </c>
      <c r="G85" s="24">
        <f t="shared" si="10"/>
        <v>210</v>
      </c>
      <c r="H85" s="24">
        <v>34</v>
      </c>
      <c r="I85" s="24">
        <v>11.6</v>
      </c>
      <c r="J85" s="24">
        <f t="shared" si="8"/>
        <v>394.4</v>
      </c>
      <c r="K85" s="24">
        <v>10.199999999999999</v>
      </c>
      <c r="L85" s="24">
        <f t="shared" si="4"/>
        <v>346.79999999999995</v>
      </c>
      <c r="M85" s="24">
        <f t="shared" si="5"/>
        <v>741.19999999999993</v>
      </c>
      <c r="O85" s="24">
        <f t="shared" si="11"/>
        <v>1341.1999999999998</v>
      </c>
    </row>
    <row r="86" spans="1:15" x14ac:dyDescent="0.25">
      <c r="A86" s="23">
        <v>44705</v>
      </c>
      <c r="B86" s="24">
        <v>2.4</v>
      </c>
      <c r="C86" s="24">
        <v>170</v>
      </c>
      <c r="D86" s="24">
        <f t="shared" si="6"/>
        <v>408</v>
      </c>
      <c r="E86" s="24">
        <v>0.8</v>
      </c>
      <c r="F86" s="24">
        <v>380</v>
      </c>
      <c r="G86" s="24">
        <f t="shared" si="10"/>
        <v>240</v>
      </c>
      <c r="H86" s="24">
        <v>34</v>
      </c>
      <c r="I86" s="24">
        <v>11.4</v>
      </c>
      <c r="J86" s="24">
        <f t="shared" si="8"/>
        <v>387.6</v>
      </c>
      <c r="K86" s="24">
        <v>10.3</v>
      </c>
      <c r="L86" s="24">
        <f t="shared" si="4"/>
        <v>350.20000000000005</v>
      </c>
      <c r="M86" s="24">
        <f t="shared" si="5"/>
        <v>737.80000000000007</v>
      </c>
      <c r="O86" s="24">
        <f t="shared" si="11"/>
        <v>1385.8000000000002</v>
      </c>
    </row>
    <row r="87" spans="1:15" x14ac:dyDescent="0.25">
      <c r="A87" s="23">
        <v>44706</v>
      </c>
      <c r="B87" s="24">
        <v>2.5</v>
      </c>
      <c r="C87" s="24">
        <v>180</v>
      </c>
      <c r="D87" s="24">
        <f t="shared" si="6"/>
        <v>450</v>
      </c>
      <c r="E87" s="24">
        <v>0.4</v>
      </c>
      <c r="F87" s="24">
        <v>400</v>
      </c>
      <c r="G87" s="24">
        <f t="shared" si="10"/>
        <v>304</v>
      </c>
      <c r="H87" s="24">
        <v>34</v>
      </c>
      <c r="I87" s="24">
        <v>11.2</v>
      </c>
      <c r="J87" s="24">
        <f t="shared" si="8"/>
        <v>380.79999999999995</v>
      </c>
      <c r="K87" s="24">
        <v>10.5</v>
      </c>
      <c r="L87" s="24">
        <f t="shared" si="4"/>
        <v>357</v>
      </c>
      <c r="M87" s="24">
        <f t="shared" si="5"/>
        <v>737.8</v>
      </c>
      <c r="O87" s="24">
        <f t="shared" si="11"/>
        <v>1491.8</v>
      </c>
    </row>
    <row r="88" spans="1:15" x14ac:dyDescent="0.25">
      <c r="A88" s="23">
        <v>44707</v>
      </c>
      <c r="B88" s="24">
        <v>2.2999999999999998</v>
      </c>
      <c r="C88" s="24">
        <v>160</v>
      </c>
      <c r="D88" s="24">
        <f t="shared" si="6"/>
        <v>368</v>
      </c>
      <c r="E88" s="24">
        <v>0.7</v>
      </c>
      <c r="F88" s="24">
        <v>500</v>
      </c>
      <c r="G88" s="24">
        <f t="shared" si="10"/>
        <v>160</v>
      </c>
      <c r="H88" s="24">
        <v>34</v>
      </c>
      <c r="I88" s="24">
        <v>11.3</v>
      </c>
      <c r="J88" s="24">
        <f t="shared" si="8"/>
        <v>384.20000000000005</v>
      </c>
      <c r="K88" s="24">
        <v>10.3</v>
      </c>
      <c r="L88" s="24">
        <f t="shared" si="4"/>
        <v>350.20000000000005</v>
      </c>
      <c r="M88" s="24">
        <f t="shared" si="5"/>
        <v>734.40000000000009</v>
      </c>
      <c r="O88" s="24">
        <f t="shared" si="11"/>
        <v>1262.4000000000001</v>
      </c>
    </row>
    <row r="89" spans="1:15" x14ac:dyDescent="0.25">
      <c r="A89" s="23">
        <v>44708</v>
      </c>
      <c r="B89" s="24">
        <v>2.4</v>
      </c>
      <c r="C89" s="24">
        <v>170</v>
      </c>
      <c r="D89" s="24">
        <f t="shared" si="6"/>
        <v>408</v>
      </c>
      <c r="E89" s="24">
        <v>0.6</v>
      </c>
      <c r="F89" s="24">
        <v>250</v>
      </c>
      <c r="G89" s="24">
        <f t="shared" si="10"/>
        <v>350</v>
      </c>
      <c r="H89" s="24">
        <v>34</v>
      </c>
      <c r="I89" s="24">
        <v>11.4</v>
      </c>
      <c r="J89" s="24">
        <f t="shared" si="8"/>
        <v>387.6</v>
      </c>
      <c r="K89" s="24">
        <v>10.199999999999999</v>
      </c>
      <c r="L89" s="24">
        <f t="shared" si="4"/>
        <v>346.79999999999995</v>
      </c>
      <c r="M89" s="24">
        <f t="shared" si="5"/>
        <v>734.4</v>
      </c>
      <c r="O89" s="24">
        <f t="shared" si="11"/>
        <v>1492.4</v>
      </c>
    </row>
    <row r="90" spans="1:15" x14ac:dyDescent="0.25">
      <c r="A90" s="23">
        <v>44709</v>
      </c>
      <c r="B90" s="24">
        <v>2.5</v>
      </c>
      <c r="C90" s="24">
        <v>180</v>
      </c>
      <c r="D90" s="24">
        <f t="shared" si="6"/>
        <v>450</v>
      </c>
      <c r="E90" s="24">
        <v>0.6</v>
      </c>
      <c r="F90" s="24">
        <v>300</v>
      </c>
      <c r="G90" s="24">
        <f t="shared" si="10"/>
        <v>150</v>
      </c>
      <c r="H90" s="24">
        <v>34</v>
      </c>
      <c r="I90" s="24">
        <v>11.3</v>
      </c>
      <c r="J90" s="24">
        <f t="shared" si="8"/>
        <v>384.20000000000005</v>
      </c>
      <c r="K90" s="24">
        <v>10.199999999999999</v>
      </c>
      <c r="L90" s="24">
        <f t="shared" si="4"/>
        <v>346.79999999999995</v>
      </c>
      <c r="M90" s="24">
        <f t="shared" si="5"/>
        <v>731</v>
      </c>
      <c r="O90" s="24">
        <f t="shared" si="11"/>
        <v>1331</v>
      </c>
    </row>
    <row r="91" spans="1:15" x14ac:dyDescent="0.25">
      <c r="A91" s="23">
        <v>44710</v>
      </c>
      <c r="B91" s="24">
        <v>2.5</v>
      </c>
      <c r="C91" s="24">
        <v>200</v>
      </c>
      <c r="D91" s="24">
        <f t="shared" si="6"/>
        <v>500</v>
      </c>
      <c r="E91" s="24">
        <v>0.6</v>
      </c>
      <c r="F91" s="24">
        <v>250</v>
      </c>
      <c r="G91" s="24">
        <f t="shared" si="10"/>
        <v>180</v>
      </c>
      <c r="H91" s="24">
        <v>34</v>
      </c>
      <c r="I91" s="24">
        <v>11.4</v>
      </c>
      <c r="J91" s="24">
        <f t="shared" si="8"/>
        <v>387.6</v>
      </c>
      <c r="K91" s="24">
        <v>10.3</v>
      </c>
      <c r="L91" s="24">
        <f t="shared" si="4"/>
        <v>350.20000000000005</v>
      </c>
      <c r="M91" s="24">
        <f t="shared" si="5"/>
        <v>737.80000000000007</v>
      </c>
      <c r="O91" s="24">
        <f t="shared" si="11"/>
        <v>1417.8000000000002</v>
      </c>
    </row>
    <row r="92" spans="1:15" x14ac:dyDescent="0.25">
      <c r="A92" s="23">
        <v>44711</v>
      </c>
      <c r="B92" s="24">
        <v>2.4</v>
      </c>
      <c r="C92" s="24">
        <v>240</v>
      </c>
      <c r="D92" s="24">
        <f t="shared" si="6"/>
        <v>576</v>
      </c>
      <c r="E92" s="24">
        <v>0.5</v>
      </c>
      <c r="F92" s="24">
        <v>500</v>
      </c>
      <c r="G92" s="24">
        <f t="shared" si="10"/>
        <v>150</v>
      </c>
      <c r="H92" s="24">
        <v>34</v>
      </c>
      <c r="I92" s="24">
        <v>11.5</v>
      </c>
      <c r="J92" s="24">
        <f t="shared" si="8"/>
        <v>391</v>
      </c>
      <c r="K92" s="24">
        <v>10.4</v>
      </c>
      <c r="L92" s="24">
        <f t="shared" si="4"/>
        <v>353.6</v>
      </c>
      <c r="M92" s="24">
        <f t="shared" si="5"/>
        <v>744.6</v>
      </c>
      <c r="O92" s="24">
        <f t="shared" si="11"/>
        <v>1470.6</v>
      </c>
    </row>
    <row r="93" spans="1:15" x14ac:dyDescent="0.25">
      <c r="A93" s="23">
        <v>44712</v>
      </c>
      <c r="B93" s="24">
        <v>2.6</v>
      </c>
      <c r="C93" s="24">
        <v>200</v>
      </c>
      <c r="D93" s="24">
        <f t="shared" si="6"/>
        <v>520</v>
      </c>
      <c r="E93" s="24">
        <v>0.6</v>
      </c>
      <c r="F93" s="24">
        <v>200</v>
      </c>
      <c r="G93" s="24">
        <f t="shared" si="10"/>
        <v>250</v>
      </c>
      <c r="H93" s="24">
        <v>34</v>
      </c>
      <c r="I93" s="24">
        <v>12</v>
      </c>
      <c r="J93" s="24">
        <f t="shared" si="8"/>
        <v>408</v>
      </c>
      <c r="K93" s="24">
        <v>10.5</v>
      </c>
      <c r="L93" s="24">
        <f t="shared" si="4"/>
        <v>357</v>
      </c>
      <c r="M93" s="24">
        <f t="shared" si="5"/>
        <v>765</v>
      </c>
      <c r="O93" s="24">
        <f t="shared" si="11"/>
        <v>1535</v>
      </c>
    </row>
    <row r="94" spans="1:15" x14ac:dyDescent="0.25">
      <c r="A94" s="23">
        <v>44713</v>
      </c>
      <c r="B94" s="24">
        <v>3</v>
      </c>
      <c r="C94" s="24">
        <v>150</v>
      </c>
      <c r="D94" s="24">
        <f t="shared" si="6"/>
        <v>450</v>
      </c>
      <c r="E94" s="24">
        <v>1</v>
      </c>
      <c r="F94" s="24">
        <v>200</v>
      </c>
      <c r="G94" s="24">
        <f t="shared" si="10"/>
        <v>120</v>
      </c>
      <c r="H94" s="24">
        <v>34</v>
      </c>
      <c r="I94" s="24">
        <v>11.4</v>
      </c>
      <c r="J94" s="24">
        <f t="shared" si="8"/>
        <v>387.6</v>
      </c>
      <c r="K94" s="24">
        <v>10.199999999999999</v>
      </c>
      <c r="L94" s="24">
        <f t="shared" si="4"/>
        <v>346.79999999999995</v>
      </c>
      <c r="M94" s="24">
        <f t="shared" si="5"/>
        <v>734.4</v>
      </c>
      <c r="O94" s="24">
        <f t="shared" si="11"/>
        <v>1304.4000000000001</v>
      </c>
    </row>
    <row r="95" spans="1:15" x14ac:dyDescent="0.25">
      <c r="A95" s="23">
        <v>44714</v>
      </c>
      <c r="B95" s="24">
        <v>2.7</v>
      </c>
      <c r="C95" s="24">
        <v>170</v>
      </c>
      <c r="D95" s="24">
        <f t="shared" si="6"/>
        <v>459.00000000000006</v>
      </c>
      <c r="E95" s="24">
        <v>1.1000000000000001</v>
      </c>
      <c r="F95" s="24">
        <v>250</v>
      </c>
      <c r="G95" s="24">
        <f t="shared" si="10"/>
        <v>200</v>
      </c>
      <c r="H95" s="24">
        <v>34</v>
      </c>
      <c r="I95" s="24">
        <v>11</v>
      </c>
      <c r="J95" s="24">
        <f t="shared" si="8"/>
        <v>374</v>
      </c>
      <c r="K95" s="24">
        <v>10.3</v>
      </c>
      <c r="L95" s="24">
        <f t="shared" si="4"/>
        <v>350.20000000000005</v>
      </c>
      <c r="M95" s="24">
        <f t="shared" si="5"/>
        <v>724.2</v>
      </c>
      <c r="O95" s="24">
        <f t="shared" si="11"/>
        <v>1383.2</v>
      </c>
    </row>
    <row r="96" spans="1:15" x14ac:dyDescent="0.25">
      <c r="A96" s="23">
        <v>44715</v>
      </c>
      <c r="B96" s="24">
        <v>2.9</v>
      </c>
      <c r="C96" s="24">
        <v>200</v>
      </c>
      <c r="D96" s="24">
        <f t="shared" si="6"/>
        <v>580</v>
      </c>
      <c r="E96" s="24">
        <v>1.3</v>
      </c>
      <c r="F96" s="24">
        <v>200</v>
      </c>
      <c r="G96" s="24">
        <f t="shared" si="10"/>
        <v>275</v>
      </c>
      <c r="H96" s="24">
        <v>34</v>
      </c>
      <c r="I96" s="24">
        <v>12</v>
      </c>
      <c r="J96" s="24">
        <f t="shared" si="8"/>
        <v>408</v>
      </c>
      <c r="K96" s="24">
        <v>10.5</v>
      </c>
      <c r="L96" s="24">
        <f t="shared" si="4"/>
        <v>357</v>
      </c>
      <c r="M96" s="24">
        <f t="shared" si="5"/>
        <v>765</v>
      </c>
      <c r="O96" s="24">
        <f t="shared" si="11"/>
        <v>1620</v>
      </c>
    </row>
    <row r="97" spans="1:15" x14ac:dyDescent="0.25">
      <c r="A97" s="23">
        <v>44716</v>
      </c>
      <c r="B97" s="24">
        <v>2.8</v>
      </c>
      <c r="C97" s="24">
        <v>180</v>
      </c>
      <c r="D97" s="24">
        <f t="shared" si="6"/>
        <v>503.99999999999994</v>
      </c>
      <c r="E97" s="24">
        <v>1.5</v>
      </c>
      <c r="F97" s="24">
        <v>300</v>
      </c>
      <c r="G97" s="24">
        <f t="shared" si="10"/>
        <v>260</v>
      </c>
      <c r="H97" s="24">
        <v>34</v>
      </c>
      <c r="I97" s="24">
        <v>11.6</v>
      </c>
      <c r="J97" s="24">
        <f t="shared" si="8"/>
        <v>394.4</v>
      </c>
      <c r="K97" s="24">
        <v>11</v>
      </c>
      <c r="L97" s="24">
        <f t="shared" si="4"/>
        <v>374</v>
      </c>
      <c r="M97" s="24">
        <f t="shared" si="5"/>
        <v>768.4</v>
      </c>
      <c r="O97" s="24">
        <f t="shared" si="11"/>
        <v>1532.4</v>
      </c>
    </row>
    <row r="98" spans="1:15" x14ac:dyDescent="0.25">
      <c r="A98" s="23">
        <v>44717</v>
      </c>
      <c r="B98" s="24">
        <v>3</v>
      </c>
      <c r="C98" s="24">
        <v>200</v>
      </c>
      <c r="D98" s="24">
        <f t="shared" si="6"/>
        <v>600</v>
      </c>
      <c r="E98" s="24">
        <v>1</v>
      </c>
      <c r="F98" s="24">
        <v>300</v>
      </c>
      <c r="G98" s="24">
        <f t="shared" si="10"/>
        <v>450</v>
      </c>
      <c r="H98" s="24">
        <v>34</v>
      </c>
      <c r="I98" s="24">
        <v>11.7</v>
      </c>
      <c r="J98" s="24">
        <f t="shared" si="8"/>
        <v>397.79999999999995</v>
      </c>
      <c r="K98" s="24">
        <v>10.7</v>
      </c>
      <c r="L98" s="24">
        <f t="shared" si="4"/>
        <v>363.79999999999995</v>
      </c>
      <c r="M98" s="24">
        <f t="shared" si="5"/>
        <v>761.59999999999991</v>
      </c>
      <c r="O98" s="24">
        <f t="shared" si="11"/>
        <v>1811.6</v>
      </c>
    </row>
    <row r="99" spans="1:15" x14ac:dyDescent="0.25">
      <c r="A99" s="23">
        <v>44718</v>
      </c>
      <c r="B99" s="24">
        <v>2.8</v>
      </c>
      <c r="C99" s="24">
        <v>150</v>
      </c>
      <c r="D99" s="24">
        <f t="shared" si="6"/>
        <v>420</v>
      </c>
      <c r="E99" s="24">
        <v>1.2</v>
      </c>
      <c r="F99" s="24">
        <v>280</v>
      </c>
      <c r="G99" s="24">
        <f t="shared" ref="G99:G123" si="12">E98*F98</f>
        <v>300</v>
      </c>
      <c r="H99" s="24">
        <v>34</v>
      </c>
      <c r="I99" s="24">
        <v>11.8</v>
      </c>
      <c r="J99" s="24">
        <f t="shared" si="8"/>
        <v>401.20000000000005</v>
      </c>
      <c r="K99" s="24">
        <v>11</v>
      </c>
      <c r="L99" s="24">
        <f t="shared" si="4"/>
        <v>374</v>
      </c>
      <c r="M99" s="24">
        <f t="shared" si="5"/>
        <v>775.2</v>
      </c>
      <c r="O99" s="24">
        <f t="shared" si="11"/>
        <v>1495.2</v>
      </c>
    </row>
    <row r="100" spans="1:15" x14ac:dyDescent="0.25">
      <c r="A100" s="23">
        <v>44719</v>
      </c>
      <c r="B100" s="24">
        <v>2.7</v>
      </c>
      <c r="C100" s="24">
        <v>200</v>
      </c>
      <c r="D100" s="24">
        <f t="shared" si="6"/>
        <v>540</v>
      </c>
      <c r="E100" s="24">
        <v>1.4</v>
      </c>
      <c r="F100" s="24">
        <v>350</v>
      </c>
      <c r="G100" s="24">
        <f t="shared" si="12"/>
        <v>336</v>
      </c>
      <c r="H100" s="24">
        <v>34</v>
      </c>
      <c r="I100" s="24">
        <v>11.7</v>
      </c>
      <c r="J100" s="24">
        <f t="shared" si="8"/>
        <v>397.79999999999995</v>
      </c>
      <c r="K100" s="24">
        <v>10.8</v>
      </c>
      <c r="L100" s="24">
        <f t="shared" si="4"/>
        <v>367.20000000000005</v>
      </c>
      <c r="M100" s="24">
        <f t="shared" si="5"/>
        <v>765</v>
      </c>
      <c r="O100" s="24">
        <f t="shared" si="11"/>
        <v>1641</v>
      </c>
    </row>
    <row r="101" spans="1:15" x14ac:dyDescent="0.25">
      <c r="A101" s="23">
        <v>44720</v>
      </c>
      <c r="B101" s="24">
        <v>2.9</v>
      </c>
      <c r="C101" s="24">
        <v>180</v>
      </c>
      <c r="D101" s="24">
        <f t="shared" si="6"/>
        <v>522</v>
      </c>
      <c r="E101" s="24">
        <v>1.5</v>
      </c>
      <c r="F101" s="24">
        <v>400</v>
      </c>
      <c r="G101" s="24">
        <f t="shared" si="12"/>
        <v>489.99999999999994</v>
      </c>
      <c r="H101" s="24">
        <v>34</v>
      </c>
      <c r="I101" s="24">
        <v>11.8</v>
      </c>
      <c r="J101" s="24">
        <f t="shared" si="8"/>
        <v>401.20000000000005</v>
      </c>
      <c r="K101" s="24">
        <v>10.7</v>
      </c>
      <c r="L101" s="24">
        <f t="shared" si="4"/>
        <v>363.79999999999995</v>
      </c>
      <c r="M101" s="24">
        <f t="shared" si="5"/>
        <v>765</v>
      </c>
      <c r="O101" s="24">
        <f t="shared" si="11"/>
        <v>1777</v>
      </c>
    </row>
    <row r="102" spans="1:15" x14ac:dyDescent="0.25">
      <c r="A102" s="23">
        <v>44721</v>
      </c>
      <c r="B102" s="24">
        <v>2.7</v>
      </c>
      <c r="C102" s="24">
        <v>160</v>
      </c>
      <c r="D102" s="24">
        <f t="shared" si="6"/>
        <v>432</v>
      </c>
      <c r="E102" s="24">
        <v>1.3</v>
      </c>
      <c r="F102" s="24">
        <v>300</v>
      </c>
      <c r="G102" s="24">
        <f t="shared" si="12"/>
        <v>600</v>
      </c>
      <c r="H102" s="24">
        <v>34</v>
      </c>
      <c r="I102" s="24">
        <v>11</v>
      </c>
      <c r="J102" s="24">
        <f t="shared" si="8"/>
        <v>374</v>
      </c>
      <c r="K102" s="24">
        <v>10.8</v>
      </c>
      <c r="L102" s="24">
        <f t="shared" si="4"/>
        <v>367.20000000000005</v>
      </c>
      <c r="M102" s="24">
        <f t="shared" si="5"/>
        <v>741.2</v>
      </c>
      <c r="O102" s="24">
        <f t="shared" si="11"/>
        <v>1773.2</v>
      </c>
    </row>
    <row r="103" spans="1:15" x14ac:dyDescent="0.25">
      <c r="A103" s="23">
        <v>44722</v>
      </c>
      <c r="B103" s="24">
        <v>3</v>
      </c>
      <c r="C103" s="24">
        <v>150</v>
      </c>
      <c r="D103" s="24">
        <f t="shared" si="6"/>
        <v>450</v>
      </c>
      <c r="E103" s="24">
        <v>1.2</v>
      </c>
      <c r="F103" s="24">
        <v>300</v>
      </c>
      <c r="G103" s="24">
        <f t="shared" si="12"/>
        <v>390</v>
      </c>
      <c r="H103" s="24">
        <v>34</v>
      </c>
      <c r="I103" s="24">
        <v>12</v>
      </c>
      <c r="J103" s="24">
        <f t="shared" si="8"/>
        <v>408</v>
      </c>
      <c r="K103" s="24">
        <v>10.6</v>
      </c>
      <c r="L103" s="24">
        <f t="shared" si="4"/>
        <v>360.4</v>
      </c>
      <c r="M103" s="24">
        <f t="shared" si="5"/>
        <v>768.4</v>
      </c>
      <c r="O103" s="24">
        <f t="shared" si="11"/>
        <v>1608.4</v>
      </c>
    </row>
    <row r="104" spans="1:15" x14ac:dyDescent="0.25">
      <c r="A104" s="23">
        <v>44723</v>
      </c>
      <c r="B104" s="24">
        <v>2.5</v>
      </c>
      <c r="C104" s="24">
        <v>200</v>
      </c>
      <c r="D104" s="24">
        <f t="shared" si="6"/>
        <v>500</v>
      </c>
      <c r="E104" s="24">
        <v>1.4</v>
      </c>
      <c r="F104" s="24">
        <v>250</v>
      </c>
      <c r="G104" s="24">
        <f t="shared" si="12"/>
        <v>360</v>
      </c>
      <c r="H104" s="24">
        <v>34</v>
      </c>
      <c r="I104" s="24">
        <v>11.5</v>
      </c>
      <c r="J104" s="24">
        <f t="shared" si="8"/>
        <v>391</v>
      </c>
      <c r="K104" s="24">
        <v>10.7</v>
      </c>
      <c r="L104" s="24">
        <f t="shared" si="4"/>
        <v>363.79999999999995</v>
      </c>
      <c r="M104" s="24">
        <f t="shared" si="5"/>
        <v>754.8</v>
      </c>
      <c r="O104" s="24">
        <f t="shared" si="11"/>
        <v>1614.8</v>
      </c>
    </row>
    <row r="105" spans="1:15" x14ac:dyDescent="0.25">
      <c r="A105" s="23">
        <v>44724</v>
      </c>
      <c r="B105" s="24">
        <v>3</v>
      </c>
      <c r="C105" s="24">
        <v>190</v>
      </c>
      <c r="D105" s="24">
        <f t="shared" si="6"/>
        <v>570</v>
      </c>
      <c r="E105" s="24">
        <v>1.5</v>
      </c>
      <c r="F105" s="24">
        <v>300</v>
      </c>
      <c r="G105" s="24">
        <f t="shared" si="12"/>
        <v>350</v>
      </c>
      <c r="H105" s="24">
        <v>34</v>
      </c>
      <c r="I105" s="24">
        <v>11.6</v>
      </c>
      <c r="J105" s="24">
        <f t="shared" si="8"/>
        <v>394.4</v>
      </c>
      <c r="K105" s="24">
        <v>10.6</v>
      </c>
      <c r="L105" s="24">
        <f t="shared" si="4"/>
        <v>360.4</v>
      </c>
      <c r="M105" s="24">
        <f t="shared" si="5"/>
        <v>754.8</v>
      </c>
      <c r="O105" s="24">
        <f t="shared" si="11"/>
        <v>1674.8</v>
      </c>
    </row>
    <row r="106" spans="1:15" x14ac:dyDescent="0.25">
      <c r="A106" s="23">
        <v>44725</v>
      </c>
      <c r="B106" s="24">
        <v>2.7</v>
      </c>
      <c r="C106" s="24">
        <v>200</v>
      </c>
      <c r="D106" s="24">
        <f t="shared" si="6"/>
        <v>540</v>
      </c>
      <c r="E106" s="24">
        <v>1.3</v>
      </c>
      <c r="F106" s="24">
        <v>400</v>
      </c>
      <c r="G106" s="24">
        <f t="shared" si="12"/>
        <v>450</v>
      </c>
      <c r="H106" s="24">
        <v>34</v>
      </c>
      <c r="I106" s="24">
        <v>11.5</v>
      </c>
      <c r="J106" s="24">
        <f t="shared" si="8"/>
        <v>391</v>
      </c>
      <c r="K106" s="24">
        <v>10.7</v>
      </c>
      <c r="L106" s="24">
        <f t="shared" si="4"/>
        <v>363.79999999999995</v>
      </c>
      <c r="M106" s="24">
        <f t="shared" si="5"/>
        <v>754.8</v>
      </c>
      <c r="O106" s="24">
        <f t="shared" si="11"/>
        <v>1744.8</v>
      </c>
    </row>
    <row r="107" spans="1:15" x14ac:dyDescent="0.25">
      <c r="A107" s="23">
        <v>44726</v>
      </c>
      <c r="B107" s="24">
        <v>2.8</v>
      </c>
      <c r="C107" s="24">
        <v>160</v>
      </c>
      <c r="D107" s="24">
        <f t="shared" si="6"/>
        <v>448</v>
      </c>
      <c r="E107" s="24">
        <v>1.3</v>
      </c>
      <c r="F107" s="24">
        <v>200</v>
      </c>
      <c r="G107" s="24">
        <f t="shared" si="12"/>
        <v>520</v>
      </c>
      <c r="H107" s="24">
        <v>34</v>
      </c>
      <c r="I107" s="24">
        <v>11.7</v>
      </c>
      <c r="J107" s="24">
        <f t="shared" si="8"/>
        <v>397.79999999999995</v>
      </c>
      <c r="K107" s="24">
        <v>10.5</v>
      </c>
      <c r="L107" s="24">
        <f t="shared" si="4"/>
        <v>357</v>
      </c>
      <c r="M107" s="24">
        <f t="shared" si="5"/>
        <v>754.8</v>
      </c>
      <c r="O107" s="24">
        <f t="shared" si="11"/>
        <v>1722.8</v>
      </c>
    </row>
    <row r="108" spans="1:15" x14ac:dyDescent="0.25">
      <c r="A108" s="23">
        <v>44727</v>
      </c>
      <c r="B108" s="24">
        <v>3</v>
      </c>
      <c r="C108" s="24">
        <v>150</v>
      </c>
      <c r="D108" s="24">
        <f t="shared" si="6"/>
        <v>450</v>
      </c>
      <c r="E108" s="24">
        <v>1.5</v>
      </c>
      <c r="F108" s="24">
        <v>380</v>
      </c>
      <c r="G108" s="24">
        <f t="shared" si="12"/>
        <v>260</v>
      </c>
      <c r="H108" s="24">
        <v>34</v>
      </c>
      <c r="I108" s="24">
        <v>11.8</v>
      </c>
      <c r="J108" s="24">
        <f t="shared" si="8"/>
        <v>401.20000000000005</v>
      </c>
      <c r="K108" s="24">
        <v>10.4</v>
      </c>
      <c r="L108" s="24">
        <f t="shared" si="4"/>
        <v>353.6</v>
      </c>
      <c r="M108" s="24">
        <f t="shared" si="5"/>
        <v>754.80000000000007</v>
      </c>
      <c r="O108" s="24">
        <f t="shared" si="11"/>
        <v>1464.8000000000002</v>
      </c>
    </row>
    <row r="109" spans="1:15" x14ac:dyDescent="0.25">
      <c r="A109" s="23">
        <v>44728</v>
      </c>
      <c r="B109" s="24">
        <v>2.8</v>
      </c>
      <c r="C109" s="24">
        <v>180</v>
      </c>
      <c r="D109" s="24">
        <f t="shared" si="6"/>
        <v>503.99999999999994</v>
      </c>
      <c r="E109" s="24">
        <v>2</v>
      </c>
      <c r="F109" s="24">
        <v>300</v>
      </c>
      <c r="G109" s="24">
        <f t="shared" si="12"/>
        <v>570</v>
      </c>
      <c r="H109" s="24">
        <v>34</v>
      </c>
      <c r="I109" s="24">
        <v>12</v>
      </c>
      <c r="J109" s="24">
        <f t="shared" si="8"/>
        <v>408</v>
      </c>
      <c r="K109" s="24">
        <v>10.5</v>
      </c>
      <c r="L109" s="24">
        <f t="shared" si="4"/>
        <v>357</v>
      </c>
      <c r="M109" s="24">
        <f t="shared" si="5"/>
        <v>765</v>
      </c>
      <c r="O109" s="24">
        <f t="shared" si="11"/>
        <v>1839</v>
      </c>
    </row>
    <row r="110" spans="1:15" x14ac:dyDescent="0.25">
      <c r="A110" s="23">
        <v>44729</v>
      </c>
      <c r="B110" s="24">
        <v>2.7</v>
      </c>
      <c r="C110" s="24">
        <v>200</v>
      </c>
      <c r="D110" s="24">
        <f t="shared" si="6"/>
        <v>540</v>
      </c>
      <c r="E110" s="24">
        <v>1.9</v>
      </c>
      <c r="F110" s="24">
        <v>400</v>
      </c>
      <c r="G110" s="24">
        <f t="shared" si="12"/>
        <v>600</v>
      </c>
      <c r="H110" s="24">
        <v>34</v>
      </c>
      <c r="I110" s="24">
        <v>11.5</v>
      </c>
      <c r="J110" s="24">
        <f t="shared" si="8"/>
        <v>391</v>
      </c>
      <c r="K110" s="24">
        <v>11</v>
      </c>
      <c r="L110" s="24">
        <f t="shared" si="4"/>
        <v>374</v>
      </c>
      <c r="M110" s="24">
        <f t="shared" si="5"/>
        <v>765</v>
      </c>
      <c r="O110" s="24">
        <f t="shared" si="11"/>
        <v>1905</v>
      </c>
    </row>
    <row r="111" spans="1:15" x14ac:dyDescent="0.25">
      <c r="A111" s="23">
        <v>44730</v>
      </c>
      <c r="B111" s="24">
        <v>3</v>
      </c>
      <c r="C111" s="24">
        <v>150</v>
      </c>
      <c r="D111" s="24">
        <f t="shared" si="6"/>
        <v>450</v>
      </c>
      <c r="E111" s="24">
        <v>2</v>
      </c>
      <c r="F111" s="24">
        <v>600</v>
      </c>
      <c r="G111" s="24">
        <f t="shared" si="12"/>
        <v>760</v>
      </c>
      <c r="H111" s="24">
        <v>34</v>
      </c>
      <c r="I111" s="24">
        <v>11.8</v>
      </c>
      <c r="J111" s="24">
        <f t="shared" si="8"/>
        <v>401.20000000000005</v>
      </c>
      <c r="K111" s="24">
        <v>10.5</v>
      </c>
      <c r="L111" s="24">
        <f t="shared" si="4"/>
        <v>357</v>
      </c>
      <c r="M111" s="24">
        <f t="shared" si="5"/>
        <v>758.2</v>
      </c>
      <c r="O111" s="24">
        <f t="shared" si="11"/>
        <v>1968.2</v>
      </c>
    </row>
    <row r="112" spans="1:15" x14ac:dyDescent="0.25">
      <c r="A112" s="23">
        <v>44731</v>
      </c>
      <c r="B112" s="24">
        <v>2.8</v>
      </c>
      <c r="C112" s="24">
        <v>200</v>
      </c>
      <c r="D112" s="24">
        <f t="shared" si="6"/>
        <v>560</v>
      </c>
      <c r="E112" s="24">
        <v>1.7</v>
      </c>
      <c r="F112" s="24">
        <v>400</v>
      </c>
      <c r="G112" s="24">
        <f t="shared" si="12"/>
        <v>1200</v>
      </c>
      <c r="H112" s="24">
        <v>34</v>
      </c>
      <c r="I112" s="24">
        <v>11.6</v>
      </c>
      <c r="J112" s="24">
        <f t="shared" si="8"/>
        <v>394.4</v>
      </c>
      <c r="K112" s="24">
        <v>10.5</v>
      </c>
      <c r="L112" s="24">
        <f t="shared" si="4"/>
        <v>357</v>
      </c>
      <c r="M112" s="24">
        <f t="shared" si="5"/>
        <v>751.4</v>
      </c>
      <c r="O112" s="24">
        <f t="shared" si="11"/>
        <v>2511.4</v>
      </c>
    </row>
    <row r="113" spans="1:15" x14ac:dyDescent="0.25">
      <c r="A113" s="23">
        <v>44732</v>
      </c>
      <c r="B113" s="24">
        <v>3</v>
      </c>
      <c r="C113" s="24">
        <v>180</v>
      </c>
      <c r="D113" s="24">
        <f t="shared" si="6"/>
        <v>540</v>
      </c>
      <c r="E113" s="24">
        <v>1.6</v>
      </c>
      <c r="F113" s="24">
        <v>370</v>
      </c>
      <c r="G113" s="24">
        <f t="shared" si="12"/>
        <v>680</v>
      </c>
      <c r="H113" s="24">
        <v>34</v>
      </c>
      <c r="I113" s="24">
        <v>11.7</v>
      </c>
      <c r="J113" s="24">
        <f t="shared" si="8"/>
        <v>397.79999999999995</v>
      </c>
      <c r="K113" s="24">
        <v>10.5</v>
      </c>
      <c r="L113" s="24">
        <f t="shared" si="4"/>
        <v>357</v>
      </c>
      <c r="M113" s="24">
        <f t="shared" si="5"/>
        <v>754.8</v>
      </c>
      <c r="O113" s="24">
        <f t="shared" si="11"/>
        <v>1974.8</v>
      </c>
    </row>
    <row r="114" spans="1:15" x14ac:dyDescent="0.25">
      <c r="A114" s="23">
        <v>44733</v>
      </c>
      <c r="B114" s="24">
        <v>2.9</v>
      </c>
      <c r="C114" s="24">
        <v>150</v>
      </c>
      <c r="D114" s="24">
        <f t="shared" si="6"/>
        <v>435</v>
      </c>
      <c r="E114" s="24">
        <v>1.8</v>
      </c>
      <c r="F114" s="24">
        <v>400</v>
      </c>
      <c r="G114" s="24">
        <f t="shared" si="12"/>
        <v>592</v>
      </c>
      <c r="H114" s="24">
        <v>34</v>
      </c>
      <c r="I114" s="24">
        <v>11.9</v>
      </c>
      <c r="J114" s="24">
        <f t="shared" si="8"/>
        <v>404.6</v>
      </c>
      <c r="K114" s="24">
        <v>10.5</v>
      </c>
      <c r="L114" s="24">
        <f t="shared" si="4"/>
        <v>357</v>
      </c>
      <c r="M114" s="24">
        <f t="shared" si="5"/>
        <v>761.6</v>
      </c>
      <c r="O114" s="24">
        <f t="shared" si="11"/>
        <v>1788.6</v>
      </c>
    </row>
    <row r="115" spans="1:15" x14ac:dyDescent="0.25">
      <c r="A115" s="23">
        <v>44734</v>
      </c>
      <c r="B115" s="24">
        <v>2.7</v>
      </c>
      <c r="C115" s="24">
        <v>250</v>
      </c>
      <c r="D115" s="24">
        <f t="shared" si="6"/>
        <v>675</v>
      </c>
      <c r="E115" s="24">
        <v>1.9</v>
      </c>
      <c r="F115" s="24">
        <v>380</v>
      </c>
      <c r="G115" s="24">
        <f t="shared" si="12"/>
        <v>720</v>
      </c>
      <c r="H115" s="24">
        <v>34</v>
      </c>
      <c r="I115" s="24">
        <v>12</v>
      </c>
      <c r="J115" s="24">
        <f t="shared" si="8"/>
        <v>408</v>
      </c>
      <c r="K115" s="24">
        <v>11</v>
      </c>
      <c r="L115" s="24">
        <f t="shared" si="4"/>
        <v>374</v>
      </c>
      <c r="M115" s="24">
        <f t="shared" si="5"/>
        <v>782</v>
      </c>
      <c r="O115" s="24">
        <f t="shared" si="11"/>
        <v>2177</v>
      </c>
    </row>
    <row r="116" spans="1:15" x14ac:dyDescent="0.25">
      <c r="A116" s="23">
        <v>44735</v>
      </c>
      <c r="B116" s="24">
        <v>3</v>
      </c>
      <c r="C116" s="24">
        <v>240</v>
      </c>
      <c r="D116" s="24">
        <f t="shared" si="6"/>
        <v>720</v>
      </c>
      <c r="E116" s="24">
        <v>1.7</v>
      </c>
      <c r="F116" s="24">
        <v>600</v>
      </c>
      <c r="G116" s="24">
        <f t="shared" si="12"/>
        <v>722</v>
      </c>
      <c r="H116" s="24">
        <v>34</v>
      </c>
      <c r="I116" s="24">
        <v>12</v>
      </c>
      <c r="J116" s="24">
        <f t="shared" si="8"/>
        <v>408</v>
      </c>
      <c r="K116" s="24">
        <v>10.7</v>
      </c>
      <c r="L116" s="24">
        <f t="shared" si="4"/>
        <v>363.79999999999995</v>
      </c>
      <c r="M116" s="24">
        <f t="shared" si="5"/>
        <v>771.8</v>
      </c>
      <c r="O116" s="24">
        <f t="shared" si="11"/>
        <v>2213.8000000000002</v>
      </c>
    </row>
    <row r="117" spans="1:15" x14ac:dyDescent="0.25">
      <c r="A117" s="23">
        <v>44736</v>
      </c>
      <c r="B117" s="24">
        <v>2.5</v>
      </c>
      <c r="C117" s="24">
        <v>240</v>
      </c>
      <c r="D117" s="24">
        <f t="shared" si="6"/>
        <v>600</v>
      </c>
      <c r="E117" s="24">
        <v>2</v>
      </c>
      <c r="F117" s="24">
        <v>500</v>
      </c>
      <c r="G117" s="24">
        <f t="shared" si="12"/>
        <v>1020</v>
      </c>
      <c r="H117" s="24">
        <v>34</v>
      </c>
      <c r="I117" s="24">
        <v>11.7</v>
      </c>
      <c r="J117" s="24">
        <f t="shared" si="8"/>
        <v>397.79999999999995</v>
      </c>
      <c r="K117" s="24">
        <v>11</v>
      </c>
      <c r="L117" s="24">
        <f t="shared" si="4"/>
        <v>374</v>
      </c>
      <c r="M117" s="24">
        <f t="shared" si="5"/>
        <v>771.8</v>
      </c>
      <c r="O117" s="24">
        <f t="shared" si="11"/>
        <v>2391.8000000000002</v>
      </c>
    </row>
    <row r="118" spans="1:15" x14ac:dyDescent="0.25">
      <c r="A118" s="23">
        <v>44737</v>
      </c>
      <c r="B118" s="24">
        <v>2.8</v>
      </c>
      <c r="C118" s="24">
        <v>200</v>
      </c>
      <c r="D118" s="24">
        <f t="shared" si="6"/>
        <v>560</v>
      </c>
      <c r="E118" s="24">
        <v>2</v>
      </c>
      <c r="F118" s="24">
        <v>500</v>
      </c>
      <c r="G118" s="24">
        <f t="shared" si="12"/>
        <v>1000</v>
      </c>
      <c r="H118" s="24">
        <v>34</v>
      </c>
      <c r="I118" s="24">
        <v>11.8</v>
      </c>
      <c r="J118" s="24">
        <f t="shared" si="8"/>
        <v>401.20000000000005</v>
      </c>
      <c r="K118" s="24">
        <v>10.7</v>
      </c>
      <c r="L118" s="24">
        <f t="shared" si="4"/>
        <v>363.79999999999995</v>
      </c>
      <c r="M118" s="24">
        <f t="shared" si="5"/>
        <v>765</v>
      </c>
      <c r="O118" s="24">
        <f t="shared" si="11"/>
        <v>2325</v>
      </c>
    </row>
    <row r="119" spans="1:15" x14ac:dyDescent="0.25">
      <c r="A119" s="23">
        <v>44738</v>
      </c>
      <c r="B119" s="24">
        <v>3</v>
      </c>
      <c r="C119" s="24">
        <v>180</v>
      </c>
      <c r="D119" s="24">
        <f t="shared" si="6"/>
        <v>540</v>
      </c>
      <c r="E119" s="24">
        <v>1.7</v>
      </c>
      <c r="F119" s="24">
        <v>300</v>
      </c>
      <c r="G119" s="24">
        <f t="shared" si="12"/>
        <v>1000</v>
      </c>
      <c r="H119" s="24">
        <v>34</v>
      </c>
      <c r="I119" s="24">
        <v>11.7</v>
      </c>
      <c r="J119" s="24">
        <f t="shared" si="8"/>
        <v>397.79999999999995</v>
      </c>
      <c r="K119" s="24">
        <v>10.7</v>
      </c>
      <c r="L119" s="24">
        <f t="shared" si="4"/>
        <v>363.79999999999995</v>
      </c>
      <c r="M119" s="24">
        <f t="shared" si="5"/>
        <v>761.59999999999991</v>
      </c>
      <c r="O119" s="24">
        <f t="shared" si="11"/>
        <v>2301.6</v>
      </c>
    </row>
    <row r="120" spans="1:15" x14ac:dyDescent="0.25">
      <c r="A120" s="23">
        <v>44739</v>
      </c>
      <c r="B120" s="24">
        <v>2.9</v>
      </c>
      <c r="C120" s="24">
        <v>110</v>
      </c>
      <c r="D120" s="24">
        <f t="shared" si="6"/>
        <v>319</v>
      </c>
      <c r="E120" s="24">
        <v>1.8</v>
      </c>
      <c r="F120" s="24">
        <v>400</v>
      </c>
      <c r="G120" s="24">
        <f t="shared" si="12"/>
        <v>510</v>
      </c>
      <c r="H120" s="24">
        <v>34</v>
      </c>
      <c r="I120" s="24">
        <v>11.9</v>
      </c>
      <c r="J120" s="24">
        <f t="shared" si="8"/>
        <v>404.6</v>
      </c>
      <c r="K120" s="24">
        <v>10.8</v>
      </c>
      <c r="L120" s="24">
        <f t="shared" si="4"/>
        <v>367.20000000000005</v>
      </c>
      <c r="M120" s="24">
        <f t="shared" si="5"/>
        <v>771.80000000000007</v>
      </c>
      <c r="O120" s="24">
        <f t="shared" si="11"/>
        <v>1600.8000000000002</v>
      </c>
    </row>
    <row r="121" spans="1:15" x14ac:dyDescent="0.25">
      <c r="A121" s="23">
        <v>44740</v>
      </c>
      <c r="B121" s="24">
        <v>2.7</v>
      </c>
      <c r="C121" s="24">
        <v>100</v>
      </c>
      <c r="D121" s="24">
        <f t="shared" si="6"/>
        <v>270</v>
      </c>
      <c r="E121" s="24">
        <v>2</v>
      </c>
      <c r="F121" s="24">
        <v>400</v>
      </c>
      <c r="G121" s="24">
        <f t="shared" si="12"/>
        <v>720</v>
      </c>
      <c r="H121" s="24">
        <v>34</v>
      </c>
      <c r="I121" s="24">
        <v>11.8</v>
      </c>
      <c r="J121" s="24">
        <f t="shared" si="8"/>
        <v>401.20000000000005</v>
      </c>
      <c r="K121" s="24">
        <v>10.6</v>
      </c>
      <c r="L121" s="24">
        <f t="shared" si="4"/>
        <v>360.4</v>
      </c>
      <c r="M121" s="24">
        <f t="shared" si="5"/>
        <v>761.6</v>
      </c>
      <c r="O121" s="24">
        <f t="shared" si="11"/>
        <v>1751.6</v>
      </c>
    </row>
    <row r="122" spans="1:15" x14ac:dyDescent="0.25">
      <c r="A122" s="23">
        <v>44741</v>
      </c>
      <c r="B122" s="24">
        <v>3</v>
      </c>
      <c r="C122" s="24">
        <v>100</v>
      </c>
      <c r="D122" s="24">
        <f t="shared" si="6"/>
        <v>300</v>
      </c>
      <c r="E122" s="24">
        <v>1.8</v>
      </c>
      <c r="F122" s="24">
        <v>450</v>
      </c>
      <c r="G122" s="24">
        <f t="shared" si="12"/>
        <v>800</v>
      </c>
      <c r="H122" s="24">
        <v>34</v>
      </c>
      <c r="I122" s="24">
        <v>11.7</v>
      </c>
      <c r="J122" s="24">
        <f t="shared" si="8"/>
        <v>397.79999999999995</v>
      </c>
      <c r="K122" s="24">
        <v>10.8</v>
      </c>
      <c r="L122" s="24">
        <f t="shared" si="4"/>
        <v>367.20000000000005</v>
      </c>
      <c r="M122" s="24">
        <f t="shared" si="5"/>
        <v>765</v>
      </c>
      <c r="O122" s="24">
        <f t="shared" si="11"/>
        <v>1865</v>
      </c>
    </row>
    <row r="123" spans="1:15" x14ac:dyDescent="0.25">
      <c r="A123" s="23">
        <v>44742</v>
      </c>
      <c r="B123" s="24">
        <v>2.5</v>
      </c>
      <c r="C123" s="24">
        <v>100</v>
      </c>
      <c r="D123" s="24">
        <f t="shared" si="6"/>
        <v>250</v>
      </c>
      <c r="E123" s="24">
        <v>2</v>
      </c>
      <c r="F123" s="24">
        <v>450</v>
      </c>
      <c r="G123" s="24">
        <f t="shared" si="12"/>
        <v>810</v>
      </c>
      <c r="H123" s="24">
        <v>34</v>
      </c>
      <c r="I123" s="24">
        <v>12</v>
      </c>
      <c r="J123" s="24">
        <f t="shared" si="8"/>
        <v>408</v>
      </c>
      <c r="K123" s="24">
        <v>10.5</v>
      </c>
      <c r="L123" s="24">
        <f t="shared" si="4"/>
        <v>357</v>
      </c>
      <c r="M123" s="24">
        <f t="shared" si="5"/>
        <v>765</v>
      </c>
      <c r="O123" s="24">
        <f t="shared" si="11"/>
        <v>1825</v>
      </c>
    </row>
    <row r="124" spans="1:15" ht="30" x14ac:dyDescent="0.25">
      <c r="N124" s="30" t="s">
        <v>139</v>
      </c>
      <c r="O124" s="29">
        <f>SUM(O2:O123)</f>
        <v>208466.41999999995</v>
      </c>
    </row>
  </sheetData>
  <phoneticPr fontId="4"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DDC273-FC36-46D6-B7A0-BB3FA9C0268F}">
  <dimension ref="A1:I43"/>
  <sheetViews>
    <sheetView workbookViewId="0">
      <selection activeCell="C3" sqref="C3"/>
    </sheetView>
  </sheetViews>
  <sheetFormatPr defaultRowHeight="15" x14ac:dyDescent="0.25"/>
  <cols>
    <col min="1" max="1" width="14" customWidth="1"/>
    <col min="2" max="2" width="13.7109375" customWidth="1"/>
    <col min="3" max="3" width="12.140625" customWidth="1"/>
    <col min="4" max="4" width="10.140625" customWidth="1"/>
    <col min="5" max="5" width="12.42578125" customWidth="1"/>
    <col min="6" max="6" width="17.7109375" customWidth="1"/>
  </cols>
  <sheetData>
    <row r="1" spans="1:8" ht="15.75" x14ac:dyDescent="0.25">
      <c r="A1" s="12" t="s">
        <v>117</v>
      </c>
      <c r="B1" s="12" t="s">
        <v>47</v>
      </c>
      <c r="C1" s="12" t="s">
        <v>48</v>
      </c>
      <c r="D1" s="12" t="s">
        <v>46</v>
      </c>
      <c r="E1" s="12" t="s">
        <v>120</v>
      </c>
      <c r="F1" s="12" t="s">
        <v>118</v>
      </c>
    </row>
    <row r="2" spans="1:8" x14ac:dyDescent="0.25">
      <c r="A2" t="s">
        <v>49</v>
      </c>
      <c r="B2">
        <f>SUM('Income Datas'!D2+'Income Datas'!D3+'Income Datas'!D4+'Income Datas'!D5+'Income Datas'!D6+'Income Datas'!D7+'Income Datas'!D8)</f>
        <v>3890</v>
      </c>
      <c r="C2">
        <f>SUM('Income Datas'!G2:G8)</f>
        <v>2015</v>
      </c>
      <c r="D2">
        <f>SUM('Income Datas'!M2+'Income Datas'!M3+'Income Datas'!M4+'Income Datas'!M5+'Income Datas'!M6+'Income Datas'!M7+'Income Datas'!M8)</f>
        <v>5042.2</v>
      </c>
      <c r="E2">
        <f>SUM('Income Datas'!N2+'Income Datas'!N3+'Income Datas'!N4+'Income Datas'!N5+'Income Datas'!N6+'Income Datas'!N7+'Income Datas'!N8)</f>
        <v>2700</v>
      </c>
      <c r="F2">
        <f>SUM(B2:E2)</f>
        <v>13647.2</v>
      </c>
    </row>
    <row r="3" spans="1:8" ht="15.75" x14ac:dyDescent="0.25">
      <c r="A3" t="s">
        <v>50</v>
      </c>
      <c r="B3">
        <f>SUM('Income Datas'!D9+'Income Datas'!D10+'Income Datas'!D11+'Income Datas'!D12+'Income Datas'!D13+'Income Datas'!D14+'Income Datas'!D15)</f>
        <v>2222</v>
      </c>
      <c r="C3">
        <f>SUM('Income Datas'!G4+'Income Datas'!G5+'Income Datas'!G6+'Income Datas'!G7+'Income Datas'!G8+'Income Datas'!G9+'Income Datas'!G10)</f>
        <v>1640</v>
      </c>
      <c r="D3">
        <f>SUM('Income Datas'!M3+'Income Datas'!M4+'Income Datas'!M5+'Income Datas'!M6+'Income Datas'!M7+'Income Datas'!M8+'Income Datas'!M9)</f>
        <v>5004.12</v>
      </c>
      <c r="E3">
        <f>SUM('Income Datas'!N3+'Income Datas'!N4+'Income Datas'!N5+'Income Datas'!N6+'Income Datas'!N7+'Income Datas'!N8+'Income Datas'!N9)</f>
        <v>7700</v>
      </c>
      <c r="F3">
        <f t="shared" ref="F3:F20" si="0">SUM(B3:E3)</f>
        <v>16566.12</v>
      </c>
      <c r="H3" s="13"/>
    </row>
    <row r="4" spans="1:8" x14ac:dyDescent="0.25">
      <c r="A4" t="s">
        <v>51</v>
      </c>
      <c r="B4">
        <f>SUM('Income Datas'!D16+'Income Datas'!D17+'Income Datas'!D18+'Income Datas'!D19+'Income Datas'!D20+'Income Datas'!D21+'Income Datas'!D22)</f>
        <v>1530</v>
      </c>
      <c r="C4">
        <f>SUM('Income Datas'!G5+'Income Datas'!G6+'Income Datas'!G7+'Income Datas'!G8+'Income Datas'!G9+'Income Datas'!G10+'Income Datas'!G11)</f>
        <v>1570</v>
      </c>
      <c r="D4">
        <f>SUM('Income Datas'!M4+'Income Datas'!M5+'Income Datas'!M6+'Income Datas'!M7+'Income Datas'!M8+'Income Datas'!M9+'Income Datas'!M10)</f>
        <v>4993.92</v>
      </c>
      <c r="E4">
        <f>SUM('Income Datas'!N4+'Income Datas'!N5+'Income Datas'!N6+'Income Datas'!N7+'Income Datas'!N8+'Income Datas'!N9+'Income Datas'!N10)</f>
        <v>6300</v>
      </c>
      <c r="F4">
        <f t="shared" si="0"/>
        <v>14393.92</v>
      </c>
    </row>
    <row r="5" spans="1:8" x14ac:dyDescent="0.25">
      <c r="A5" t="s">
        <v>52</v>
      </c>
      <c r="B5">
        <f>SUM('Income Datas'!D26+'Income Datas'!D27+'Income Datas'!D28+'Income Datas'!D29+'Income Datas'!D30+'Income Datas'!D31+'Income Datas'!D32)</f>
        <v>1390</v>
      </c>
      <c r="C5">
        <f>SUM('Income Datas'!G6+'Income Datas'!G7+'Income Datas'!G8+'Income Datas'!G9+'Income Datas'!G10+'Income Datas'!G11+'Income Datas'!G12)</f>
        <v>1470</v>
      </c>
      <c r="D5">
        <f>SUM('Income Datas'!M5+'Income Datas'!M6+'Income Datas'!M7+'Income Datas'!M8+'Income Datas'!M9+'Income Datas'!M10+'Income Datas'!M11)</f>
        <v>4956.5200000000004</v>
      </c>
      <c r="E5">
        <f>SUM('Income Datas'!N5+'Income Datas'!N6+'Income Datas'!N7+'Income Datas'!N8+'Income Datas'!N9+'Income Datas'!N10+'Income Datas'!N11)</f>
        <v>6300</v>
      </c>
      <c r="F5">
        <f t="shared" si="0"/>
        <v>14116.52</v>
      </c>
    </row>
    <row r="6" spans="1:8" x14ac:dyDescent="0.25">
      <c r="A6" t="s">
        <v>53</v>
      </c>
      <c r="B6">
        <f>SUM('Income Datas'!D33+'Income Datas'!D34+'Income Datas'!D35+'Income Datas'!D36+'Income Datas'!D37+'Income Datas'!D38+'Income Datas'!D39)</f>
        <v>1989</v>
      </c>
      <c r="C6">
        <f>SUM('Income Datas'!G7+'Income Datas'!G8+'Income Datas'!G9+'Income Datas'!G10+'Income Datas'!G11+'Income Datas'!G12+'Income Datas'!G13)</f>
        <v>1395</v>
      </c>
      <c r="D6">
        <f>SUM('Income Datas'!M6+'Income Datas'!M7+'Income Datas'!M8+'Income Datas'!M9+'Income Datas'!M10+'Income Datas'!M11+'Income Datas'!M12)</f>
        <v>4898.72</v>
      </c>
      <c r="E6">
        <f>SUM('Income Datas'!N6+'Income Datas'!N7+'Income Datas'!N8+'Income Datas'!N9+'Income Datas'!N10+'Income Datas'!N11+'Income Datas'!N12)</f>
        <v>5700</v>
      </c>
      <c r="F6">
        <f t="shared" si="0"/>
        <v>13982.720000000001</v>
      </c>
    </row>
    <row r="7" spans="1:8" x14ac:dyDescent="0.25">
      <c r="A7" t="s">
        <v>54</v>
      </c>
      <c r="B7">
        <f>SUM('Income Datas'!D34+'Income Datas'!D35+'Income Datas'!D36+'Income Datas'!D37+'Income Datas'!D38+'Income Datas'!D39+'Income Datas'!D40)</f>
        <v>2089</v>
      </c>
      <c r="C7">
        <f>SUM('Income Datas'!G8+'Income Datas'!G9+'Income Datas'!G10+'Income Datas'!G11+'Income Datas'!G12+'Income Datas'!G13+'Income Datas'!G14)</f>
        <v>1515</v>
      </c>
      <c r="D7">
        <f>SUM('Income Datas'!M7+'Income Datas'!M8+'Income Datas'!M9+'Income Datas'!M10+'Income Datas'!M11+'Income Datas'!M12+'Income Datas'!M13)</f>
        <v>4810.3200000000006</v>
      </c>
      <c r="E7">
        <f>SUM('Income Datas'!N7+'Income Datas'!N8+'Income Datas'!N9+'Income Datas'!N10+'Income Datas'!N11+'Income Datas'!N12+'Income Datas'!N13)</f>
        <v>5700</v>
      </c>
      <c r="F7">
        <f t="shared" si="0"/>
        <v>14114.32</v>
      </c>
    </row>
    <row r="8" spans="1:8" x14ac:dyDescent="0.25">
      <c r="A8" t="s">
        <v>55</v>
      </c>
      <c r="B8">
        <f>SUM('Income Datas'!D35+'Income Datas'!D36+'Income Datas'!D37+'Income Datas'!D38+'Income Datas'!D39+'Income Datas'!D40+'Income Datas'!D41)</f>
        <v>2135</v>
      </c>
      <c r="C8">
        <f>SUM('Income Datas'!G9+'Income Datas'!G10+'Income Datas'!G11+'Income Datas'!G12+'Income Datas'!G13+'Income Datas'!G14+'Income Datas'!G15)</f>
        <v>1500</v>
      </c>
      <c r="D8">
        <f>SUM('Income Datas'!M8+'Income Datas'!M9+'Income Datas'!M10+'Income Datas'!M11+'Income Datas'!M12+'Income Datas'!M13+'Income Datas'!M14)</f>
        <v>4728.7199999999993</v>
      </c>
      <c r="E8">
        <f>SUM('Income Datas'!N8+'Income Datas'!N9+'Income Datas'!N10+'Income Datas'!N11+'Income Datas'!N12+'Income Datas'!N13+'Income Datas'!N14)</f>
        <v>5700</v>
      </c>
      <c r="F8">
        <f t="shared" si="0"/>
        <v>14063.72</v>
      </c>
    </row>
    <row r="9" spans="1:8" x14ac:dyDescent="0.25">
      <c r="A9" t="s">
        <v>56</v>
      </c>
      <c r="B9">
        <f>SUM('Income Datas'!D36+'Income Datas'!D37+'Income Datas'!D38+'Income Datas'!D39+'Income Datas'!D40+'Income Datas'!D41+'Income Datas'!D42)</f>
        <v>2105</v>
      </c>
      <c r="C9">
        <f>SUM('Income Datas'!G10+'Income Datas'!G11+'Income Datas'!G12+'Income Datas'!G13+'Income Datas'!G14+'Income Datas'!G15+'Income Datas'!G16)</f>
        <v>1640</v>
      </c>
      <c r="D9">
        <f>SUM('Income Datas'!M9+'Income Datas'!M10+'Income Datas'!M11+'Income Datas'!M12+'Income Datas'!M13+'Income Datas'!M14+'Income Datas'!M15)</f>
        <v>4677.72</v>
      </c>
      <c r="E9">
        <f>SUM('Income Datas'!N9+'Income Datas'!N10+'Income Datas'!N11+'Income Datas'!N12+'Income Datas'!N13+'Income Datas'!N14+'Income Datas'!N15)</f>
        <v>6600</v>
      </c>
      <c r="F9">
        <f t="shared" si="0"/>
        <v>15022.720000000001</v>
      </c>
    </row>
    <row r="10" spans="1:8" x14ac:dyDescent="0.25">
      <c r="A10" t="s">
        <v>57</v>
      </c>
      <c r="B10">
        <f>SUM('Income Datas'!D37+'Income Datas'!D38+'Income Datas'!D39+'Income Datas'!D40+'Income Datas'!D41+'Income Datas'!D42+'Income Datas'!D43)</f>
        <v>2150</v>
      </c>
      <c r="C10">
        <f>SUM('Income Datas'!G11+'Income Datas'!G12+'Income Datas'!G13+'Income Datas'!G14+'Income Datas'!G15+'Income Datas'!G16+'Income Datas'!G17)</f>
        <v>1670</v>
      </c>
      <c r="D10">
        <f>SUM('Income Datas'!M10+'Income Datas'!M11+'Income Datas'!M12+'Income Datas'!M13+'Income Datas'!M14+'Income Datas'!M15+'Income Datas'!M16)</f>
        <v>4705.6000000000004</v>
      </c>
      <c r="E10">
        <f>SUM('Income Datas'!N10+'Income Datas'!N11+'Income Datas'!N12+'Income Datas'!N13+'Income Datas'!N14+'Income Datas'!N15+'Income Datas'!N16)</f>
        <v>1600</v>
      </c>
      <c r="F10">
        <f t="shared" si="0"/>
        <v>10125.6</v>
      </c>
    </row>
    <row r="11" spans="1:8" x14ac:dyDescent="0.25">
      <c r="A11" t="s">
        <v>58</v>
      </c>
      <c r="B11">
        <f>SUM('Income Datas'!D38+'Income Datas'!D39+'Income Datas'!D40+'Income Datas'!D41+'Income Datas'!D42+'Income Datas'!D43+'Income Datas'!D44)</f>
        <v>2120</v>
      </c>
      <c r="C11">
        <f>SUM('Income Datas'!G12+'Income Datas'!G13+'Income Datas'!G14+'Income Datas'!G15+'Income Datas'!G16+'Income Datas'!G17+'Income Datas'!G18)</f>
        <v>1780</v>
      </c>
      <c r="D11">
        <f>SUM('Income Datas'!M11+'Income Datas'!M12+'Income Datas'!M13+'Income Datas'!M14+'Income Datas'!M15+'Income Datas'!M16+'Income Datas'!M17)</f>
        <v>4624</v>
      </c>
      <c r="E11">
        <f>SUM('Income Datas'!N11+'Income Datas'!N12+'Income Datas'!N13+'Income Datas'!N14+'Income Datas'!N15+'Income Datas'!N16+'Income Datas'!N17)</f>
        <v>900</v>
      </c>
      <c r="F11">
        <f t="shared" si="0"/>
        <v>9424</v>
      </c>
    </row>
    <row r="12" spans="1:8" x14ac:dyDescent="0.25">
      <c r="A12" t="s">
        <v>59</v>
      </c>
      <c r="B12">
        <f>SUM('Income Datas'!D39+'Income Datas'!D40+'Income Datas'!D41+'Income Datas'!D42+'Income Datas'!D43+'Income Datas'!D44+'Income Datas'!D45)</f>
        <v>2280</v>
      </c>
      <c r="C12">
        <f>SUM('Income Datas'!G13+'Income Datas'!G14+'Income Datas'!G15+'Income Datas'!G16+'Income Datas'!G17+'Income Datas'!G18+'Income Datas'!G19)</f>
        <v>1960</v>
      </c>
      <c r="D12">
        <f>SUM('Income Datas'!M12+'Income Datas'!M13+'Income Datas'!M14+'Income Datas'!M15+'Income Datas'!M16+'Income Datas'!M17+'Income Datas'!M18)</f>
        <v>4739.6000000000004</v>
      </c>
      <c r="E12">
        <f>SUM('Income Datas'!N12+'Income Datas'!N13+'Income Datas'!N14+'Income Datas'!N15+'Income Datas'!N16+'Income Datas'!N17+'Income Datas'!N18)</f>
        <v>900</v>
      </c>
      <c r="F12">
        <f t="shared" si="0"/>
        <v>9879.6</v>
      </c>
    </row>
    <row r="13" spans="1:8" x14ac:dyDescent="0.25">
      <c r="A13" t="s">
        <v>60</v>
      </c>
      <c r="B13">
        <f>SUM('Income Datas'!D40+'Income Datas'!D41+'Income Datas'!D42+'Income Datas'!D43+'Income Datas'!D44+'Income Datas'!D45+'Income Datas'!D46)</f>
        <v>2390</v>
      </c>
      <c r="C13">
        <f>SUM('Income Datas'!G14+'Income Datas'!G15+'Income Datas'!G16+'Income Datas'!G17+'Income Datas'!G18+'Income Datas'!G19+'Income Datas'!G20)</f>
        <v>2155</v>
      </c>
      <c r="D13">
        <f>SUM('Income Datas'!M13+'Income Datas'!M14+'Income Datas'!M15+'Income Datas'!M16+'Income Datas'!M17+'Income Datas'!M18+'Income Datas'!M19)</f>
        <v>4977.5999999999995</v>
      </c>
      <c r="E13">
        <f>SUM('Income Datas'!N13+'Income Datas'!N14+'Income Datas'!N15+'Income Datas'!N16+'Income Datas'!N17+'Income Datas'!N18+'Income Datas'!N19)</f>
        <v>900</v>
      </c>
      <c r="F13">
        <f t="shared" si="0"/>
        <v>10422.599999999999</v>
      </c>
    </row>
    <row r="14" spans="1:8" s="4" customFormat="1" x14ac:dyDescent="0.25">
      <c r="A14" t="s">
        <v>61</v>
      </c>
      <c r="B14">
        <f>SUM('Income Datas'!D41+'Income Datas'!D42+'Income Datas'!D43+'Income Datas'!D44+'Income Datas'!D45+'Income Datas'!D46+'Income Datas'!D47)</f>
        <v>2387</v>
      </c>
      <c r="C14">
        <f>SUM('Income Datas'!G15+'Income Datas'!G16+'Income Datas'!G17+'Income Datas'!G18+'Income Datas'!G19+'Income Datas'!G20+'Income Datas'!G21)</f>
        <v>2495</v>
      </c>
      <c r="D14">
        <f>SUM('Income Datas'!M14+'Income Datas'!M15+'Income Datas'!M16+'Income Datas'!M17+'Income Datas'!M18+'Income Datas'!M19+'Income Datas'!M20)</f>
        <v>5259.7999999999993</v>
      </c>
      <c r="E14">
        <f>SUM('Income Datas'!N14+'Income Datas'!N15+'Income Datas'!N16+'Income Datas'!N17+'Income Datas'!N18+'Income Datas'!N19+'Income Datas'!N20)</f>
        <v>900</v>
      </c>
      <c r="F14">
        <f t="shared" si="0"/>
        <v>11041.8</v>
      </c>
    </row>
    <row r="15" spans="1:8" x14ac:dyDescent="0.25">
      <c r="A15" t="s">
        <v>62</v>
      </c>
      <c r="B15">
        <f>SUM('Income Datas'!D42+'Income Datas'!D43+'Income Datas'!D44+'Income Datas'!D45+'Income Datas'!D46+'Income Datas'!D47+'Income Datas'!D48)</f>
        <v>2401</v>
      </c>
      <c r="C15">
        <f>SUM('Income Datas'!G16+'Income Datas'!G17+'Income Datas'!G18+'Income Datas'!G19+'Income Datas'!G20+'Income Datas'!G21+'Income Datas'!G22)</f>
        <v>3559.5</v>
      </c>
      <c r="D15">
        <f>SUM('Income Datas'!M15+'Income Datas'!M16+'Income Datas'!M17+'Income Datas'!M18+'Income Datas'!M19+'Income Datas'!M20+'Income Datas'!M21)</f>
        <v>5341.4</v>
      </c>
      <c r="E15">
        <f>SUM('Income Datas'!N15+'Income Datas'!N16+'Income Datas'!N17+'Income Datas'!N18+'Income Datas'!N19+'Income Datas'!N20+'Income Datas'!N21)</f>
        <v>900</v>
      </c>
      <c r="F15">
        <f t="shared" si="0"/>
        <v>12201.9</v>
      </c>
    </row>
    <row r="16" spans="1:8" x14ac:dyDescent="0.25">
      <c r="A16" t="s">
        <v>63</v>
      </c>
      <c r="B16">
        <f>SUM('Income Datas'!D43+'Income Datas'!D44+'Income Datas'!D45+'Income Datas'!D46+'Income Datas'!D47+'Income Datas'!D48+'Income Datas'!D49)</f>
        <v>2545</v>
      </c>
      <c r="C16">
        <f>SUM('Income Datas'!G17+'Income Datas'!G18+'Income Datas'!G19+'Income Datas'!G20+'Income Datas'!G21+'Income Datas'!G22+'Income Datas'!G23)</f>
        <v>4457</v>
      </c>
      <c r="D16">
        <f>SUM('Income Datas'!M16+'Income Datas'!M17+'Income Datas'!M18+'Income Datas'!M19+'Income Datas'!M20+'Income Datas'!M21+'Income Datas'!M22)</f>
        <v>5382.2000000000007</v>
      </c>
      <c r="E16">
        <f>SUM('Income Datas'!N16+'Income Datas'!N17+'Income Datas'!N18+'Income Datas'!N19+'Income Datas'!N20+'Income Datas'!N21+'Income Datas'!N22)</f>
        <v>0</v>
      </c>
      <c r="F16">
        <f t="shared" si="0"/>
        <v>12384.2</v>
      </c>
    </row>
    <row r="17" spans="1:6" x14ac:dyDescent="0.25">
      <c r="A17" t="s">
        <v>64</v>
      </c>
      <c r="B17">
        <f>SUM('Income Datas'!D44+'Income Datas'!D45+'Income Datas'!D46+'Income Datas'!D47+'Income Datas'!D48+'Income Datas'!D49+'Income Datas'!D50)</f>
        <v>2591</v>
      </c>
      <c r="C17">
        <f>SUM('Income Datas'!G18+'Income Datas'!G19+'Income Datas'!G20+'Income Datas'!G21+'Income Datas'!G22+'Income Datas'!G23+'Income Datas'!G24)</f>
        <v>4702</v>
      </c>
      <c r="D17">
        <f>SUM('Income Datas'!M17+'Income Datas'!M18+'Income Datas'!M19+'Income Datas'!M20+'Income Datas'!M21+'Income Datas'!M22+'Income Datas'!M23)</f>
        <v>5392.4000000000005</v>
      </c>
      <c r="E17">
        <f>SUM('Income Datas'!N17+'Income Datas'!N18+'Income Datas'!N19+'Income Datas'!N20+'Income Datas'!N21+'Income Datas'!N22+'Income Datas'!N23)</f>
        <v>0</v>
      </c>
      <c r="F17">
        <f t="shared" si="0"/>
        <v>12685.400000000001</v>
      </c>
    </row>
    <row r="18" spans="1:6" x14ac:dyDescent="0.25">
      <c r="A18" t="s">
        <v>65</v>
      </c>
      <c r="B18">
        <f>SUM('Income Datas'!D45+'Income Datas'!D46+'Income Datas'!D47+'Income Datas'!D48+'Income Datas'!D49+'Income Datas'!D50+'Income Datas'!D51)</f>
        <v>2735</v>
      </c>
      <c r="C18">
        <f>SUM('Income Datas'!G19+'Income Datas'!G20+'Income Datas'!G21+'Income Datas'!G22+'Income Datas'!G23+'Income Datas'!G24+'Income Datas'!G25)</f>
        <v>6352</v>
      </c>
      <c r="D18">
        <f>SUM('Income Datas'!M18+'Income Datas'!M19+'Income Datas'!M20+'Income Datas'!M21+'Income Datas'!M22+'Income Datas'!M23+'Income Datas'!M24)</f>
        <v>5429.7999999999993</v>
      </c>
      <c r="E18">
        <f>SUM('Income Datas'!N18+'Income Datas'!N19+'Income Datas'!N20+'Income Datas'!N21+'Income Datas'!N22+'Income Datas'!N23+'Income Datas'!N24)</f>
        <v>0</v>
      </c>
      <c r="F18">
        <f t="shared" si="0"/>
        <v>14516.8</v>
      </c>
    </row>
    <row r="19" spans="1:6" x14ac:dyDescent="0.25">
      <c r="A19" t="s">
        <v>66</v>
      </c>
      <c r="B19">
        <f>SUM('Income Datas'!D46+'Income Datas'!D47+'Income Datas'!D48+'Income Datas'!D49+'Income Datas'!D50+'Income Datas'!D51+'Income Datas'!D52)</f>
        <v>2627</v>
      </c>
      <c r="C19">
        <f>SUM('Income Datas'!G20+'Income Datas'!G21+'Income Datas'!G22+'Income Datas'!G23+'Income Datas'!G24+'Income Datas'!G25+'Income Datas'!G26)</f>
        <v>7992</v>
      </c>
      <c r="D19">
        <f>SUM('Income Datas'!M19+'Income Datas'!M20+'Income Datas'!M21+'Income Datas'!M22+'Income Datas'!M23+'Income Datas'!M24+'Income Datas'!M25)</f>
        <v>5300.5999999999995</v>
      </c>
      <c r="E19">
        <f>SUM('Income Datas'!N19+'Income Datas'!N20+'Income Datas'!N21+'Income Datas'!N22+'Income Datas'!N23+'Income Datas'!N24+'Income Datas'!N25)</f>
        <v>0</v>
      </c>
      <c r="F19">
        <f t="shared" si="0"/>
        <v>15919.599999999999</v>
      </c>
    </row>
    <row r="20" spans="1:6" x14ac:dyDescent="0.25">
      <c r="A20" t="s">
        <v>67</v>
      </c>
      <c r="B20">
        <f>SUM('Income Datas'!D47+'Income Datas'!D48+'Income Datas'!D49+'Income Datas'!D50+'Income Datas'!D51+'Income Datas'!D52+'Income Datas'!D53)</f>
        <v>2661</v>
      </c>
      <c r="C20">
        <f>SUM('Income Datas'!G21+'Income Datas'!G22+'Income Datas'!G23+'Income Datas'!G24+'Income Datas'!G25+'Income Datas'!G26+'Income Datas'!G27)</f>
        <v>8674.5</v>
      </c>
      <c r="D20">
        <f>SUM('Income Datas'!M20+'Income Datas'!M21+'Income Datas'!M22+'Income Datas'!M23+'Income Datas'!M24+'Income Datas'!M25+'Income Datas'!M26)</f>
        <v>5099.9999999999991</v>
      </c>
      <c r="E20">
        <f>SUM('Income Datas'!N20+'Income Datas'!N21+'Income Datas'!N22+'Income Datas'!N23+'Income Datas'!N24+'Income Datas'!N25+'Income Datas'!N26)</f>
        <v>0</v>
      </c>
      <c r="F20">
        <f t="shared" si="0"/>
        <v>16435.5</v>
      </c>
    </row>
    <row r="21" spans="1:6" x14ac:dyDescent="0.25">
      <c r="A21" t="s">
        <v>68</v>
      </c>
      <c r="B21">
        <f>SUM('Income Datas'!D48+'Income Datas'!D49+'Income Datas'!D50+'Income Datas'!D51+'Income Datas'!D52+'Income Datas'!D53+'Income Datas'!D54)</f>
        <v>2753</v>
      </c>
      <c r="C21">
        <f>SUM('Income Datas'!G22+'Income Datas'!G23+'Income Datas'!G24+'Income Datas'!G25+'Income Datas'!G26+'Income Datas'!G27+'Income Datas'!G28)</f>
        <v>9224.5</v>
      </c>
      <c r="D21">
        <f>SUM('Income Datas'!M21+'Income Datas'!M22+'Income Datas'!M23+'Income Datas'!M24+'Income Datas'!M25+'Income Datas'!M26+'Income Datas'!M27)</f>
        <v>4865.3999999999996</v>
      </c>
      <c r="E21">
        <f>SUM('Income Datas'!N21+'Income Datas'!N22+'Income Datas'!N23+'Income Datas'!N24+'Income Datas'!N25+'Income Datas'!N26+'Income Datas'!N27)</f>
        <v>0</v>
      </c>
      <c r="F21">
        <f>SUM(B21:E21)</f>
        <v>16842.900000000001</v>
      </c>
    </row>
    <row r="22" spans="1:6" ht="15.75" x14ac:dyDescent="0.25">
      <c r="A22" s="3" t="s">
        <v>101</v>
      </c>
      <c r="B22" s="3">
        <f>SUM(B2:B21)</f>
        <v>46990</v>
      </c>
      <c r="C22" s="3">
        <f>SUM(C2:C21)</f>
        <v>67766.5</v>
      </c>
      <c r="D22" s="3">
        <f>SUM(D2:D21)</f>
        <v>100230.63999999998</v>
      </c>
      <c r="E22" s="3">
        <f>SUM(E2:E21)</f>
        <v>52800</v>
      </c>
      <c r="F22" s="3">
        <f>SUM(F2:F21)</f>
        <v>267787.14</v>
      </c>
    </row>
    <row r="25" spans="1:6" ht="15.75" x14ac:dyDescent="0.25">
      <c r="A25" s="9" t="s">
        <v>112</v>
      </c>
      <c r="B25" s="9" t="s">
        <v>1</v>
      </c>
    </row>
    <row r="26" spans="1:6" x14ac:dyDescent="0.25">
      <c r="A26" s="10" t="s">
        <v>47</v>
      </c>
      <c r="B26" s="10">
        <v>46990</v>
      </c>
    </row>
    <row r="27" spans="1:6" x14ac:dyDescent="0.25">
      <c r="A27" s="10" t="s">
        <v>48</v>
      </c>
      <c r="B27" s="10">
        <v>67566.5</v>
      </c>
    </row>
    <row r="28" spans="1:6" x14ac:dyDescent="0.25">
      <c r="A28" s="10" t="s">
        <v>46</v>
      </c>
      <c r="B28" s="10">
        <v>100231</v>
      </c>
    </row>
    <row r="29" spans="1:6" ht="15.75" x14ac:dyDescent="0.25">
      <c r="A29" s="10" t="s">
        <v>120</v>
      </c>
      <c r="B29" s="10">
        <v>52800</v>
      </c>
      <c r="F29" s="11"/>
    </row>
    <row r="43" spans="4:9" x14ac:dyDescent="0.25">
      <c r="D43" s="50" t="s">
        <v>119</v>
      </c>
      <c r="E43" s="50"/>
      <c r="F43" s="50"/>
      <c r="G43" s="50"/>
      <c r="H43" s="50"/>
      <c r="I43" s="50"/>
    </row>
  </sheetData>
  <mergeCells count="1">
    <mergeCell ref="D43:I43"/>
  </mergeCells>
  <phoneticPr fontId="4" type="noConversion"/>
  <pageMargins left="0.7" right="0.7" top="0.75" bottom="0.75" header="0.3" footer="0.3"/>
  <pageSetup orientation="portrait" r:id="rId1"/>
  <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B4C28F-CDEE-49BB-BADE-EAAE0F519E92}">
  <dimension ref="A1:H123"/>
  <sheetViews>
    <sheetView topLeftCell="A110" workbookViewId="0">
      <selection activeCell="D1" sqref="D1"/>
    </sheetView>
  </sheetViews>
  <sheetFormatPr defaultRowHeight="15" x14ac:dyDescent="0.25"/>
  <cols>
    <col min="1" max="1" width="13.140625" customWidth="1"/>
    <col min="2" max="3" width="13.85546875" style="2" customWidth="1"/>
    <col min="4" max="4" width="21" style="2" customWidth="1"/>
    <col min="5" max="5" width="29.85546875" style="6" customWidth="1"/>
    <col min="8" max="8" width="10.42578125" bestFit="1" customWidth="1"/>
    <col min="12" max="12" width="8.85546875" customWidth="1"/>
  </cols>
  <sheetData>
    <row r="1" spans="1:8" s="31" customFormat="1" ht="18.75" x14ac:dyDescent="0.3">
      <c r="A1" s="32" t="s">
        <v>140</v>
      </c>
      <c r="B1" s="35" t="s">
        <v>0</v>
      </c>
      <c r="C1" s="35" t="s">
        <v>112</v>
      </c>
      <c r="D1" s="35" t="s">
        <v>1</v>
      </c>
      <c r="E1" s="41" t="s">
        <v>141</v>
      </c>
    </row>
    <row r="2" spans="1:8" ht="15.75" x14ac:dyDescent="0.25">
      <c r="A2" s="33" t="s">
        <v>83</v>
      </c>
      <c r="B2" s="23">
        <v>44621</v>
      </c>
      <c r="C2" s="38" t="s">
        <v>5</v>
      </c>
      <c r="D2" s="24">
        <f>1600+1000+620+50+2000</f>
        <v>5270</v>
      </c>
      <c r="E2" s="42" t="s">
        <v>2</v>
      </c>
      <c r="G2" s="3"/>
    </row>
    <row r="3" spans="1:8" ht="30.75" customHeight="1" x14ac:dyDescent="0.25">
      <c r="A3" s="33"/>
      <c r="B3" s="23">
        <v>44622</v>
      </c>
      <c r="C3" s="38" t="s">
        <v>121</v>
      </c>
      <c r="D3" s="24">
        <f>1500+700</f>
        <v>2200</v>
      </c>
      <c r="E3" s="42" t="s">
        <v>122</v>
      </c>
    </row>
    <row r="4" spans="1:8" x14ac:dyDescent="0.25">
      <c r="A4" s="33"/>
      <c r="B4" s="23">
        <v>44623</v>
      </c>
      <c r="C4" s="38" t="s">
        <v>6</v>
      </c>
      <c r="D4" s="24">
        <v>40</v>
      </c>
      <c r="E4" s="42" t="s">
        <v>8</v>
      </c>
    </row>
    <row r="5" spans="1:8" x14ac:dyDescent="0.25">
      <c r="A5" s="33"/>
      <c r="B5" s="23">
        <v>44624</v>
      </c>
      <c r="C5" s="38" t="s">
        <v>123</v>
      </c>
      <c r="D5" s="24">
        <v>80</v>
      </c>
      <c r="E5" s="42" t="s">
        <v>8</v>
      </c>
    </row>
    <row r="6" spans="1:8" x14ac:dyDescent="0.25">
      <c r="A6" s="33"/>
      <c r="B6" s="23">
        <v>44625</v>
      </c>
      <c r="C6" s="38" t="s">
        <v>121</v>
      </c>
      <c r="D6" s="24">
        <v>1000</v>
      </c>
      <c r="E6" s="42" t="s">
        <v>10</v>
      </c>
    </row>
    <row r="7" spans="1:8" x14ac:dyDescent="0.25">
      <c r="A7" s="33"/>
      <c r="B7" s="23">
        <v>44626</v>
      </c>
      <c r="C7" s="38" t="s">
        <v>5</v>
      </c>
      <c r="D7" s="24">
        <f>400+200</f>
        <v>600</v>
      </c>
      <c r="E7" s="42" t="s">
        <v>11</v>
      </c>
    </row>
    <row r="8" spans="1:8" x14ac:dyDescent="0.25">
      <c r="A8" s="33"/>
      <c r="B8" s="23">
        <v>44627</v>
      </c>
      <c r="C8" s="38" t="s">
        <v>6</v>
      </c>
      <c r="D8" s="24">
        <v>100</v>
      </c>
      <c r="E8" s="42" t="s">
        <v>8</v>
      </c>
    </row>
    <row r="9" spans="1:8" x14ac:dyDescent="0.25">
      <c r="A9" s="33" t="s">
        <v>111</v>
      </c>
      <c r="B9" s="23">
        <v>44628</v>
      </c>
      <c r="C9" s="38" t="s">
        <v>123</v>
      </c>
      <c r="D9" s="24">
        <v>100</v>
      </c>
      <c r="E9" s="42" t="s">
        <v>8</v>
      </c>
    </row>
    <row r="10" spans="1:8" x14ac:dyDescent="0.25">
      <c r="A10" s="33"/>
      <c r="B10" s="23">
        <v>44629</v>
      </c>
      <c r="C10" s="38" t="s">
        <v>7</v>
      </c>
      <c r="D10" s="24">
        <f>80+15</f>
        <v>95</v>
      </c>
      <c r="E10" s="42" t="s">
        <v>14</v>
      </c>
      <c r="H10" s="1"/>
    </row>
    <row r="11" spans="1:8" x14ac:dyDescent="0.25">
      <c r="A11" s="33"/>
      <c r="B11" s="23">
        <v>44630</v>
      </c>
      <c r="C11" s="38" t="s">
        <v>121</v>
      </c>
      <c r="D11" s="24">
        <v>600</v>
      </c>
      <c r="E11" s="42" t="s">
        <v>15</v>
      </c>
      <c r="H11" s="1"/>
    </row>
    <row r="12" spans="1:8" x14ac:dyDescent="0.25">
      <c r="A12" s="33"/>
      <c r="B12" s="23">
        <v>44631</v>
      </c>
      <c r="C12" s="38" t="s">
        <v>5</v>
      </c>
      <c r="D12" s="24">
        <f>400+150+150+350+380</f>
        <v>1430</v>
      </c>
      <c r="E12" s="42" t="s">
        <v>11</v>
      </c>
      <c r="H12" s="1"/>
    </row>
    <row r="13" spans="1:8" x14ac:dyDescent="0.25">
      <c r="A13" s="33"/>
      <c r="B13" s="23">
        <v>44632</v>
      </c>
      <c r="C13" s="38" t="s">
        <v>12</v>
      </c>
      <c r="D13" s="24">
        <f>4000</f>
        <v>4000</v>
      </c>
      <c r="E13" s="42" t="s">
        <v>13</v>
      </c>
    </row>
    <row r="14" spans="1:8" x14ac:dyDescent="0.25">
      <c r="A14" s="33"/>
      <c r="B14" s="23">
        <v>44633</v>
      </c>
      <c r="C14" s="38" t="s">
        <v>6</v>
      </c>
      <c r="D14" s="24">
        <v>30</v>
      </c>
      <c r="E14" s="42" t="s">
        <v>8</v>
      </c>
    </row>
    <row r="15" spans="1:8" x14ac:dyDescent="0.25">
      <c r="A15" s="33"/>
      <c r="B15" s="23">
        <v>44634</v>
      </c>
      <c r="C15" s="38" t="s">
        <v>123</v>
      </c>
      <c r="D15" s="24">
        <v>80</v>
      </c>
      <c r="E15" s="42" t="s">
        <v>8</v>
      </c>
    </row>
    <row r="16" spans="1:8" x14ac:dyDescent="0.25">
      <c r="A16" s="33" t="s">
        <v>85</v>
      </c>
      <c r="B16" s="23">
        <v>44635</v>
      </c>
      <c r="C16" s="38" t="s">
        <v>7</v>
      </c>
      <c r="D16" s="24">
        <f>10000</f>
        <v>10000</v>
      </c>
      <c r="E16" s="42" t="s">
        <v>16</v>
      </c>
    </row>
    <row r="17" spans="1:5" x14ac:dyDescent="0.25">
      <c r="A17" s="33"/>
      <c r="B17" s="23">
        <v>44636</v>
      </c>
      <c r="C17" s="38" t="s">
        <v>121</v>
      </c>
      <c r="D17" s="24">
        <v>200</v>
      </c>
      <c r="E17" s="42" t="s">
        <v>10</v>
      </c>
    </row>
    <row r="18" spans="1:5" x14ac:dyDescent="0.25">
      <c r="A18" s="33"/>
      <c r="B18" s="23">
        <v>44637</v>
      </c>
      <c r="C18" s="38" t="s">
        <v>5</v>
      </c>
      <c r="D18" s="24">
        <f>2000+400+150+150+150+150+100</f>
        <v>3100</v>
      </c>
      <c r="E18" s="42" t="s">
        <v>17</v>
      </c>
    </row>
    <row r="19" spans="1:5" x14ac:dyDescent="0.25">
      <c r="A19" s="33"/>
      <c r="B19" s="23">
        <v>44638</v>
      </c>
      <c r="C19" s="38" t="s">
        <v>26</v>
      </c>
      <c r="D19" s="24">
        <v>2000</v>
      </c>
      <c r="E19" s="42"/>
    </row>
    <row r="20" spans="1:5" x14ac:dyDescent="0.25">
      <c r="A20" s="33"/>
      <c r="B20" s="23">
        <v>44639</v>
      </c>
      <c r="C20" s="38" t="s">
        <v>123</v>
      </c>
      <c r="D20" s="24">
        <v>50</v>
      </c>
      <c r="E20" s="42" t="s">
        <v>8</v>
      </c>
    </row>
    <row r="21" spans="1:5" x14ac:dyDescent="0.25">
      <c r="A21" s="33"/>
      <c r="B21" s="23">
        <v>44640</v>
      </c>
      <c r="C21" s="38" t="s">
        <v>7</v>
      </c>
      <c r="D21" s="24">
        <v>145</v>
      </c>
      <c r="E21" s="42" t="s">
        <v>18</v>
      </c>
    </row>
    <row r="22" spans="1:5" x14ac:dyDescent="0.25">
      <c r="A22" s="33"/>
      <c r="B22" s="23">
        <v>44641</v>
      </c>
      <c r="C22" s="38" t="s">
        <v>7</v>
      </c>
      <c r="D22" s="24">
        <f>177+400+50</f>
        <v>627</v>
      </c>
      <c r="E22" s="42" t="s">
        <v>20</v>
      </c>
    </row>
    <row r="23" spans="1:5" x14ac:dyDescent="0.25">
      <c r="A23" s="33" t="s">
        <v>86</v>
      </c>
      <c r="B23" s="23">
        <v>44642</v>
      </c>
      <c r="C23" s="38" t="s">
        <v>5</v>
      </c>
      <c r="D23" s="24">
        <f>150+150+150+150+150</f>
        <v>750</v>
      </c>
      <c r="E23" s="42" t="s">
        <v>19</v>
      </c>
    </row>
    <row r="24" spans="1:5" x14ac:dyDescent="0.25">
      <c r="A24" s="33"/>
      <c r="B24" s="23">
        <v>44643</v>
      </c>
      <c r="C24" s="38" t="s">
        <v>5</v>
      </c>
      <c r="D24" s="24">
        <f>150+150+150+150+150+400+75</f>
        <v>1225</v>
      </c>
      <c r="E24" s="42" t="s">
        <v>19</v>
      </c>
    </row>
    <row r="25" spans="1:5" x14ac:dyDescent="0.25">
      <c r="A25" s="33"/>
      <c r="B25" s="23">
        <v>44644</v>
      </c>
      <c r="C25" s="38" t="s">
        <v>121</v>
      </c>
      <c r="D25" s="24">
        <v>500</v>
      </c>
      <c r="E25" s="42" t="s">
        <v>21</v>
      </c>
    </row>
    <row r="26" spans="1:5" x14ac:dyDescent="0.25">
      <c r="A26" s="33"/>
      <c r="B26" s="23">
        <v>44645</v>
      </c>
      <c r="C26" s="38" t="s">
        <v>7</v>
      </c>
      <c r="D26" s="24">
        <f>125+105+330</f>
        <v>560</v>
      </c>
      <c r="E26" s="42" t="s">
        <v>22</v>
      </c>
    </row>
    <row r="27" spans="1:5" x14ac:dyDescent="0.25">
      <c r="A27" s="33"/>
      <c r="B27" s="23">
        <v>44646</v>
      </c>
      <c r="C27" s="38" t="s">
        <v>123</v>
      </c>
      <c r="D27" s="24">
        <v>100</v>
      </c>
      <c r="E27" s="42" t="s">
        <v>8</v>
      </c>
    </row>
    <row r="28" spans="1:5" x14ac:dyDescent="0.25">
      <c r="A28" s="33"/>
      <c r="B28" s="23">
        <v>44647</v>
      </c>
      <c r="C28" s="38" t="s">
        <v>6</v>
      </c>
      <c r="D28" s="24">
        <f>1000+70</f>
        <v>1070</v>
      </c>
      <c r="E28" s="42" t="s">
        <v>23</v>
      </c>
    </row>
    <row r="29" spans="1:5" x14ac:dyDescent="0.25">
      <c r="A29" s="33"/>
      <c r="B29" s="23">
        <v>44648</v>
      </c>
      <c r="C29" s="38" t="s">
        <v>123</v>
      </c>
      <c r="D29" s="24">
        <v>50</v>
      </c>
      <c r="E29" s="42" t="s">
        <v>8</v>
      </c>
    </row>
    <row r="30" spans="1:5" x14ac:dyDescent="0.25">
      <c r="A30" s="33" t="s">
        <v>87</v>
      </c>
      <c r="B30" s="23">
        <v>44649</v>
      </c>
      <c r="C30" s="38" t="s">
        <v>12</v>
      </c>
      <c r="D30" s="24">
        <v>7000</v>
      </c>
      <c r="E30" s="42" t="s">
        <v>13</v>
      </c>
    </row>
    <row r="31" spans="1:5" x14ac:dyDescent="0.25">
      <c r="A31" s="33"/>
      <c r="B31" s="23">
        <v>44650</v>
      </c>
      <c r="C31" s="38" t="s">
        <v>7</v>
      </c>
      <c r="D31" s="24">
        <f>350+70+20</f>
        <v>440</v>
      </c>
      <c r="E31" s="42" t="s">
        <v>24</v>
      </c>
    </row>
    <row r="32" spans="1:5" x14ac:dyDescent="0.25">
      <c r="A32" s="33"/>
      <c r="B32" s="23">
        <v>44651</v>
      </c>
      <c r="C32" s="38" t="s">
        <v>6</v>
      </c>
      <c r="D32" s="24">
        <v>1500</v>
      </c>
      <c r="E32" s="42" t="s">
        <v>8</v>
      </c>
    </row>
    <row r="33" spans="1:5" x14ac:dyDescent="0.25">
      <c r="A33" s="33" t="s">
        <v>88</v>
      </c>
      <c r="B33" s="23">
        <v>44652</v>
      </c>
      <c r="C33" s="38" t="s">
        <v>5</v>
      </c>
      <c r="D33" s="24">
        <f>3000</f>
        <v>3000</v>
      </c>
      <c r="E33" s="42" t="s">
        <v>25</v>
      </c>
    </row>
    <row r="34" spans="1:5" x14ac:dyDescent="0.25">
      <c r="A34" s="33"/>
      <c r="B34" s="23">
        <v>44653</v>
      </c>
      <c r="C34" s="38" t="s">
        <v>5</v>
      </c>
      <c r="D34" s="24">
        <f>150+150</f>
        <v>300</v>
      </c>
      <c r="E34" s="42" t="s">
        <v>27</v>
      </c>
    </row>
    <row r="35" spans="1:5" x14ac:dyDescent="0.25">
      <c r="A35" s="33"/>
      <c r="B35" s="23">
        <v>44654</v>
      </c>
      <c r="C35" s="38" t="s">
        <v>123</v>
      </c>
      <c r="D35" s="24">
        <v>50</v>
      </c>
      <c r="E35" s="42" t="s">
        <v>8</v>
      </c>
    </row>
    <row r="36" spans="1:5" x14ac:dyDescent="0.25">
      <c r="A36" s="33"/>
      <c r="B36" s="23">
        <v>44655</v>
      </c>
      <c r="C36" s="38" t="s">
        <v>5</v>
      </c>
      <c r="D36" s="24">
        <f>150+150</f>
        <v>300</v>
      </c>
      <c r="E36" s="42" t="s">
        <v>27</v>
      </c>
    </row>
    <row r="37" spans="1:5" x14ac:dyDescent="0.25">
      <c r="A37" s="33"/>
      <c r="B37" s="23">
        <v>44656</v>
      </c>
      <c r="C37" s="38" t="s">
        <v>121</v>
      </c>
      <c r="D37" s="24">
        <v>1500</v>
      </c>
      <c r="E37" s="42" t="s">
        <v>10</v>
      </c>
    </row>
    <row r="38" spans="1:5" x14ac:dyDescent="0.25">
      <c r="A38" s="33"/>
      <c r="B38" s="23">
        <v>44657</v>
      </c>
      <c r="C38" s="38" t="s">
        <v>123</v>
      </c>
      <c r="D38" s="24">
        <f>1200</f>
        <v>1200</v>
      </c>
      <c r="E38" s="42" t="s">
        <v>33</v>
      </c>
    </row>
    <row r="39" spans="1:5" x14ac:dyDescent="0.25">
      <c r="A39" s="33"/>
      <c r="B39" s="23">
        <v>44658</v>
      </c>
      <c r="C39" s="38" t="s">
        <v>7</v>
      </c>
      <c r="D39" s="24">
        <f>150+85+100</f>
        <v>335</v>
      </c>
      <c r="E39" s="42" t="s">
        <v>28</v>
      </c>
    </row>
    <row r="40" spans="1:5" x14ac:dyDescent="0.25">
      <c r="A40" s="33" t="s">
        <v>89</v>
      </c>
      <c r="B40" s="23">
        <v>44659</v>
      </c>
      <c r="C40" s="38" t="s">
        <v>6</v>
      </c>
      <c r="D40" s="24">
        <v>100</v>
      </c>
      <c r="E40" s="42"/>
    </row>
    <row r="41" spans="1:5" x14ac:dyDescent="0.25">
      <c r="A41" s="33"/>
      <c r="B41" s="23">
        <v>44660</v>
      </c>
      <c r="C41" s="38" t="s">
        <v>6</v>
      </c>
      <c r="D41" s="24">
        <v>100</v>
      </c>
      <c r="E41" s="42" t="s">
        <v>8</v>
      </c>
    </row>
    <row r="42" spans="1:5" x14ac:dyDescent="0.25">
      <c r="A42" s="33"/>
      <c r="B42" s="23">
        <v>44661</v>
      </c>
      <c r="C42" s="38" t="s">
        <v>12</v>
      </c>
      <c r="D42" s="24">
        <v>3100</v>
      </c>
      <c r="E42" s="42" t="s">
        <v>13</v>
      </c>
    </row>
    <row r="43" spans="1:5" x14ac:dyDescent="0.25">
      <c r="A43" s="33"/>
      <c r="B43" s="23">
        <v>44662</v>
      </c>
      <c r="C43" s="39" t="s">
        <v>29</v>
      </c>
      <c r="D43" s="24">
        <v>500</v>
      </c>
      <c r="E43" s="42" t="s">
        <v>30</v>
      </c>
    </row>
    <row r="44" spans="1:5" x14ac:dyDescent="0.25">
      <c r="A44" s="33"/>
      <c r="B44" s="23">
        <v>44663</v>
      </c>
      <c r="C44" s="38" t="s">
        <v>5</v>
      </c>
      <c r="D44" s="24">
        <f>150+150</f>
        <v>300</v>
      </c>
      <c r="E44" s="42" t="s">
        <v>19</v>
      </c>
    </row>
    <row r="45" spans="1:5" x14ac:dyDescent="0.25">
      <c r="A45" s="33"/>
      <c r="B45" s="23">
        <v>44664</v>
      </c>
      <c r="C45" s="38" t="s">
        <v>7</v>
      </c>
      <c r="D45" s="24">
        <f>240</f>
        <v>240</v>
      </c>
      <c r="E45" s="42" t="s">
        <v>31</v>
      </c>
    </row>
    <row r="46" spans="1:5" x14ac:dyDescent="0.25">
      <c r="A46" s="33"/>
      <c r="B46" s="23">
        <v>44665</v>
      </c>
      <c r="C46" s="38" t="s">
        <v>123</v>
      </c>
      <c r="D46" s="24">
        <v>50</v>
      </c>
      <c r="E46" s="42" t="s">
        <v>8</v>
      </c>
    </row>
    <row r="47" spans="1:5" x14ac:dyDescent="0.25">
      <c r="A47" s="33" t="s">
        <v>90</v>
      </c>
      <c r="B47" s="23">
        <v>44666</v>
      </c>
      <c r="C47" s="38" t="s">
        <v>7</v>
      </c>
      <c r="D47" s="24">
        <f>1000+50+300</f>
        <v>1350</v>
      </c>
      <c r="E47" s="42" t="s">
        <v>32</v>
      </c>
    </row>
    <row r="48" spans="1:5" x14ac:dyDescent="0.25">
      <c r="A48" s="33"/>
      <c r="B48" s="23">
        <v>44667</v>
      </c>
      <c r="C48" s="38" t="s">
        <v>123</v>
      </c>
      <c r="D48" s="24">
        <f>50+75</f>
        <v>125</v>
      </c>
      <c r="E48" s="42" t="s">
        <v>33</v>
      </c>
    </row>
    <row r="49" spans="1:5" x14ac:dyDescent="0.25">
      <c r="A49" s="33"/>
      <c r="B49" s="23">
        <v>44668</v>
      </c>
      <c r="C49" s="38" t="s">
        <v>121</v>
      </c>
      <c r="D49" s="24">
        <v>100</v>
      </c>
      <c r="E49" s="42" t="s">
        <v>15</v>
      </c>
    </row>
    <row r="50" spans="1:5" x14ac:dyDescent="0.25">
      <c r="A50" s="33"/>
      <c r="B50" s="23">
        <v>44669</v>
      </c>
      <c r="C50" s="38" t="s">
        <v>5</v>
      </c>
      <c r="D50" s="24">
        <f>150+150</f>
        <v>300</v>
      </c>
      <c r="E50" s="42" t="s">
        <v>19</v>
      </c>
    </row>
    <row r="51" spans="1:5" x14ac:dyDescent="0.25">
      <c r="A51" s="33"/>
      <c r="B51" s="23">
        <v>44670</v>
      </c>
      <c r="C51" s="38" t="s">
        <v>7</v>
      </c>
      <c r="D51" s="24">
        <v>1705</v>
      </c>
      <c r="E51" s="42" t="s">
        <v>34</v>
      </c>
    </row>
    <row r="52" spans="1:5" x14ac:dyDescent="0.25">
      <c r="A52" s="33"/>
      <c r="B52" s="23">
        <v>44671</v>
      </c>
      <c r="C52" s="38" t="s">
        <v>123</v>
      </c>
      <c r="D52" s="24">
        <f>50+75</f>
        <v>125</v>
      </c>
      <c r="E52" s="42" t="s">
        <v>35</v>
      </c>
    </row>
    <row r="53" spans="1:5" x14ac:dyDescent="0.25">
      <c r="A53" s="33"/>
      <c r="B53" s="23">
        <v>44672</v>
      </c>
      <c r="C53" s="38" t="s">
        <v>5</v>
      </c>
      <c r="D53" s="24">
        <f>1600</f>
        <v>1600</v>
      </c>
      <c r="E53" s="42" t="s">
        <v>27</v>
      </c>
    </row>
    <row r="54" spans="1:5" x14ac:dyDescent="0.25">
      <c r="A54" s="33" t="s">
        <v>91</v>
      </c>
      <c r="B54" s="23">
        <v>44673</v>
      </c>
      <c r="C54" s="38" t="s">
        <v>123</v>
      </c>
      <c r="D54" s="24">
        <f>50+75</f>
        <v>125</v>
      </c>
      <c r="E54" s="42"/>
    </row>
    <row r="55" spans="1:5" x14ac:dyDescent="0.25">
      <c r="A55" s="33"/>
      <c r="B55" s="23">
        <v>44674</v>
      </c>
      <c r="C55" s="38" t="s">
        <v>5</v>
      </c>
      <c r="D55" s="24">
        <f>150</f>
        <v>150</v>
      </c>
      <c r="E55" s="42"/>
    </row>
    <row r="56" spans="1:5" x14ac:dyDescent="0.25">
      <c r="A56" s="33"/>
      <c r="B56" s="23">
        <v>44675</v>
      </c>
      <c r="C56" s="38" t="s">
        <v>6</v>
      </c>
      <c r="D56" s="24">
        <f>1000</f>
        <v>1000</v>
      </c>
      <c r="E56" s="42"/>
    </row>
    <row r="57" spans="1:5" x14ac:dyDescent="0.25">
      <c r="A57" s="33"/>
      <c r="B57" s="23">
        <v>44676</v>
      </c>
      <c r="C57" s="38" t="s">
        <v>12</v>
      </c>
      <c r="D57" s="24">
        <f>5000</f>
        <v>5000</v>
      </c>
      <c r="E57" s="42" t="s">
        <v>36</v>
      </c>
    </row>
    <row r="58" spans="1:5" x14ac:dyDescent="0.25">
      <c r="A58" s="33"/>
      <c r="B58" s="23">
        <v>44677</v>
      </c>
      <c r="C58" s="38" t="s">
        <v>121</v>
      </c>
      <c r="D58" s="24">
        <f>1500</f>
        <v>1500</v>
      </c>
      <c r="E58" s="42" t="s">
        <v>15</v>
      </c>
    </row>
    <row r="59" spans="1:5" x14ac:dyDescent="0.25">
      <c r="A59" s="33"/>
      <c r="B59" s="23">
        <v>44678</v>
      </c>
      <c r="C59" s="38" t="s">
        <v>121</v>
      </c>
      <c r="D59" s="24">
        <v>300</v>
      </c>
      <c r="E59" s="42" t="s">
        <v>10</v>
      </c>
    </row>
    <row r="60" spans="1:5" x14ac:dyDescent="0.25">
      <c r="A60" s="33"/>
      <c r="B60" s="23">
        <v>44679</v>
      </c>
      <c r="C60" s="38" t="s">
        <v>7</v>
      </c>
      <c r="D60" s="24">
        <v>50</v>
      </c>
      <c r="E60" s="42" t="s">
        <v>37</v>
      </c>
    </row>
    <row r="61" spans="1:5" x14ac:dyDescent="0.25">
      <c r="A61" s="33" t="s">
        <v>92</v>
      </c>
      <c r="B61" s="23">
        <v>44680</v>
      </c>
      <c r="C61" s="38" t="s">
        <v>7</v>
      </c>
      <c r="D61" s="24">
        <f>500+150</f>
        <v>650</v>
      </c>
      <c r="E61" s="42" t="s">
        <v>38</v>
      </c>
    </row>
    <row r="62" spans="1:5" x14ac:dyDescent="0.25">
      <c r="A62" s="33"/>
      <c r="B62" s="23">
        <v>44681</v>
      </c>
      <c r="C62" s="38" t="s">
        <v>12</v>
      </c>
      <c r="D62" s="24">
        <f>1100+100+1000</f>
        <v>2200</v>
      </c>
      <c r="E62" s="42" t="s">
        <v>42</v>
      </c>
    </row>
    <row r="63" spans="1:5" x14ac:dyDescent="0.25">
      <c r="A63" s="33" t="s">
        <v>93</v>
      </c>
      <c r="B63" s="23">
        <v>44682</v>
      </c>
      <c r="C63" s="38" t="s">
        <v>123</v>
      </c>
      <c r="D63" s="24">
        <v>50</v>
      </c>
      <c r="E63" s="42" t="s">
        <v>8</v>
      </c>
    </row>
    <row r="64" spans="1:5" x14ac:dyDescent="0.25">
      <c r="A64" s="33"/>
      <c r="B64" s="23">
        <v>44683</v>
      </c>
      <c r="C64" s="38" t="s">
        <v>6</v>
      </c>
      <c r="D64" s="24">
        <v>100</v>
      </c>
      <c r="E64" s="42" t="s">
        <v>8</v>
      </c>
    </row>
    <row r="65" spans="1:5" x14ac:dyDescent="0.25">
      <c r="A65" s="33"/>
      <c r="B65" s="23">
        <v>44684</v>
      </c>
      <c r="C65" s="38" t="s">
        <v>123</v>
      </c>
      <c r="D65" s="24">
        <v>50</v>
      </c>
      <c r="E65" s="42" t="s">
        <v>8</v>
      </c>
    </row>
    <row r="66" spans="1:5" x14ac:dyDescent="0.25">
      <c r="A66" s="33"/>
      <c r="B66" s="23">
        <v>44685</v>
      </c>
      <c r="C66" s="38" t="s">
        <v>7</v>
      </c>
      <c r="D66" s="24">
        <f>5095</f>
        <v>5095</v>
      </c>
      <c r="E66" s="42" t="s">
        <v>39</v>
      </c>
    </row>
    <row r="67" spans="1:5" x14ac:dyDescent="0.25">
      <c r="A67" s="33"/>
      <c r="B67" s="23">
        <v>44686</v>
      </c>
      <c r="C67" s="38" t="s">
        <v>6</v>
      </c>
      <c r="D67" s="24">
        <v>100</v>
      </c>
      <c r="E67" s="42" t="s">
        <v>8</v>
      </c>
    </row>
    <row r="68" spans="1:5" x14ac:dyDescent="0.25">
      <c r="A68" s="33"/>
      <c r="B68" s="23">
        <v>44687</v>
      </c>
      <c r="C68" s="38" t="s">
        <v>121</v>
      </c>
      <c r="D68" s="24">
        <f>1300</f>
        <v>1300</v>
      </c>
      <c r="E68" s="42" t="s">
        <v>10</v>
      </c>
    </row>
    <row r="69" spans="1:5" x14ac:dyDescent="0.25">
      <c r="A69" s="33"/>
      <c r="B69" s="23">
        <v>44688</v>
      </c>
      <c r="C69" s="38" t="s">
        <v>7</v>
      </c>
      <c r="D69" s="24">
        <f>130+270+24</f>
        <v>424</v>
      </c>
      <c r="E69" s="42" t="s">
        <v>40</v>
      </c>
    </row>
    <row r="70" spans="1:5" x14ac:dyDescent="0.25">
      <c r="A70" s="33" t="s">
        <v>94</v>
      </c>
      <c r="B70" s="23">
        <v>44689</v>
      </c>
      <c r="C70" s="38" t="s">
        <v>6</v>
      </c>
      <c r="D70" s="24">
        <v>60</v>
      </c>
      <c r="E70" s="42" t="s">
        <v>8</v>
      </c>
    </row>
    <row r="71" spans="1:5" x14ac:dyDescent="0.25">
      <c r="A71" s="33"/>
      <c r="B71" s="23">
        <v>44690</v>
      </c>
      <c r="C71" s="38" t="s">
        <v>123</v>
      </c>
      <c r="D71" s="24">
        <v>50</v>
      </c>
      <c r="E71" s="42" t="s">
        <v>8</v>
      </c>
    </row>
    <row r="72" spans="1:5" x14ac:dyDescent="0.25">
      <c r="A72" s="33"/>
      <c r="B72" s="23">
        <v>44691</v>
      </c>
      <c r="C72" s="38" t="s">
        <v>6</v>
      </c>
      <c r="D72" s="24">
        <v>100</v>
      </c>
      <c r="E72" s="42" t="s">
        <v>8</v>
      </c>
    </row>
    <row r="73" spans="1:5" x14ac:dyDescent="0.25">
      <c r="A73" s="33"/>
      <c r="B73" s="23">
        <v>44692</v>
      </c>
      <c r="C73" s="38" t="s">
        <v>123</v>
      </c>
      <c r="D73" s="24">
        <v>50</v>
      </c>
      <c r="E73" s="42" t="s">
        <v>8</v>
      </c>
    </row>
    <row r="74" spans="1:5" x14ac:dyDescent="0.25">
      <c r="A74" s="33"/>
      <c r="B74" s="23">
        <v>44693</v>
      </c>
      <c r="C74" s="38" t="s">
        <v>12</v>
      </c>
      <c r="D74" s="24">
        <v>4000</v>
      </c>
      <c r="E74" s="42" t="s">
        <v>13</v>
      </c>
    </row>
    <row r="75" spans="1:5" x14ac:dyDescent="0.25">
      <c r="A75" s="33"/>
      <c r="B75" s="23">
        <v>44694</v>
      </c>
      <c r="C75" s="38" t="s">
        <v>7</v>
      </c>
      <c r="D75" s="24">
        <f>150+150</f>
        <v>300</v>
      </c>
      <c r="E75" s="42" t="s">
        <v>41</v>
      </c>
    </row>
    <row r="76" spans="1:5" x14ac:dyDescent="0.25">
      <c r="A76" s="33"/>
      <c r="B76" s="23">
        <v>44695</v>
      </c>
      <c r="C76" s="38" t="s">
        <v>123</v>
      </c>
      <c r="D76" s="24">
        <v>50</v>
      </c>
      <c r="E76" s="42" t="s">
        <v>8</v>
      </c>
    </row>
    <row r="77" spans="1:5" x14ac:dyDescent="0.25">
      <c r="A77" s="33" t="s">
        <v>95</v>
      </c>
      <c r="B77" s="23">
        <v>44696</v>
      </c>
      <c r="C77" s="38" t="s">
        <v>7</v>
      </c>
      <c r="D77" s="24">
        <v>45</v>
      </c>
      <c r="E77" s="42"/>
    </row>
    <row r="78" spans="1:5" x14ac:dyDescent="0.25">
      <c r="A78" s="33"/>
      <c r="B78" s="23">
        <v>44697</v>
      </c>
      <c r="C78" s="38" t="s">
        <v>123</v>
      </c>
      <c r="D78" s="24">
        <v>100</v>
      </c>
      <c r="E78" s="42" t="s">
        <v>8</v>
      </c>
    </row>
    <row r="79" spans="1:5" x14ac:dyDescent="0.25">
      <c r="A79" s="33"/>
      <c r="B79" s="23">
        <v>44698</v>
      </c>
      <c r="C79" s="38" t="s">
        <v>12</v>
      </c>
      <c r="D79" s="24">
        <v>1370</v>
      </c>
      <c r="E79" s="42" t="s">
        <v>13</v>
      </c>
    </row>
    <row r="80" spans="1:5" x14ac:dyDescent="0.25">
      <c r="A80" s="33"/>
      <c r="B80" s="23">
        <v>44699</v>
      </c>
      <c r="C80" s="38" t="s">
        <v>5</v>
      </c>
      <c r="D80" s="24">
        <f>5000</f>
        <v>5000</v>
      </c>
      <c r="E80" s="42" t="s">
        <v>27</v>
      </c>
    </row>
    <row r="81" spans="1:5" x14ac:dyDescent="0.25">
      <c r="A81" s="33"/>
      <c r="B81" s="23">
        <v>44700</v>
      </c>
      <c r="C81" s="38" t="s">
        <v>123</v>
      </c>
      <c r="D81" s="24">
        <f>2000</f>
        <v>2000</v>
      </c>
      <c r="E81" s="42" t="s">
        <v>8</v>
      </c>
    </row>
    <row r="82" spans="1:5" x14ac:dyDescent="0.25">
      <c r="A82" s="33"/>
      <c r="B82" s="23">
        <v>44701</v>
      </c>
      <c r="C82" s="38" t="s">
        <v>5</v>
      </c>
      <c r="D82" s="24">
        <v>150</v>
      </c>
      <c r="E82" s="42" t="s">
        <v>27</v>
      </c>
    </row>
    <row r="83" spans="1:5" x14ac:dyDescent="0.25">
      <c r="A83" s="33"/>
      <c r="B83" s="23">
        <v>44702</v>
      </c>
      <c r="C83" s="38" t="s">
        <v>123</v>
      </c>
      <c r="D83" s="24">
        <v>60</v>
      </c>
      <c r="E83" s="42" t="s">
        <v>8</v>
      </c>
    </row>
    <row r="84" spans="1:5" x14ac:dyDescent="0.25">
      <c r="A84" s="33" t="s">
        <v>96</v>
      </c>
      <c r="B84" s="23">
        <v>44703</v>
      </c>
      <c r="C84" s="38" t="s">
        <v>7</v>
      </c>
      <c r="D84" s="24">
        <f>350+50</f>
        <v>400</v>
      </c>
      <c r="E84" s="42" t="s">
        <v>43</v>
      </c>
    </row>
    <row r="85" spans="1:5" x14ac:dyDescent="0.25">
      <c r="A85" s="33"/>
      <c r="B85" s="23">
        <v>44704</v>
      </c>
      <c r="C85" s="38" t="s">
        <v>12</v>
      </c>
      <c r="D85" s="24">
        <f>5000</f>
        <v>5000</v>
      </c>
      <c r="E85" s="42" t="s">
        <v>13</v>
      </c>
    </row>
    <row r="86" spans="1:5" x14ac:dyDescent="0.25">
      <c r="A86" s="33"/>
      <c r="B86" s="23">
        <v>44705</v>
      </c>
      <c r="C86" s="38" t="s">
        <v>121</v>
      </c>
      <c r="D86" s="24">
        <f>1500</f>
        <v>1500</v>
      </c>
      <c r="E86" s="42" t="s">
        <v>10</v>
      </c>
    </row>
    <row r="87" spans="1:5" x14ac:dyDescent="0.25">
      <c r="A87" s="33"/>
      <c r="B87" s="23">
        <v>44706</v>
      </c>
      <c r="C87" s="38" t="s">
        <v>5</v>
      </c>
      <c r="D87" s="24">
        <v>5020</v>
      </c>
      <c r="E87" s="42" t="s">
        <v>44</v>
      </c>
    </row>
    <row r="88" spans="1:5" x14ac:dyDescent="0.25">
      <c r="A88" s="33"/>
      <c r="B88" s="23">
        <v>44707</v>
      </c>
      <c r="C88" s="38" t="s">
        <v>6</v>
      </c>
      <c r="D88" s="24">
        <v>1300</v>
      </c>
      <c r="E88" s="42"/>
    </row>
    <row r="89" spans="1:5" x14ac:dyDescent="0.25">
      <c r="A89" s="33"/>
      <c r="B89" s="23">
        <v>44708</v>
      </c>
      <c r="C89" s="38" t="s">
        <v>29</v>
      </c>
      <c r="D89" s="24">
        <f>3000</f>
        <v>3000</v>
      </c>
      <c r="E89" s="42"/>
    </row>
    <row r="90" spans="1:5" x14ac:dyDescent="0.25">
      <c r="A90" s="33"/>
      <c r="B90" s="23">
        <v>44709</v>
      </c>
      <c r="C90" s="38" t="s">
        <v>69</v>
      </c>
      <c r="D90" s="24">
        <v>4000</v>
      </c>
      <c r="E90" s="42"/>
    </row>
    <row r="91" spans="1:5" x14ac:dyDescent="0.25">
      <c r="A91" s="33" t="s">
        <v>97</v>
      </c>
      <c r="B91" s="23">
        <v>44710</v>
      </c>
      <c r="C91" s="38" t="s">
        <v>12</v>
      </c>
      <c r="D91" s="24">
        <v>1500</v>
      </c>
      <c r="E91" s="42" t="s">
        <v>70</v>
      </c>
    </row>
    <row r="92" spans="1:5" x14ac:dyDescent="0.25">
      <c r="A92" s="33"/>
      <c r="B92" s="23">
        <v>44711</v>
      </c>
      <c r="C92" s="38" t="s">
        <v>5</v>
      </c>
      <c r="D92" s="24">
        <v>400</v>
      </c>
      <c r="E92" s="42"/>
    </row>
    <row r="93" spans="1:5" x14ac:dyDescent="0.25">
      <c r="A93" s="33"/>
      <c r="B93" s="23">
        <v>44712</v>
      </c>
      <c r="C93" s="38" t="s">
        <v>6</v>
      </c>
      <c r="D93" s="24">
        <v>50</v>
      </c>
      <c r="E93" s="42"/>
    </row>
    <row r="94" spans="1:5" x14ac:dyDescent="0.25">
      <c r="A94" s="33" t="s">
        <v>98</v>
      </c>
      <c r="B94" s="23">
        <v>44713</v>
      </c>
      <c r="C94" s="38" t="s">
        <v>69</v>
      </c>
      <c r="D94" s="24">
        <v>25000</v>
      </c>
      <c r="E94" s="42" t="s">
        <v>71</v>
      </c>
    </row>
    <row r="95" spans="1:5" x14ac:dyDescent="0.25">
      <c r="A95" s="33"/>
      <c r="B95" s="23">
        <v>44714</v>
      </c>
      <c r="C95" s="38" t="s">
        <v>12</v>
      </c>
      <c r="D95" s="24">
        <v>7500</v>
      </c>
      <c r="E95" s="42"/>
    </row>
    <row r="96" spans="1:5" x14ac:dyDescent="0.25">
      <c r="A96" s="33"/>
      <c r="B96" s="23">
        <v>44715</v>
      </c>
      <c r="C96" s="38" t="s">
        <v>7</v>
      </c>
      <c r="D96" s="24">
        <v>250</v>
      </c>
      <c r="E96" s="42" t="s">
        <v>72</v>
      </c>
    </row>
    <row r="97" spans="1:5" x14ac:dyDescent="0.25">
      <c r="A97" s="33"/>
      <c r="B97" s="23">
        <v>44716</v>
      </c>
      <c r="C97" s="38" t="s">
        <v>7</v>
      </c>
      <c r="D97" s="24">
        <v>3780</v>
      </c>
      <c r="E97" s="42"/>
    </row>
    <row r="98" spans="1:5" x14ac:dyDescent="0.25">
      <c r="A98" s="33"/>
      <c r="B98" s="23">
        <v>44717</v>
      </c>
      <c r="C98" s="38" t="s">
        <v>121</v>
      </c>
      <c r="D98" s="24">
        <v>1500</v>
      </c>
      <c r="E98" s="42" t="s">
        <v>10</v>
      </c>
    </row>
    <row r="99" spans="1:5" x14ac:dyDescent="0.25">
      <c r="A99" s="33"/>
      <c r="B99" s="23">
        <v>44718</v>
      </c>
      <c r="C99" s="38" t="s">
        <v>6</v>
      </c>
      <c r="D99" s="24">
        <v>200</v>
      </c>
      <c r="E99" s="42"/>
    </row>
    <row r="100" spans="1:5" x14ac:dyDescent="0.25">
      <c r="A100" s="33"/>
      <c r="B100" s="23">
        <v>44719</v>
      </c>
      <c r="C100" s="38" t="s">
        <v>5</v>
      </c>
      <c r="D100" s="24">
        <v>1700</v>
      </c>
      <c r="E100" s="42"/>
    </row>
    <row r="101" spans="1:5" x14ac:dyDescent="0.25">
      <c r="A101" s="33" t="s">
        <v>99</v>
      </c>
      <c r="B101" s="23">
        <v>44720</v>
      </c>
      <c r="C101" s="38" t="s">
        <v>29</v>
      </c>
      <c r="D101" s="24">
        <v>1000</v>
      </c>
      <c r="E101" s="42" t="s">
        <v>73</v>
      </c>
    </row>
    <row r="102" spans="1:5" x14ac:dyDescent="0.25">
      <c r="A102" s="33"/>
      <c r="B102" s="23">
        <v>44721</v>
      </c>
      <c r="C102" s="38" t="s">
        <v>5</v>
      </c>
      <c r="D102" s="24">
        <v>3000</v>
      </c>
      <c r="E102" s="42" t="s">
        <v>19</v>
      </c>
    </row>
    <row r="103" spans="1:5" x14ac:dyDescent="0.25">
      <c r="A103" s="33"/>
      <c r="B103" s="23">
        <v>44722</v>
      </c>
      <c r="C103" s="38" t="s">
        <v>123</v>
      </c>
      <c r="D103" s="24">
        <v>700</v>
      </c>
      <c r="E103" s="42"/>
    </row>
    <row r="104" spans="1:5" x14ac:dyDescent="0.25">
      <c r="A104" s="33"/>
      <c r="B104" s="23">
        <v>44723</v>
      </c>
      <c r="C104" s="38" t="s">
        <v>69</v>
      </c>
      <c r="D104" s="24">
        <v>3000</v>
      </c>
      <c r="E104" s="42" t="s">
        <v>74</v>
      </c>
    </row>
    <row r="105" spans="1:5" x14ac:dyDescent="0.25">
      <c r="A105" s="33"/>
      <c r="B105" s="23">
        <v>44724</v>
      </c>
      <c r="C105" s="38" t="s">
        <v>7</v>
      </c>
      <c r="D105" s="24">
        <v>200</v>
      </c>
      <c r="E105" s="42" t="s">
        <v>75</v>
      </c>
    </row>
    <row r="106" spans="1:5" x14ac:dyDescent="0.25">
      <c r="A106" s="33"/>
      <c r="B106" s="23">
        <v>44725</v>
      </c>
      <c r="C106" s="38" t="s">
        <v>69</v>
      </c>
      <c r="D106" s="24">
        <v>2000</v>
      </c>
      <c r="E106" s="42" t="s">
        <v>76</v>
      </c>
    </row>
    <row r="107" spans="1:5" x14ac:dyDescent="0.25">
      <c r="A107" s="33"/>
      <c r="B107" s="23">
        <v>44726</v>
      </c>
      <c r="C107" s="38" t="s">
        <v>6</v>
      </c>
      <c r="D107" s="24">
        <v>400</v>
      </c>
      <c r="E107" s="42"/>
    </row>
    <row r="108" spans="1:5" x14ac:dyDescent="0.25">
      <c r="A108" s="33" t="s">
        <v>108</v>
      </c>
      <c r="B108" s="23">
        <v>44727</v>
      </c>
      <c r="C108" s="38" t="s">
        <v>123</v>
      </c>
      <c r="D108" s="24">
        <v>200</v>
      </c>
      <c r="E108" s="42" t="s">
        <v>8</v>
      </c>
    </row>
    <row r="109" spans="1:5" x14ac:dyDescent="0.25">
      <c r="A109" s="33"/>
      <c r="B109" s="23">
        <v>44728</v>
      </c>
      <c r="C109" s="38" t="s">
        <v>121</v>
      </c>
      <c r="D109" s="24">
        <v>500</v>
      </c>
      <c r="E109" s="42" t="s">
        <v>15</v>
      </c>
    </row>
    <row r="110" spans="1:5" x14ac:dyDescent="0.25">
      <c r="A110" s="33"/>
      <c r="B110" s="23">
        <v>44729</v>
      </c>
      <c r="C110" s="38" t="s">
        <v>7</v>
      </c>
      <c r="D110" s="24">
        <v>1500</v>
      </c>
      <c r="E110" s="42" t="s">
        <v>77</v>
      </c>
    </row>
    <row r="111" spans="1:5" x14ac:dyDescent="0.25">
      <c r="A111" s="33"/>
      <c r="B111" s="23">
        <v>44730</v>
      </c>
      <c r="C111" s="38" t="s">
        <v>5</v>
      </c>
      <c r="D111" s="24">
        <v>500</v>
      </c>
      <c r="E111" s="42" t="s">
        <v>19</v>
      </c>
    </row>
    <row r="112" spans="1:5" x14ac:dyDescent="0.25">
      <c r="A112" s="33"/>
      <c r="B112" s="23">
        <v>44731</v>
      </c>
      <c r="C112" s="38" t="s">
        <v>12</v>
      </c>
      <c r="D112" s="24">
        <v>3000</v>
      </c>
      <c r="E112" s="42"/>
    </row>
    <row r="113" spans="1:5" x14ac:dyDescent="0.25">
      <c r="A113" s="33"/>
      <c r="B113" s="23">
        <v>44732</v>
      </c>
      <c r="C113" s="38" t="s">
        <v>123</v>
      </c>
      <c r="D113" s="24">
        <v>500</v>
      </c>
      <c r="E113" s="42"/>
    </row>
    <row r="114" spans="1:5" x14ac:dyDescent="0.25">
      <c r="A114" s="33"/>
      <c r="B114" s="23">
        <v>44733</v>
      </c>
      <c r="C114" s="38" t="s">
        <v>121</v>
      </c>
      <c r="D114" s="24">
        <v>300</v>
      </c>
      <c r="E114" s="42" t="s">
        <v>15</v>
      </c>
    </row>
    <row r="115" spans="1:5" x14ac:dyDescent="0.25">
      <c r="A115" s="33" t="s">
        <v>109</v>
      </c>
      <c r="B115" s="23">
        <v>44734</v>
      </c>
      <c r="C115" s="38" t="s">
        <v>7</v>
      </c>
      <c r="D115" s="24">
        <v>700</v>
      </c>
      <c r="E115" s="42" t="s">
        <v>78</v>
      </c>
    </row>
    <row r="116" spans="1:5" x14ac:dyDescent="0.25">
      <c r="A116" s="33"/>
      <c r="B116" s="23">
        <v>44735</v>
      </c>
      <c r="C116" s="38" t="s">
        <v>6</v>
      </c>
      <c r="D116" s="24">
        <v>1000</v>
      </c>
      <c r="E116" s="42" t="s">
        <v>8</v>
      </c>
    </row>
    <row r="117" spans="1:5" x14ac:dyDescent="0.25">
      <c r="A117" s="33"/>
      <c r="B117" s="23">
        <v>44736</v>
      </c>
      <c r="C117" s="38" t="s">
        <v>69</v>
      </c>
      <c r="D117" s="24">
        <v>900</v>
      </c>
      <c r="E117" s="42" t="s">
        <v>79</v>
      </c>
    </row>
    <row r="118" spans="1:5" x14ac:dyDescent="0.25">
      <c r="A118" s="33"/>
      <c r="B118" s="23">
        <v>44737</v>
      </c>
      <c r="C118" s="38" t="s">
        <v>121</v>
      </c>
      <c r="D118" s="24">
        <v>6000</v>
      </c>
      <c r="E118" s="42" t="s">
        <v>80</v>
      </c>
    </row>
    <row r="119" spans="1:5" x14ac:dyDescent="0.25">
      <c r="A119" s="33"/>
      <c r="B119" s="23">
        <v>44738</v>
      </c>
      <c r="C119" s="38" t="s">
        <v>7</v>
      </c>
      <c r="D119" s="24">
        <v>3000</v>
      </c>
      <c r="E119" s="42" t="s">
        <v>81</v>
      </c>
    </row>
    <row r="120" spans="1:5" x14ac:dyDescent="0.25">
      <c r="A120" s="33"/>
      <c r="B120" s="23">
        <v>44739</v>
      </c>
      <c r="C120" s="38" t="s">
        <v>29</v>
      </c>
      <c r="D120" s="24">
        <v>500</v>
      </c>
      <c r="E120" s="42"/>
    </row>
    <row r="121" spans="1:5" x14ac:dyDescent="0.25">
      <c r="A121" s="33"/>
      <c r="B121" s="23">
        <v>44740</v>
      </c>
      <c r="C121" s="38" t="s">
        <v>5</v>
      </c>
      <c r="D121" s="24">
        <v>2000</v>
      </c>
      <c r="E121" s="42" t="s">
        <v>82</v>
      </c>
    </row>
    <row r="122" spans="1:5" x14ac:dyDescent="0.25">
      <c r="A122" s="33" t="s">
        <v>110</v>
      </c>
      <c r="B122" s="23">
        <v>44741</v>
      </c>
      <c r="C122" s="38" t="s">
        <v>123</v>
      </c>
      <c r="D122" s="24">
        <v>600</v>
      </c>
      <c r="E122" s="42"/>
    </row>
    <row r="123" spans="1:5" x14ac:dyDescent="0.25">
      <c r="A123" s="34"/>
      <c r="B123" s="37">
        <v>44742</v>
      </c>
      <c r="C123" s="40" t="s">
        <v>121</v>
      </c>
      <c r="D123" s="36">
        <v>400</v>
      </c>
      <c r="E123" s="43" t="s">
        <v>10</v>
      </c>
    </row>
  </sheetData>
  <sortState xmlns:xlrd2="http://schemas.microsoft.com/office/spreadsheetml/2017/richdata2" ref="A2:E124">
    <sortCondition ref="B2:B124"/>
  </sortState>
  <phoneticPr fontId="4" type="noConversion"/>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ABA695-1081-4FBD-AF5D-91AE787F5244}">
  <dimension ref="A1:Q43"/>
  <sheetViews>
    <sheetView topLeftCell="I1" workbookViewId="0">
      <selection activeCell="J13" sqref="J13"/>
    </sheetView>
  </sheetViews>
  <sheetFormatPr defaultRowHeight="15" x14ac:dyDescent="0.25"/>
  <cols>
    <col min="1" max="1" width="12.140625" customWidth="1"/>
    <col min="2" max="2" width="10.42578125" bestFit="1" customWidth="1"/>
    <col min="3" max="3" width="13.140625" bestFit="1" customWidth="1"/>
    <col min="4" max="4" width="16.42578125" bestFit="1" customWidth="1"/>
    <col min="5" max="5" width="11.140625" bestFit="1" customWidth="1"/>
    <col min="6" max="6" width="12.140625" bestFit="1" customWidth="1"/>
    <col min="7" max="7" width="13.140625" bestFit="1" customWidth="1"/>
    <col min="8" max="8" width="20.140625" bestFit="1" customWidth="1"/>
    <col min="9" max="9" width="14" bestFit="1" customWidth="1"/>
    <col min="10" max="10" width="26.28515625" bestFit="1" customWidth="1"/>
    <col min="11" max="11" width="13.85546875" bestFit="1" customWidth="1"/>
    <col min="12" max="12" width="17.85546875" bestFit="1" customWidth="1"/>
    <col min="13" max="13" width="30.85546875" bestFit="1" customWidth="1"/>
    <col min="14" max="14" width="11" customWidth="1"/>
    <col min="15" max="19" width="5" bestFit="1" customWidth="1"/>
    <col min="20" max="20" width="11.28515625" bestFit="1" customWidth="1"/>
    <col min="21" max="21" width="6" bestFit="1" customWidth="1"/>
    <col min="22" max="24" width="4" bestFit="1" customWidth="1"/>
    <col min="25" max="35" width="5" bestFit="1" customWidth="1"/>
    <col min="36" max="36" width="16.140625" bestFit="1" customWidth="1"/>
    <col min="37" max="37" width="21.5703125" bestFit="1" customWidth="1"/>
    <col min="38" max="40" width="4" bestFit="1" customWidth="1"/>
    <col min="41" max="51" width="5" bestFit="1" customWidth="1"/>
    <col min="52" max="52" width="18.140625" bestFit="1" customWidth="1"/>
    <col min="53" max="53" width="16.140625" bestFit="1" customWidth="1"/>
    <col min="54" max="54" width="21.5703125" bestFit="1" customWidth="1"/>
    <col min="55" max="56" width="4" bestFit="1" customWidth="1"/>
    <col min="57" max="67" width="5" bestFit="1" customWidth="1"/>
    <col min="68" max="68" width="17" bestFit="1" customWidth="1"/>
    <col min="69" max="69" width="18.140625" bestFit="1" customWidth="1"/>
    <col min="70" max="70" width="16.140625" bestFit="1" customWidth="1"/>
    <col min="71" max="71" width="21.5703125" bestFit="1" customWidth="1"/>
    <col min="72" max="72" width="4" bestFit="1" customWidth="1"/>
    <col min="73" max="83" width="5" bestFit="1" customWidth="1"/>
    <col min="84" max="84" width="16" bestFit="1" customWidth="1"/>
    <col min="85" max="85" width="17" bestFit="1" customWidth="1"/>
    <col min="86" max="86" width="18.140625" bestFit="1" customWidth="1"/>
    <col min="87" max="87" width="16.140625" bestFit="1" customWidth="1"/>
    <col min="88" max="88" width="21.5703125" bestFit="1" customWidth="1"/>
    <col min="89" max="99" width="5" bestFit="1" customWidth="1"/>
    <col min="100" max="100" width="18.85546875" bestFit="1" customWidth="1"/>
    <col min="101" max="101" width="16" bestFit="1" customWidth="1"/>
    <col min="102" max="102" width="17" bestFit="1" customWidth="1"/>
    <col min="103" max="103" width="18.140625" bestFit="1" customWidth="1"/>
    <col min="104" max="104" width="16.140625" bestFit="1" customWidth="1"/>
    <col min="105" max="105" width="21.5703125" bestFit="1" customWidth="1"/>
    <col min="106" max="115" width="5" bestFit="1" customWidth="1"/>
    <col min="116" max="116" width="18.85546875" bestFit="1" customWidth="1"/>
    <col min="117" max="117" width="16.42578125" bestFit="1" customWidth="1"/>
    <col min="118" max="118" width="16" bestFit="1" customWidth="1"/>
    <col min="119" max="119" width="17" bestFit="1" customWidth="1"/>
    <col min="120" max="120" width="18.140625" bestFit="1" customWidth="1"/>
    <col min="121" max="121" width="16.140625" bestFit="1" customWidth="1"/>
    <col min="122" max="122" width="21.5703125" bestFit="1" customWidth="1"/>
    <col min="123" max="131" width="5" bestFit="1" customWidth="1"/>
    <col min="132" max="132" width="29.7109375" bestFit="1" customWidth="1"/>
    <col min="133" max="133" width="18.85546875" bestFit="1" customWidth="1"/>
    <col min="134" max="134" width="16.42578125" bestFit="1" customWidth="1"/>
    <col min="135" max="135" width="16" bestFit="1" customWidth="1"/>
    <col min="136" max="136" width="17" bestFit="1" customWidth="1"/>
    <col min="137" max="137" width="18.140625" bestFit="1" customWidth="1"/>
    <col min="138" max="138" width="16.140625" bestFit="1" customWidth="1"/>
    <col min="139" max="139" width="21.5703125" bestFit="1" customWidth="1"/>
    <col min="140" max="147" width="5" bestFit="1" customWidth="1"/>
    <col min="148" max="148" width="17.28515625" bestFit="1" customWidth="1"/>
    <col min="149" max="149" width="29.7109375" bestFit="1" customWidth="1"/>
    <col min="150" max="150" width="18.85546875" bestFit="1" customWidth="1"/>
    <col min="151" max="151" width="16.42578125" bestFit="1" customWidth="1"/>
    <col min="152" max="152" width="16" bestFit="1" customWidth="1"/>
    <col min="153" max="153" width="17" bestFit="1" customWidth="1"/>
    <col min="154" max="154" width="18.140625" bestFit="1" customWidth="1"/>
    <col min="155" max="155" width="16.140625" bestFit="1" customWidth="1"/>
    <col min="156" max="156" width="21.5703125" bestFit="1" customWidth="1"/>
    <col min="157" max="157" width="29.7109375" bestFit="1" customWidth="1"/>
    <col min="158" max="158" width="18.85546875" bestFit="1" customWidth="1"/>
    <col min="159" max="159" width="16.42578125" bestFit="1" customWidth="1"/>
    <col min="160" max="160" width="16" bestFit="1" customWidth="1"/>
    <col min="161" max="161" width="17" bestFit="1" customWidth="1"/>
    <col min="162" max="162" width="18.140625" bestFit="1" customWidth="1"/>
    <col min="163" max="163" width="16.140625" bestFit="1" customWidth="1"/>
    <col min="164" max="164" width="21.5703125" bestFit="1" customWidth="1"/>
    <col min="165" max="168" width="12" bestFit="1" customWidth="1"/>
    <col min="169" max="169" width="6.85546875" bestFit="1" customWidth="1"/>
    <col min="170" max="170" width="5" bestFit="1" customWidth="1"/>
    <col min="171" max="171" width="7.85546875" bestFit="1" customWidth="1"/>
    <col min="172" max="172" width="4.85546875" bestFit="1" customWidth="1"/>
    <col min="173" max="173" width="7.85546875" bestFit="1" customWidth="1"/>
    <col min="174" max="174" width="5.85546875" bestFit="1" customWidth="1"/>
    <col min="175" max="175" width="8.85546875" bestFit="1" customWidth="1"/>
    <col min="176" max="176" width="5.85546875" bestFit="1" customWidth="1"/>
    <col min="177" max="177" width="8.85546875" bestFit="1" customWidth="1"/>
    <col min="178" max="180" width="5.85546875" bestFit="1" customWidth="1"/>
    <col min="181" max="181" width="8.85546875" bestFit="1" customWidth="1"/>
    <col min="182" max="182" width="5.85546875" bestFit="1" customWidth="1"/>
    <col min="183" max="183" width="8.85546875" bestFit="1" customWidth="1"/>
    <col min="184" max="185" width="6.85546875" bestFit="1" customWidth="1"/>
    <col min="186" max="186" width="9.85546875" bestFit="1" customWidth="1"/>
    <col min="187" max="187" width="6.85546875" bestFit="1" customWidth="1"/>
    <col min="188" max="188" width="9.85546875" bestFit="1" customWidth="1"/>
    <col min="189" max="189" width="6.85546875" bestFit="1" customWidth="1"/>
    <col min="190" max="190" width="9.85546875" bestFit="1" customWidth="1"/>
    <col min="191" max="191" width="6.85546875" bestFit="1" customWidth="1"/>
    <col min="192" max="192" width="9.85546875" bestFit="1" customWidth="1"/>
    <col min="193" max="193" width="6.85546875" bestFit="1" customWidth="1"/>
    <col min="194" max="194" width="9.85546875" bestFit="1" customWidth="1"/>
    <col min="195" max="200" width="13.140625" bestFit="1" customWidth="1"/>
    <col min="201" max="201" width="6.85546875" bestFit="1" customWidth="1"/>
    <col min="202" max="202" width="5" bestFit="1" customWidth="1"/>
    <col min="203" max="203" width="7.85546875" bestFit="1" customWidth="1"/>
    <col min="204" max="204" width="4.85546875" bestFit="1" customWidth="1"/>
    <col min="205" max="205" width="7.85546875" bestFit="1" customWidth="1"/>
    <col min="206" max="206" width="5.85546875" bestFit="1" customWidth="1"/>
    <col min="207" max="207" width="8.85546875" bestFit="1" customWidth="1"/>
    <col min="208" max="208" width="5.85546875" bestFit="1" customWidth="1"/>
    <col min="209" max="209" width="8.85546875" bestFit="1" customWidth="1"/>
    <col min="210" max="212" width="5.85546875" bestFit="1" customWidth="1"/>
    <col min="213" max="213" width="8.85546875" bestFit="1" customWidth="1"/>
    <col min="214" max="214" width="5.85546875" bestFit="1" customWidth="1"/>
    <col min="215" max="215" width="8.85546875" bestFit="1" customWidth="1"/>
    <col min="216" max="217" width="6.85546875" bestFit="1" customWidth="1"/>
    <col min="218" max="218" width="9.85546875" bestFit="1" customWidth="1"/>
    <col min="219" max="219" width="6.85546875" bestFit="1" customWidth="1"/>
    <col min="220" max="220" width="9.85546875" bestFit="1" customWidth="1"/>
    <col min="221" max="221" width="6.85546875" bestFit="1" customWidth="1"/>
    <col min="222" max="222" width="9.85546875" bestFit="1" customWidth="1"/>
    <col min="223" max="223" width="6.85546875" bestFit="1" customWidth="1"/>
    <col min="224" max="224" width="9.85546875" bestFit="1" customWidth="1"/>
    <col min="225" max="225" width="6.85546875" bestFit="1" customWidth="1"/>
    <col min="226" max="226" width="9.85546875" bestFit="1" customWidth="1"/>
    <col min="227" max="232" width="11.140625" bestFit="1" customWidth="1"/>
    <col min="233" max="233" width="6.85546875" bestFit="1" customWidth="1"/>
    <col min="234" max="234" width="5" bestFit="1" customWidth="1"/>
    <col min="235" max="235" width="7.85546875" bestFit="1" customWidth="1"/>
    <col min="236" max="236" width="4.85546875" bestFit="1" customWidth="1"/>
    <col min="237" max="237" width="7.85546875" bestFit="1" customWidth="1"/>
    <col min="238" max="238" width="5.85546875" bestFit="1" customWidth="1"/>
    <col min="239" max="239" width="8.85546875" bestFit="1" customWidth="1"/>
    <col min="240" max="240" width="5.85546875" bestFit="1" customWidth="1"/>
    <col min="241" max="241" width="8.85546875" bestFit="1" customWidth="1"/>
    <col min="242" max="244" width="5.85546875" bestFit="1" customWidth="1"/>
    <col min="245" max="245" width="8.85546875" bestFit="1" customWidth="1"/>
    <col min="246" max="246" width="5.85546875" bestFit="1" customWidth="1"/>
    <col min="247" max="247" width="8.85546875" bestFit="1" customWidth="1"/>
    <col min="248" max="249" width="6.85546875" bestFit="1" customWidth="1"/>
    <col min="250" max="250" width="9.85546875" bestFit="1" customWidth="1"/>
    <col min="251" max="251" width="6.85546875" bestFit="1" customWidth="1"/>
    <col min="252" max="252" width="9.85546875" bestFit="1" customWidth="1"/>
    <col min="253" max="253" width="6.85546875" bestFit="1" customWidth="1"/>
    <col min="254" max="254" width="9.85546875" bestFit="1" customWidth="1"/>
    <col min="255" max="255" width="6.85546875" bestFit="1" customWidth="1"/>
    <col min="256" max="256" width="9.85546875" bestFit="1" customWidth="1"/>
    <col min="257" max="257" width="6.85546875" bestFit="1" customWidth="1"/>
    <col min="258" max="258" width="9.85546875" bestFit="1" customWidth="1"/>
    <col min="259" max="264" width="16.42578125" bestFit="1" customWidth="1"/>
    <col min="265" max="265" width="6.85546875" bestFit="1" customWidth="1"/>
    <col min="266" max="266" width="5" bestFit="1" customWidth="1"/>
    <col min="267" max="267" width="7.85546875" bestFit="1" customWidth="1"/>
    <col min="268" max="268" width="4.85546875" bestFit="1" customWidth="1"/>
    <col min="269" max="269" width="7.85546875" bestFit="1" customWidth="1"/>
    <col min="270" max="270" width="5.85546875" bestFit="1" customWidth="1"/>
    <col min="271" max="271" width="8.85546875" bestFit="1" customWidth="1"/>
    <col min="272" max="272" width="5.85546875" bestFit="1" customWidth="1"/>
    <col min="273" max="273" width="8.85546875" bestFit="1" customWidth="1"/>
    <col min="274" max="276" width="5.85546875" bestFit="1" customWidth="1"/>
    <col min="277" max="277" width="8.85546875" bestFit="1" customWidth="1"/>
    <col min="278" max="278" width="5.85546875" bestFit="1" customWidth="1"/>
    <col min="279" max="279" width="8.85546875" bestFit="1" customWidth="1"/>
    <col min="280" max="281" width="6.85546875" bestFit="1" customWidth="1"/>
    <col min="282" max="282" width="9.85546875" bestFit="1" customWidth="1"/>
    <col min="283" max="283" width="6.85546875" bestFit="1" customWidth="1"/>
    <col min="284" max="284" width="9.85546875" bestFit="1" customWidth="1"/>
    <col min="285" max="285" width="6.85546875" bestFit="1" customWidth="1"/>
    <col min="286" max="286" width="9.85546875" bestFit="1" customWidth="1"/>
    <col min="287" max="287" width="6.85546875" bestFit="1" customWidth="1"/>
    <col min="288" max="288" width="9.85546875" bestFit="1" customWidth="1"/>
    <col min="289" max="289" width="6.85546875" bestFit="1" customWidth="1"/>
    <col min="290" max="290" width="9.85546875" bestFit="1" customWidth="1"/>
    <col min="291" max="291" width="17.28515625" bestFit="1" customWidth="1"/>
    <col min="292" max="292" width="29.7109375" bestFit="1" customWidth="1"/>
    <col min="293" max="293" width="18.85546875" bestFit="1" customWidth="1"/>
    <col min="294" max="294" width="16.42578125" bestFit="1" customWidth="1"/>
    <col min="295" max="295" width="16" bestFit="1" customWidth="1"/>
    <col min="296" max="296" width="17" bestFit="1" customWidth="1"/>
    <col min="297" max="297" width="18.140625" bestFit="1" customWidth="1"/>
    <col min="298" max="298" width="16.140625" bestFit="1" customWidth="1"/>
    <col min="299" max="299" width="21.5703125" bestFit="1" customWidth="1"/>
  </cols>
  <sheetData>
    <row r="1" spans="1:17" x14ac:dyDescent="0.25">
      <c r="A1" s="4" t="s">
        <v>117</v>
      </c>
      <c r="B1" s="8" t="s">
        <v>5</v>
      </c>
      <c r="C1" s="8" t="s">
        <v>6</v>
      </c>
      <c r="D1" s="8" t="s">
        <v>12</v>
      </c>
      <c r="E1" s="4" t="s">
        <v>121</v>
      </c>
      <c r="F1" s="4" t="s">
        <v>7</v>
      </c>
      <c r="G1" s="4" t="s">
        <v>29</v>
      </c>
      <c r="H1" s="4" t="s">
        <v>26</v>
      </c>
      <c r="I1" s="4" t="s">
        <v>123</v>
      </c>
      <c r="J1" s="4" t="s">
        <v>113</v>
      </c>
    </row>
    <row r="2" spans="1:17" x14ac:dyDescent="0.25">
      <c r="A2" t="s">
        <v>83</v>
      </c>
      <c r="B2">
        <f ca="1">SUMIF('Expense Datas'!$C$2:$D$8,B1,'Expense Datas'!$D$2:$D$8)</f>
        <v>5870</v>
      </c>
      <c r="C2">
        <f ca="1">SUMIF('Expense Datas'!$C$2:$D$8,C1,'Expense Datas'!$D$2:$D$8)</f>
        <v>140</v>
      </c>
      <c r="D2">
        <f ca="1">SUMIF('Expense Datas'!$C$2:$D$8,D1,'Expense Datas'!$D$2:$D$8)</f>
        <v>0</v>
      </c>
      <c r="E2">
        <f ca="1">SUMIF('Expense Datas'!$C$2:$D$8,E1,'Expense Datas'!$D$2:$D$8)</f>
        <v>3200</v>
      </c>
      <c r="F2">
        <f ca="1">SUMIF('Expense Datas'!$C$2:$D$8,F1,'Expense Datas'!$D$2:$D$8)</f>
        <v>0</v>
      </c>
      <c r="G2">
        <f ca="1">SUMIF('Expense Datas'!$C$2:$D$8,G1,'Expense Datas'!$D$2:$D$8)</f>
        <v>0</v>
      </c>
      <c r="H2">
        <f ca="1">SUMIF('Expense Datas'!$C$2:$D$8,H1,'Expense Datas'!$D$2:$D$8)</f>
        <v>0</v>
      </c>
      <c r="I2">
        <f ca="1">SUMIF('Expense Datas'!$C$2:$D$8,I1,'Expense Datas'!$D$2:$D$8)</f>
        <v>80</v>
      </c>
      <c r="J2">
        <f t="shared" ref="J2:J21" ca="1" si="0">SUM(B2:I2)</f>
        <v>9290</v>
      </c>
    </row>
    <row r="3" spans="1:17" x14ac:dyDescent="0.25">
      <c r="A3" t="s">
        <v>84</v>
      </c>
      <c r="B3">
        <f ca="1">SUMIF('Expense Datas'!$C$9:$D$15,Expense!B1,'Expense Datas'!$D$9:$D$15)</f>
        <v>1430</v>
      </c>
      <c r="C3">
        <f ca="1">SUMIF('Expense Datas'!$C$9:$D$15,Expense!C1,'Expense Datas'!$D$9:$D$15)</f>
        <v>30</v>
      </c>
      <c r="D3">
        <f ca="1">SUMIF('Expense Datas'!$C$9:$D$15,Expense!D1,'Expense Datas'!$D$9:$D$15)</f>
        <v>4000</v>
      </c>
      <c r="E3">
        <f ca="1">SUMIF('Expense Datas'!$C$9:$D$15,Expense!E1,'Expense Datas'!$D$9:$D$15)</f>
        <v>600</v>
      </c>
      <c r="F3">
        <f ca="1">SUMIF('Expense Datas'!$C$9:$D$15,Expense!F1,'Expense Datas'!$D$9:$D$15)</f>
        <v>95</v>
      </c>
      <c r="G3">
        <f ca="1">SUMIF('Expense Datas'!$C$9:$D$15,Expense!G1,'Expense Datas'!$D$9:$D$15)</f>
        <v>0</v>
      </c>
      <c r="H3">
        <f ca="1">SUMIF('Expense Datas'!$C$9:$D$15,Expense!H1,'Expense Datas'!$D$9:$D$15)</f>
        <v>0</v>
      </c>
      <c r="I3">
        <f ca="1">SUMIF('Expense Datas'!$C$9:$D$15,Expense!I1,'Expense Datas'!$D$9:$D$15)</f>
        <v>180</v>
      </c>
      <c r="J3">
        <f t="shared" ca="1" si="0"/>
        <v>6335</v>
      </c>
    </row>
    <row r="4" spans="1:17" x14ac:dyDescent="0.25">
      <c r="A4" t="s">
        <v>85</v>
      </c>
      <c r="B4">
        <f ca="1">SUMIF('Expense Datas'!$C$16:$D$22,Expense!B1,'Expense Datas'!$D$16:$D$22)</f>
        <v>3100</v>
      </c>
      <c r="C4">
        <f ca="1">SUMIF('Expense Datas'!$C$16:$D$22,Expense!C1,'Expense Datas'!$D$16:$D$22)</f>
        <v>0</v>
      </c>
      <c r="D4">
        <f ca="1">SUMIF('Expense Datas'!$C$16:$D$22,Expense!D1,'Expense Datas'!$D$16:$D$22)</f>
        <v>0</v>
      </c>
      <c r="E4">
        <f ca="1">SUMIF('Expense Datas'!$C$16:$D$22,Expense!E1,'Expense Datas'!$D$16:$D$22)</f>
        <v>200</v>
      </c>
      <c r="F4">
        <f ca="1">SUMIF('Expense Datas'!$C$16:$D$22,Expense!F1,'Expense Datas'!$D$16:$D$22)</f>
        <v>10772</v>
      </c>
      <c r="G4">
        <f ca="1">SUMIF('Expense Datas'!$C$16:$D$22,Expense!G1,'Expense Datas'!$D$16:$D$22)</f>
        <v>0</v>
      </c>
      <c r="H4">
        <f ca="1">SUMIF('Expense Datas'!$C$16:$D$22,Expense!H1,'Expense Datas'!$D$16:$D$22)</f>
        <v>2000</v>
      </c>
      <c r="I4">
        <f ca="1">SUMIF('Expense Datas'!$C$16:$D$22,Expense!I1,'Expense Datas'!$D$16:$D$22)</f>
        <v>50</v>
      </c>
      <c r="J4">
        <f t="shared" ca="1" si="0"/>
        <v>16122</v>
      </c>
      <c r="L4" s="16" t="s">
        <v>9</v>
      </c>
      <c r="M4" s="17" t="s">
        <v>131</v>
      </c>
    </row>
    <row r="5" spans="1:17" x14ac:dyDescent="0.25">
      <c r="A5" t="s">
        <v>86</v>
      </c>
      <c r="B5">
        <f ca="1">SUMIF('Expense Datas'!$C$23:$D$29,Expense!B1,'Expense Datas'!$D$23:$D$29)</f>
        <v>1975</v>
      </c>
      <c r="C5">
        <f ca="1">SUMIF('Expense Datas'!$C$23:$D$29,Expense!C1,'Expense Datas'!$D$23:$D$29)</f>
        <v>1070</v>
      </c>
      <c r="D5">
        <f ca="1">SUMIF('Expense Datas'!$C$23:$D$29,Expense!D1,'Expense Datas'!$D$23:$D$29)</f>
        <v>0</v>
      </c>
      <c r="E5">
        <f ca="1">SUMIF('Expense Datas'!$C$23:$D$29,Expense!E1,'Expense Datas'!$D$23:$D$29)</f>
        <v>500</v>
      </c>
      <c r="F5">
        <f ca="1">SUMIF('Expense Datas'!$C$23:$D$29,Expense!F1,'Expense Datas'!$D$23:$D$29)</f>
        <v>560</v>
      </c>
      <c r="G5">
        <f ca="1">SUMIF('Expense Datas'!$C$23:$D$29,Expense!G1,'Expense Datas'!$D$23:$D$29)</f>
        <v>0</v>
      </c>
      <c r="H5">
        <f ca="1">SUMIF('Expense Datas'!$C$23:$D$29,Expense!H1,'Expense Datas'!$D$23:$D$29)</f>
        <v>0</v>
      </c>
      <c r="I5">
        <f ca="1">SUMIF('Expense Datas'!$C$23:$D$29,Expense!I1,'Expense Datas'!$D$23:$D$29)</f>
        <v>150</v>
      </c>
      <c r="J5">
        <f t="shared" ca="1" si="0"/>
        <v>4255</v>
      </c>
      <c r="L5" s="20" t="s">
        <v>5</v>
      </c>
      <c r="M5" s="21">
        <f ca="1">B22</f>
        <v>36095</v>
      </c>
    </row>
    <row r="6" spans="1:17" x14ac:dyDescent="0.25">
      <c r="A6" t="s">
        <v>87</v>
      </c>
      <c r="B6">
        <f ca="1">SUMIF('Expense Datas'!$C$30:$D32,Expense!B1,'Expense Datas'!$D$30:$D$32)</f>
        <v>0</v>
      </c>
      <c r="C6">
        <f ca="1">SUMIF('Expense Datas'!$C$30:$D32,Expense!C1,'Expense Datas'!$D$30:$D$32)</f>
        <v>1500</v>
      </c>
      <c r="D6">
        <f ca="1">SUMIF('Expense Datas'!$C$30:$D32,Expense!D1,'Expense Datas'!$D$30:$D$32)</f>
        <v>7000</v>
      </c>
      <c r="E6">
        <f ca="1">SUMIF('Expense Datas'!$C$30:$D32,Expense!E1,'Expense Datas'!$D$30:$D$32)</f>
        <v>0</v>
      </c>
      <c r="F6">
        <f ca="1">SUMIF('Expense Datas'!$C$30:$D32,Expense!F1,'Expense Datas'!$D$30:$D$32)</f>
        <v>440</v>
      </c>
      <c r="G6">
        <f ca="1">SUMIF('Expense Datas'!$C$30:$D32,Expense!G1,'Expense Datas'!$D$30:$D$32)</f>
        <v>0</v>
      </c>
      <c r="H6">
        <f ca="1">SUMIF('Expense Datas'!$C$30:$D32,Expense!H1,'Expense Datas'!$D$30:$D$32)</f>
        <v>0</v>
      </c>
      <c r="I6">
        <f ca="1">SUMIF('Expense Datas'!$C$30:$D32,Expense!I1,'Expense Datas'!$D$30:$D$32)</f>
        <v>0</v>
      </c>
      <c r="J6">
        <f t="shared" ca="1" si="0"/>
        <v>8940</v>
      </c>
      <c r="L6" s="20" t="s">
        <v>6</v>
      </c>
      <c r="M6" s="21">
        <f ca="1">C22</f>
        <v>7250</v>
      </c>
    </row>
    <row r="7" spans="1:17" x14ac:dyDescent="0.25">
      <c r="A7" t="s">
        <v>88</v>
      </c>
      <c r="B7">
        <f ca="1">SUMIF('Expense Datas'!$C$33:$D$39,Expense!B1,'Expense Datas'!$D$33:$D$39)</f>
        <v>3600</v>
      </c>
      <c r="C7">
        <f ca="1">SUMIF('Expense Datas'!$C$33:$D$39,Expense!C1,'Expense Datas'!$D$33:$D$39)</f>
        <v>0</v>
      </c>
      <c r="D7">
        <f ca="1">SUMIF('Expense Datas'!$C$33:$D$39,Expense!D1,'Expense Datas'!$D$33:$D$39)</f>
        <v>0</v>
      </c>
      <c r="E7">
        <f ca="1">SUMIF('Expense Datas'!$C$33:$D$39,Expense!E1,'Expense Datas'!$D$33:$D$39)</f>
        <v>1500</v>
      </c>
      <c r="F7">
        <f ca="1">SUMIF('Expense Datas'!$C$33:$D$39,Expense!F1,'Expense Datas'!$D$33:$D$39)</f>
        <v>335</v>
      </c>
      <c r="G7">
        <f ca="1">SUMIF('Expense Datas'!$C$33:$D$39,Expense!G1,'Expense Datas'!$D$33:$D$39)</f>
        <v>0</v>
      </c>
      <c r="H7">
        <f ca="1">SUMIF('Expense Datas'!$C$33:$D$39,Expense!H1,'Expense Datas'!$D$33:$D$39)</f>
        <v>0</v>
      </c>
      <c r="I7">
        <f ca="1">SUMIF('Expense Datas'!$C$33:$D$39,Expense!I1,'Expense Datas'!$D$33:$D$39)</f>
        <v>1250</v>
      </c>
      <c r="J7">
        <f t="shared" ca="1" si="0"/>
        <v>6685</v>
      </c>
      <c r="L7" s="20" t="s">
        <v>12</v>
      </c>
      <c r="M7" s="21">
        <f ca="1">D22</f>
        <v>43670</v>
      </c>
    </row>
    <row r="8" spans="1:17" x14ac:dyDescent="0.25">
      <c r="A8" t="s">
        <v>89</v>
      </c>
      <c r="B8">
        <f ca="1">SUMIF('Expense Datas'!$C$40:$D$46,Expense!B1,'Expense Datas'!$D$40:$D$46)</f>
        <v>300</v>
      </c>
      <c r="C8">
        <f ca="1">SUMIF('Expense Datas'!$C$40:$D$46,Expense!C1,'Expense Datas'!$D$40:$D$46)</f>
        <v>200</v>
      </c>
      <c r="D8">
        <f ca="1">SUMIF('Expense Datas'!$C$40:$D$46,Expense!D1,'Expense Datas'!$D$40:$D$46)</f>
        <v>3100</v>
      </c>
      <c r="E8">
        <f ca="1">SUMIF('Expense Datas'!$C$40:$D$46,Expense!E1,'Expense Datas'!$D$40:$D$46)</f>
        <v>0</v>
      </c>
      <c r="F8">
        <f ca="1">SUMIF('Expense Datas'!$C$40:$D$46,Expense!F1,'Expense Datas'!$D$40:$D$46)</f>
        <v>240</v>
      </c>
      <c r="G8">
        <f ca="1">SUMIF('Expense Datas'!$C$40:$D$46,Expense!G1,'Expense Datas'!$D$40:$D$46)</f>
        <v>500</v>
      </c>
      <c r="H8">
        <f ca="1">SUMIF('Expense Datas'!$C$40:$D$46,Expense!H1,'Expense Datas'!$D$40:$D$46)</f>
        <v>0</v>
      </c>
      <c r="I8">
        <f ca="1">SUMIF('Expense Datas'!$C$40:$D$46,Expense!I1,'Expense Datas'!$D$40:$D$46)</f>
        <v>50</v>
      </c>
      <c r="J8">
        <f t="shared" ca="1" si="0"/>
        <v>4390</v>
      </c>
      <c r="L8" s="20" t="s">
        <v>121</v>
      </c>
      <c r="M8" s="21">
        <f ca="1">E22</f>
        <v>19400</v>
      </c>
    </row>
    <row r="9" spans="1:17" x14ac:dyDescent="0.25">
      <c r="A9" t="s">
        <v>90</v>
      </c>
      <c r="B9">
        <f ca="1">SUMIF('Expense Datas'!$C$47:$D$53,Expense!B1,'Expense Datas'!$D$47:$D$53)</f>
        <v>1900</v>
      </c>
      <c r="C9">
        <f ca="1">SUMIF('Expense Datas'!$C$47:$D$53,Expense!C1,'Expense Datas'!$D$47:$D$53)</f>
        <v>0</v>
      </c>
      <c r="D9">
        <f ca="1">SUMIF('Expense Datas'!$C$47:$D$53,Expense!D1,'Expense Datas'!$D$47:$D$53)</f>
        <v>0</v>
      </c>
      <c r="E9">
        <f ca="1">SUMIF('Expense Datas'!$C$47:$D$53,Expense!E1,'Expense Datas'!$D$47:$D$53)</f>
        <v>100</v>
      </c>
      <c r="F9">
        <f ca="1">SUMIF('Expense Datas'!$C$47:$D$53,Expense!F1,'Expense Datas'!$D$47:$D$53)</f>
        <v>3055</v>
      </c>
      <c r="G9">
        <f ca="1">SUMIF('Expense Datas'!$C$47:$D$53,Expense!G1,'Expense Datas'!$D$47:$D$53)</f>
        <v>0</v>
      </c>
      <c r="H9">
        <f ca="1">SUMIF('Expense Datas'!$C$47:$D$53,Expense!H1,'Expense Datas'!$D$47:$D$53)</f>
        <v>0</v>
      </c>
      <c r="I9">
        <f ca="1">SUMIF('Expense Datas'!$C$47:$D$53,Expense!I1,'Expense Datas'!$D$47:$D$53)</f>
        <v>250</v>
      </c>
      <c r="J9">
        <f t="shared" ca="1" si="0"/>
        <v>5305</v>
      </c>
      <c r="L9" s="20" t="s">
        <v>29</v>
      </c>
      <c r="M9" s="21">
        <f ca="1">G22</f>
        <v>5000</v>
      </c>
      <c r="Q9" s="14"/>
    </row>
    <row r="10" spans="1:17" x14ac:dyDescent="0.25">
      <c r="A10" t="s">
        <v>91</v>
      </c>
      <c r="B10">
        <f ca="1">SUMIF('Expense Datas'!$C$54:$D$60,Expense!B1,'Expense Datas'!$D$54:$D$60)</f>
        <v>150</v>
      </c>
      <c r="C10">
        <f ca="1">SUMIF('Expense Datas'!$C$54:$D$60,Expense!C1,'Expense Datas'!$D$54:$D$60)</f>
        <v>1000</v>
      </c>
      <c r="D10">
        <f ca="1">SUMIF('Expense Datas'!$C$54:$D$60,Expense!D1,'Expense Datas'!$D$54:$D$60)</f>
        <v>5000</v>
      </c>
      <c r="E10">
        <f ca="1">SUMIF('Expense Datas'!$C$54:$D$60,Expense!E1,'Expense Datas'!$D$54:$D$60)</f>
        <v>1800</v>
      </c>
      <c r="F10">
        <f ca="1">SUMIF('Expense Datas'!$C$54:$D$60,Expense!F1,'Expense Datas'!$D$54:$D$60)</f>
        <v>50</v>
      </c>
      <c r="G10">
        <f ca="1">SUMIF('Expense Datas'!$C$54:$D$60,Expense!G1,'Expense Datas'!$D$54:$D$60)</f>
        <v>0</v>
      </c>
      <c r="H10">
        <f ca="1">SUMIF('Expense Datas'!$C$54:$D$60,Expense!H1,'Expense Datas'!$D$54:$D$60)</f>
        <v>0</v>
      </c>
      <c r="I10">
        <f ca="1">SUMIF('Expense Datas'!$C$54:$D$60,Expense!I1,'Expense Datas'!$D$54:$D$60)</f>
        <v>125</v>
      </c>
      <c r="J10">
        <f t="shared" ca="1" si="0"/>
        <v>8125</v>
      </c>
      <c r="L10" s="20" t="s">
        <v>26</v>
      </c>
      <c r="M10" s="21">
        <f ca="1">H22</f>
        <v>36900</v>
      </c>
    </row>
    <row r="11" spans="1:17" x14ac:dyDescent="0.25">
      <c r="A11" t="s">
        <v>92</v>
      </c>
      <c r="B11">
        <f ca="1">SUMIF('Expense Datas'!$C$61:$D$62,Expense!B1,'Expense Datas'!$D$61:$D$62)</f>
        <v>0</v>
      </c>
      <c r="C11">
        <f ca="1">SUMIF('Expense Datas'!$C$61:$D$62,Expense!C1,'Expense Datas'!$D$61:$D$62)</f>
        <v>0</v>
      </c>
      <c r="D11">
        <f ca="1">SUMIF('Expense Datas'!$C$61:$D$62,Expense!D1,'Expense Datas'!$D$61:$D$62)</f>
        <v>2200</v>
      </c>
      <c r="E11">
        <f ca="1">SUMIF('Expense Datas'!$C$61:$D$62,Expense!E1,'Expense Datas'!$D$61:$D$62)</f>
        <v>0</v>
      </c>
      <c r="F11">
        <f ca="1">SUMIF('Expense Datas'!$C$61:$D$62,Expense!F1,'Expense Datas'!$D$61:$D$62)</f>
        <v>650</v>
      </c>
      <c r="G11">
        <f ca="1">SUMIF('Expense Datas'!$C$61:$D$62,Expense!G1,'Expense Datas'!$D$61:$D$62)</f>
        <v>0</v>
      </c>
      <c r="H11">
        <f ca="1">SUMIF('Expense Datas'!$C$61:$D$62,Expense!H1,'Expense Datas'!$D$61:$D$62)</f>
        <v>0</v>
      </c>
      <c r="I11">
        <f ca="1">SUMIF('Expense Datas'!$C$61:$D$62,Expense!I1,'Expense Datas'!$D$61:$D$62)</f>
        <v>0</v>
      </c>
      <c r="J11">
        <f t="shared" ca="1" si="0"/>
        <v>2850</v>
      </c>
      <c r="L11" s="20" t="s">
        <v>123</v>
      </c>
      <c r="M11" s="21">
        <f ca="1">I22</f>
        <v>6545</v>
      </c>
    </row>
    <row r="12" spans="1:17" x14ac:dyDescent="0.25">
      <c r="A12" t="s">
        <v>93</v>
      </c>
      <c r="B12">
        <f ca="1">SUMIF('Expense Datas'!$C$63:$D$69,Expense!B1,'Expense Datas'!$D$63:$D$69)</f>
        <v>0</v>
      </c>
      <c r="C12">
        <f ca="1">SUMIF('Expense Datas'!$C$63:$D$69,Expense!C1,'Expense Datas'!$D$63:$D$69)</f>
        <v>200</v>
      </c>
      <c r="D12">
        <f ca="1">SUMIF('Expense Datas'!$C$63:$D$69,Expense!D1,'Expense Datas'!$D$63:$D$69)</f>
        <v>0</v>
      </c>
      <c r="E12">
        <f ca="1">SUMIF('Expense Datas'!$C$63:$D$69,Expense!E1,'Expense Datas'!$D$63:$D$69)</f>
        <v>1300</v>
      </c>
      <c r="F12">
        <f ca="1">SUMIF('Expense Datas'!$C$63:$D$69,Expense!F1,'Expense Datas'!$D$63:$D$69)</f>
        <v>5519</v>
      </c>
      <c r="G12">
        <f ca="1">SUMIF('Expense Datas'!$C$63:$D$69,Expense!G1,'Expense Datas'!$D$63:$D$69)</f>
        <v>0</v>
      </c>
      <c r="H12">
        <f ca="1">SUMIF('Expense Datas'!$C$63:$D$69,Expense!H1,'Expense Datas'!$D$63:$D$69)</f>
        <v>0</v>
      </c>
      <c r="I12">
        <f ca="1">SUMIF('Expense Datas'!$C$63:$D$69,Expense!I1,'Expense Datas'!$D$63:$D$69)</f>
        <v>100</v>
      </c>
      <c r="J12">
        <f t="shared" ca="1" si="0"/>
        <v>7119</v>
      </c>
      <c r="L12" s="22" t="s">
        <v>7</v>
      </c>
      <c r="M12" s="21">
        <f ca="1">F22</f>
        <v>31891</v>
      </c>
    </row>
    <row r="13" spans="1:17" x14ac:dyDescent="0.25">
      <c r="A13" t="s">
        <v>94</v>
      </c>
      <c r="B13">
        <f ca="1">SUMIF('Expense Datas'!$C$70:$D$76,Expense!B1,'Expense Datas'!$D$70:$D$76)</f>
        <v>0</v>
      </c>
      <c r="C13">
        <f ca="1">SUMIF('Expense Datas'!$C$70:$D$76,Expense!C1,'Expense Datas'!$D$70:$D$76)</f>
        <v>160</v>
      </c>
      <c r="D13">
        <f ca="1">SUMIF('Expense Datas'!$C$70:$D$76,Expense!D1,'Expense Datas'!$D$70:$D$76)</f>
        <v>4000</v>
      </c>
      <c r="E13">
        <f ca="1">SUMIF('Expense Datas'!$C$70:$D$76,Expense!E1,'Expense Datas'!$D$70:$D$76)</f>
        <v>0</v>
      </c>
      <c r="F13">
        <f ca="1">SUMIF('Expense Datas'!$C$70:$D$76,Expense!F1,'Expense Datas'!$D$70:$D$76)</f>
        <v>300</v>
      </c>
      <c r="G13">
        <f ca="1">SUMIF('Expense Datas'!$C$70:$D$76,Expense!G1,'Expense Datas'!$D$70:$D$76)</f>
        <v>0</v>
      </c>
      <c r="H13">
        <f ca="1">SUMIF('Expense Datas'!$C$70:$D$76,Expense!H1,'Expense Datas'!$D$70:$D$76)</f>
        <v>0</v>
      </c>
      <c r="I13">
        <f ca="1">SUMIF('Expense Datas'!$C$70:$D$76,Expense!I1,'Expense Datas'!$D$70:$D$76)</f>
        <v>150</v>
      </c>
      <c r="J13">
        <f t="shared" ca="1" si="0"/>
        <v>4610</v>
      </c>
      <c r="L13" s="18"/>
      <c r="M13" s="19"/>
    </row>
    <row r="14" spans="1:17" x14ac:dyDescent="0.25">
      <c r="A14" t="s">
        <v>95</v>
      </c>
      <c r="B14">
        <f ca="1">SUMIF('Expense Datas'!$C$77:$D$83,Expense!B1,'Expense Datas'!$D$77:$D$83)</f>
        <v>5150</v>
      </c>
      <c r="C14">
        <f ca="1">SUMIF('Expense Datas'!$C$77:$D$83,Expense!C1,'Expense Datas'!$D$77:$D$83)</f>
        <v>0</v>
      </c>
      <c r="D14">
        <f ca="1">SUMIF('Expense Datas'!$C$77:$D$83,Expense!D1,'Expense Datas'!$D$77:$D$83)</f>
        <v>1370</v>
      </c>
      <c r="E14">
        <f ca="1">SUMIF('Expense Datas'!$C$77:$D$83,Expense!E1,'Expense Datas'!$D$77:$D$83)</f>
        <v>0</v>
      </c>
      <c r="F14">
        <f ca="1">SUMIF('Expense Datas'!$C$77:$D$83,Expense!F1,'Expense Datas'!$D$77:$D$83)</f>
        <v>45</v>
      </c>
      <c r="G14">
        <f ca="1">SUMIF('Expense Datas'!$C$77:$D$83,Expense!G1,'Expense Datas'!$D$77:$D$83)</f>
        <v>0</v>
      </c>
      <c r="H14">
        <f ca="1">SUMIF('Expense Datas'!$C$77:$D$83,Expense!H1,'Expense Datas'!$D$77:$D$83)</f>
        <v>0</v>
      </c>
      <c r="I14">
        <f ca="1">SUMIF('Expense Datas'!$C$77:$D$83,Expense!I1,'Expense Datas'!$D$77:$D$83)</f>
        <v>2160</v>
      </c>
      <c r="J14">
        <f t="shared" ca="1" si="0"/>
        <v>8725</v>
      </c>
    </row>
    <row r="15" spans="1:17" x14ac:dyDescent="0.25">
      <c r="A15" t="s">
        <v>96</v>
      </c>
      <c r="B15">
        <f ca="1">SUMIF('Expense Datas'!$C$84:$D$90,Expense!B1,'Expense Datas'!$D$84:$D$90)</f>
        <v>5020</v>
      </c>
      <c r="C15">
        <f ca="1">SUMIF('Expense Datas'!$C$84:$D$90,Expense!C1,'Expense Datas'!$D$84:$D$90)</f>
        <v>1300</v>
      </c>
      <c r="D15">
        <f ca="1">SUMIF('Expense Datas'!$C$84:$D$90,Expense!D1,'Expense Datas'!$D$84:$D$90)</f>
        <v>5000</v>
      </c>
      <c r="E15">
        <f ca="1">SUMIF('Expense Datas'!$C$84:$D$90,Expense!E1,'Expense Datas'!$D$84:$D$90)</f>
        <v>1500</v>
      </c>
      <c r="F15">
        <f ca="1">SUMIF('Expense Datas'!$C$84:$D$90,Expense!F1,'Expense Datas'!$D$84:$D$90)</f>
        <v>400</v>
      </c>
      <c r="G15">
        <f ca="1">SUMIF('Expense Datas'!$C$84:$D$90,Expense!G1,'Expense Datas'!$D$84:$D$90)</f>
        <v>3000</v>
      </c>
      <c r="H15">
        <f ca="1">SUMIF('Expense Datas'!$C$84:$D$90,Expense!H1,'Expense Datas'!$D$84:$D$90)</f>
        <v>4000</v>
      </c>
      <c r="I15">
        <f ca="1">SUMIF('Expense Datas'!$C$84:$D$90,Expense!I1,'Expense Datas'!$D$84:$D$90)</f>
        <v>0</v>
      </c>
      <c r="J15">
        <f t="shared" ca="1" si="0"/>
        <v>20220</v>
      </c>
    </row>
    <row r="16" spans="1:17" x14ac:dyDescent="0.25">
      <c r="A16" t="s">
        <v>97</v>
      </c>
      <c r="B16">
        <f ca="1">SUMIF('Expense Datas'!$C$91:$D$93,Expense!B1,'Expense Datas'!$D$91:$D$93)</f>
        <v>400</v>
      </c>
      <c r="C16">
        <f ca="1">SUMIF('Expense Datas'!$C$91:$D$93,Expense!C1,'Expense Datas'!$D$91:$D$93)</f>
        <v>50</v>
      </c>
      <c r="D16">
        <f ca="1">SUMIF('Expense Datas'!$C$91:$D$93,Expense!D1,'Expense Datas'!$D$91:$D$93)</f>
        <v>1500</v>
      </c>
      <c r="E16">
        <f ca="1">SUMIF('Expense Datas'!$C$91:$D$93,Expense!E1,'Expense Datas'!$D$91:$D$93)</f>
        <v>0</v>
      </c>
      <c r="F16">
        <f ca="1">SUMIF('Expense Datas'!$C$91:$D$93,Expense!F1,'Expense Datas'!$D$91:$D$93)</f>
        <v>0</v>
      </c>
      <c r="G16">
        <f ca="1">SUMIF('Expense Datas'!$C$91:$D$93,Expense!G1,'Expense Datas'!$D$91:$D$93)</f>
        <v>0</v>
      </c>
      <c r="H16">
        <f ca="1">SUMIF('Expense Datas'!$C$91:$D$93,Expense!H1,'Expense Datas'!$D$91:$D$93)</f>
        <v>0</v>
      </c>
      <c r="I16">
        <f ca="1">SUMIF('Expense Datas'!$C$91:$D$93,Expense!I1,'Expense Datas'!$D$91:$D$93)</f>
        <v>0</v>
      </c>
      <c r="J16">
        <f t="shared" ca="1" si="0"/>
        <v>1950</v>
      </c>
    </row>
    <row r="17" spans="1:13" x14ac:dyDescent="0.25">
      <c r="A17" t="s">
        <v>98</v>
      </c>
      <c r="B17">
        <f ca="1">SUMIF('Expense Datas'!$C$94:$D$100,Expense!B1,'Expense Datas'!$D$94:$D$100)</f>
        <v>1700</v>
      </c>
      <c r="C17">
        <f ca="1">SUMIF('Expense Datas'!$C$94:$D$100,Expense!C1,'Expense Datas'!$D$94:$D$100)</f>
        <v>200</v>
      </c>
      <c r="D17">
        <f ca="1">SUMIF('Expense Datas'!$C$94:$D$100,Expense!D1,'Expense Datas'!$D$94:$D$100)</f>
        <v>7500</v>
      </c>
      <c r="E17">
        <f ca="1">SUMIF('Expense Datas'!$C$94:$D$100,Expense!E1,'Expense Datas'!$D$94:$D$100)</f>
        <v>1500</v>
      </c>
      <c r="F17">
        <f ca="1">SUMIF('Expense Datas'!$C$94:$D$100,Expense!F1,'Expense Datas'!$D$94:$D$100)</f>
        <v>4030</v>
      </c>
      <c r="G17">
        <f ca="1">SUMIF('Expense Datas'!$C$94:$D$100,Expense!G1,'Expense Datas'!$D$94:$D$100)</f>
        <v>0</v>
      </c>
      <c r="H17">
        <f ca="1">SUMIF('Expense Datas'!$C$94:$D$100,Expense!H1,'Expense Datas'!$D$94:$D$100)</f>
        <v>25000</v>
      </c>
      <c r="I17">
        <f ca="1">SUMIF('Expense Datas'!$C$94:$D$100,Expense!I1,'Expense Datas'!$D$94:$D$100)</f>
        <v>0</v>
      </c>
      <c r="J17">
        <f t="shared" ca="1" si="0"/>
        <v>39930</v>
      </c>
    </row>
    <row r="18" spans="1:13" x14ac:dyDescent="0.25">
      <c r="A18" t="s">
        <v>99</v>
      </c>
      <c r="B18">
        <f ca="1">SUMIF('Expense Datas'!$C$101:$D$107,Expense!B1,'Expense Datas'!$D$101:$D$107)</f>
        <v>3000</v>
      </c>
      <c r="C18">
        <f ca="1">SUMIF('Expense Datas'!$C$101:$D$107,Expense!C1,'Expense Datas'!$D$101:$D$107)</f>
        <v>400</v>
      </c>
      <c r="D18">
        <f ca="1">SUMIF('Expense Datas'!$C$101:$D$107,Expense!D1,'Expense Datas'!$D$101:$D$107)</f>
        <v>0</v>
      </c>
      <c r="E18">
        <f ca="1">SUMIF('Expense Datas'!$C$101:$D$107,Expense!E1,'Expense Datas'!$D$101:$D$107)</f>
        <v>0</v>
      </c>
      <c r="F18">
        <f ca="1">SUMIF('Expense Datas'!$C$101:$D$107,Expense!F1,'Expense Datas'!$D$101:$D$107)</f>
        <v>200</v>
      </c>
      <c r="G18">
        <f ca="1">SUMIF('Expense Datas'!$C$101:$D$107,Expense!G1,'Expense Datas'!$D$101:$D$107)</f>
        <v>1000</v>
      </c>
      <c r="H18">
        <f ca="1">SUMIF('Expense Datas'!$C$101:$D$107,Expense!H1,'Expense Datas'!$D$101:$D$107)</f>
        <v>5000</v>
      </c>
      <c r="I18">
        <f ca="1">SUMIF('Expense Datas'!$C$101:$D$107,Expense!I1,'Expense Datas'!$D$101:$D$107)</f>
        <v>700</v>
      </c>
      <c r="J18">
        <f t="shared" ca="1" si="0"/>
        <v>10300</v>
      </c>
    </row>
    <row r="19" spans="1:13" x14ac:dyDescent="0.25">
      <c r="A19" t="s">
        <v>108</v>
      </c>
      <c r="B19">
        <f ca="1">SUMIF('Expense Datas'!$C$108:$D$114,Expense!B1,'Expense Datas'!$D$108:$D$114)</f>
        <v>500</v>
      </c>
      <c r="C19">
        <f ca="1">SUMIF('Expense Datas'!$C$108:$D$114,Expense!C1,'Expense Datas'!$D$108:$D$114)</f>
        <v>0</v>
      </c>
      <c r="D19">
        <f ca="1">SUMIF('Expense Datas'!$C$108:$D$114,Expense!D1,'Expense Datas'!$D$108:$D$114)</f>
        <v>3000</v>
      </c>
      <c r="E19">
        <f ca="1">SUMIF('Expense Datas'!$C$108:$D$114,Expense!E1,'Expense Datas'!$D$108:$D$114)</f>
        <v>800</v>
      </c>
      <c r="F19">
        <f ca="1">SUMIF('Expense Datas'!$C$108:$D$114,Expense!F1,'Expense Datas'!$D$108:$D$114)</f>
        <v>1500</v>
      </c>
      <c r="G19">
        <f ca="1">SUMIF('Expense Datas'!$C$108:$D$114,Expense!G1,'Expense Datas'!$D$108:$D$114)</f>
        <v>0</v>
      </c>
      <c r="H19">
        <f ca="1">SUMIF('Expense Datas'!$C$108:$D$114,Expense!H1,'Expense Datas'!$D$108:$D$114)</f>
        <v>0</v>
      </c>
      <c r="I19">
        <f ca="1">SUMIF('Expense Datas'!$C$108:$D$114,Expense!I1,'Expense Datas'!$D$108:$D$114)</f>
        <v>700</v>
      </c>
      <c r="J19">
        <f t="shared" ca="1" si="0"/>
        <v>6500</v>
      </c>
    </row>
    <row r="20" spans="1:13" x14ac:dyDescent="0.25">
      <c r="A20" t="s">
        <v>109</v>
      </c>
      <c r="B20">
        <f ca="1">SUMIF('Expense Datas'!$C$115:$D$121,Expense!B1,'Expense Datas'!$D$115:$D$121)</f>
        <v>2000</v>
      </c>
      <c r="C20">
        <f ca="1">SUMIF('Expense Datas'!$C$115:$D$121,Expense!C1,'Expense Datas'!$D$115:$D$121)</f>
        <v>1000</v>
      </c>
      <c r="D20">
        <f ca="1">SUMIF('Expense Datas'!$C$115:$D$121,Expense!D1,'Expense Datas'!$D$115:$D$121)</f>
        <v>0</v>
      </c>
      <c r="E20">
        <f ca="1">SUMIF('Expense Datas'!$C$115:$D$121,Expense!E1,'Expense Datas'!$D$115:$D$121)</f>
        <v>6000</v>
      </c>
      <c r="F20">
        <f ca="1">SUMIF('Expense Datas'!$C$115:$D$121,Expense!F1,'Expense Datas'!$D$115:$D$121)</f>
        <v>3700</v>
      </c>
      <c r="G20">
        <f ca="1">SUMIF('Expense Datas'!$C$115:$D$121,Expense!G1,'Expense Datas'!$D$115:$D$121)</f>
        <v>500</v>
      </c>
      <c r="H20">
        <f ca="1">SUMIF('Expense Datas'!$C$115:$D$121,Expense!H1,'Expense Datas'!$D$115:$D$121)</f>
        <v>900</v>
      </c>
      <c r="I20">
        <f ca="1">SUMIF('Expense Datas'!$C$115:$D$121,Expense!I1,'Expense Datas'!$D$115:$D$121)</f>
        <v>0</v>
      </c>
      <c r="J20">
        <f t="shared" ca="1" si="0"/>
        <v>14100</v>
      </c>
    </row>
    <row r="21" spans="1:13" x14ac:dyDescent="0.25">
      <c r="A21" t="s">
        <v>110</v>
      </c>
      <c r="B21">
        <f ca="1">SUMIF('Expense Datas'!$C$122:$D$123,Expense!B1,'Expense Datas'!$D$122:$D$123)</f>
        <v>0</v>
      </c>
      <c r="C21">
        <f ca="1">SUMIF('Expense Datas'!$C$122:$D$123,Expense!C1,'Expense Datas'!$D$122:$D$123)</f>
        <v>0</v>
      </c>
      <c r="D21">
        <f ca="1">SUMIF('Expense Datas'!$C$122:$D$123,Expense!D1,'Expense Datas'!$D$122:$D$123)</f>
        <v>0</v>
      </c>
      <c r="E21">
        <f ca="1">SUMIF('Expense Datas'!$C$122:$D$123,Expense!E1,'Expense Datas'!$D$122:$D$123)</f>
        <v>400</v>
      </c>
      <c r="F21">
        <f ca="1">SUMIF('Expense Datas'!$C$122:$D$123,Expense!F1,'Expense Datas'!$D$122:$D$123)</f>
        <v>0</v>
      </c>
      <c r="G21">
        <f ca="1">SUMIF('Expense Datas'!$C$122:$D$123,Expense!G1,'Expense Datas'!$D$122:$D$123)</f>
        <v>0</v>
      </c>
      <c r="H21">
        <f ca="1">SUMIF('Expense Datas'!$C$122:$D$123,Expense!H1,'Expense Datas'!$D$122:$D$123)</f>
        <v>0</v>
      </c>
      <c r="I21">
        <f ca="1">SUMIF('Expense Datas'!$C$122:$D$123,Expense!I1,'Expense Datas'!$D$122:$D$123)</f>
        <v>600</v>
      </c>
      <c r="J21">
        <f t="shared" ca="1" si="0"/>
        <v>1000</v>
      </c>
    </row>
    <row r="22" spans="1:13" ht="18.75" x14ac:dyDescent="0.3">
      <c r="A22" s="7" t="s">
        <v>101</v>
      </c>
      <c r="B22" s="7">
        <f t="shared" ref="B22:J22" ca="1" si="1">SUM(B2:B21)</f>
        <v>36095</v>
      </c>
      <c r="C22" s="7">
        <f t="shared" ca="1" si="1"/>
        <v>7250</v>
      </c>
      <c r="D22" s="7">
        <f t="shared" ca="1" si="1"/>
        <v>43670</v>
      </c>
      <c r="E22" s="7">
        <f t="shared" ca="1" si="1"/>
        <v>19400</v>
      </c>
      <c r="F22" s="7">
        <f t="shared" ca="1" si="1"/>
        <v>31891</v>
      </c>
      <c r="G22" s="7">
        <f t="shared" ca="1" si="1"/>
        <v>5000</v>
      </c>
      <c r="H22" s="7">
        <f t="shared" ca="1" si="1"/>
        <v>36900</v>
      </c>
      <c r="I22" s="7">
        <f t="shared" ca="1" si="1"/>
        <v>6545</v>
      </c>
      <c r="J22" s="7">
        <f t="shared" ca="1" si="1"/>
        <v>186751</v>
      </c>
    </row>
    <row r="23" spans="1:13" x14ac:dyDescent="0.25">
      <c r="J23" s="4"/>
    </row>
    <row r="27" spans="1:13" x14ac:dyDescent="0.25">
      <c r="C27" s="5" t="s">
        <v>100</v>
      </c>
      <c r="D27" t="s">
        <v>114</v>
      </c>
      <c r="E27" t="s">
        <v>115</v>
      </c>
      <c r="F27" t="s">
        <v>102</v>
      </c>
      <c r="G27" t="s">
        <v>103</v>
      </c>
      <c r="H27" t="s">
        <v>104</v>
      </c>
      <c r="I27" t="s">
        <v>105</v>
      </c>
      <c r="J27" t="s">
        <v>106</v>
      </c>
      <c r="K27" t="s">
        <v>124</v>
      </c>
      <c r="L27" t="s">
        <v>107</v>
      </c>
      <c r="M27" t="s">
        <v>116</v>
      </c>
    </row>
    <row r="28" spans="1:13" x14ac:dyDescent="0.25">
      <c r="C28" s="6" t="s">
        <v>101</v>
      </c>
      <c r="D28">
        <v>7250</v>
      </c>
      <c r="E28">
        <v>36095</v>
      </c>
      <c r="F28">
        <v>43670</v>
      </c>
      <c r="G28">
        <v>11200</v>
      </c>
      <c r="H28">
        <v>31891</v>
      </c>
      <c r="I28">
        <v>5000</v>
      </c>
      <c r="J28">
        <v>36900</v>
      </c>
      <c r="K28">
        <v>6545</v>
      </c>
      <c r="L28">
        <v>8200</v>
      </c>
      <c r="M28">
        <v>186751</v>
      </c>
    </row>
    <row r="29" spans="1:13" x14ac:dyDescent="0.25">
      <c r="C29" s="6" t="s">
        <v>92</v>
      </c>
      <c r="D29">
        <v>0</v>
      </c>
      <c r="E29">
        <v>0</v>
      </c>
      <c r="F29">
        <v>2200</v>
      </c>
      <c r="G29">
        <v>0</v>
      </c>
      <c r="H29">
        <v>650</v>
      </c>
      <c r="I29">
        <v>0</v>
      </c>
      <c r="J29">
        <v>0</v>
      </c>
      <c r="K29">
        <v>0</v>
      </c>
      <c r="L29">
        <v>0</v>
      </c>
      <c r="M29">
        <v>2850</v>
      </c>
    </row>
    <row r="30" spans="1:13" x14ac:dyDescent="0.25">
      <c r="C30" s="6" t="s">
        <v>98</v>
      </c>
      <c r="D30">
        <v>200</v>
      </c>
      <c r="E30">
        <v>1700</v>
      </c>
      <c r="F30">
        <v>7500</v>
      </c>
      <c r="G30">
        <v>1500</v>
      </c>
      <c r="H30">
        <v>4030</v>
      </c>
      <c r="I30">
        <v>0</v>
      </c>
      <c r="J30">
        <v>25000</v>
      </c>
      <c r="K30">
        <v>0</v>
      </c>
      <c r="L30">
        <v>0</v>
      </c>
      <c r="M30">
        <v>39930</v>
      </c>
    </row>
    <row r="31" spans="1:13" x14ac:dyDescent="0.25">
      <c r="C31" s="6" t="s">
        <v>99</v>
      </c>
      <c r="D31">
        <v>400</v>
      </c>
      <c r="E31">
        <v>3000</v>
      </c>
      <c r="F31">
        <v>0</v>
      </c>
      <c r="G31">
        <v>0</v>
      </c>
      <c r="H31">
        <v>200</v>
      </c>
      <c r="I31">
        <v>1000</v>
      </c>
      <c r="J31">
        <v>5000</v>
      </c>
      <c r="K31">
        <v>700</v>
      </c>
      <c r="L31">
        <v>0</v>
      </c>
      <c r="M31">
        <v>10300</v>
      </c>
    </row>
    <row r="32" spans="1:13" x14ac:dyDescent="0.25">
      <c r="C32" s="6" t="s">
        <v>108</v>
      </c>
      <c r="D32">
        <v>0</v>
      </c>
      <c r="E32">
        <v>500</v>
      </c>
      <c r="F32">
        <v>3000</v>
      </c>
      <c r="G32">
        <v>800</v>
      </c>
      <c r="H32">
        <v>1500</v>
      </c>
      <c r="I32">
        <v>0</v>
      </c>
      <c r="J32">
        <v>0</v>
      </c>
      <c r="K32">
        <v>700</v>
      </c>
      <c r="L32">
        <v>0</v>
      </c>
      <c r="M32">
        <v>6500</v>
      </c>
    </row>
    <row r="33" spans="3:13" x14ac:dyDescent="0.25">
      <c r="C33" s="6" t="s">
        <v>109</v>
      </c>
      <c r="D33">
        <v>1000</v>
      </c>
      <c r="E33">
        <v>2000</v>
      </c>
      <c r="F33">
        <v>0</v>
      </c>
      <c r="G33">
        <v>0</v>
      </c>
      <c r="H33">
        <v>3700</v>
      </c>
      <c r="I33">
        <v>500</v>
      </c>
      <c r="J33">
        <v>900</v>
      </c>
      <c r="K33">
        <v>0</v>
      </c>
      <c r="L33">
        <v>6000</v>
      </c>
      <c r="M33">
        <v>14100</v>
      </c>
    </row>
    <row r="34" spans="3:13" x14ac:dyDescent="0.25">
      <c r="C34" s="6" t="s">
        <v>84</v>
      </c>
      <c r="D34">
        <v>30</v>
      </c>
      <c r="E34">
        <v>1430</v>
      </c>
      <c r="F34">
        <v>4000</v>
      </c>
      <c r="G34">
        <v>600</v>
      </c>
      <c r="H34">
        <v>95</v>
      </c>
      <c r="I34">
        <v>0</v>
      </c>
      <c r="J34">
        <v>0</v>
      </c>
      <c r="K34">
        <v>180</v>
      </c>
      <c r="L34">
        <v>0</v>
      </c>
      <c r="M34">
        <v>6335</v>
      </c>
    </row>
    <row r="35" spans="3:13" x14ac:dyDescent="0.25">
      <c r="C35" s="6" t="s">
        <v>110</v>
      </c>
      <c r="D35">
        <v>0</v>
      </c>
      <c r="E35">
        <v>0</v>
      </c>
      <c r="F35">
        <v>0</v>
      </c>
      <c r="G35">
        <v>400</v>
      </c>
      <c r="H35">
        <v>0</v>
      </c>
      <c r="I35">
        <v>0</v>
      </c>
      <c r="J35">
        <v>0</v>
      </c>
      <c r="K35">
        <v>600</v>
      </c>
      <c r="L35">
        <v>0</v>
      </c>
      <c r="M35">
        <v>1000</v>
      </c>
    </row>
    <row r="36" spans="3:13" x14ac:dyDescent="0.25">
      <c r="C36" s="6" t="s">
        <v>85</v>
      </c>
      <c r="D36">
        <v>0</v>
      </c>
      <c r="E36">
        <v>3100</v>
      </c>
      <c r="F36">
        <v>0</v>
      </c>
      <c r="G36">
        <v>200</v>
      </c>
      <c r="H36">
        <v>10772</v>
      </c>
      <c r="I36">
        <v>0</v>
      </c>
      <c r="J36">
        <v>2000</v>
      </c>
      <c r="K36">
        <v>50</v>
      </c>
      <c r="L36">
        <v>0</v>
      </c>
      <c r="M36">
        <v>16122</v>
      </c>
    </row>
    <row r="37" spans="3:13" x14ac:dyDescent="0.25">
      <c r="C37" s="6" t="s">
        <v>86</v>
      </c>
      <c r="D37">
        <v>1070</v>
      </c>
      <c r="E37">
        <v>1975</v>
      </c>
      <c r="F37">
        <v>0</v>
      </c>
      <c r="G37">
        <v>500</v>
      </c>
      <c r="H37">
        <v>560</v>
      </c>
      <c r="I37">
        <v>0</v>
      </c>
      <c r="J37">
        <v>0</v>
      </c>
      <c r="K37">
        <v>150</v>
      </c>
      <c r="L37">
        <v>0</v>
      </c>
      <c r="M37">
        <v>4255</v>
      </c>
    </row>
    <row r="38" spans="3:13" x14ac:dyDescent="0.25">
      <c r="C38" s="6" t="s">
        <v>87</v>
      </c>
      <c r="D38">
        <v>1500</v>
      </c>
      <c r="E38">
        <v>0</v>
      </c>
      <c r="F38">
        <v>7000</v>
      </c>
      <c r="G38">
        <v>0</v>
      </c>
      <c r="H38">
        <v>440</v>
      </c>
      <c r="I38">
        <v>0</v>
      </c>
      <c r="J38">
        <v>0</v>
      </c>
      <c r="K38">
        <v>0</v>
      </c>
      <c r="L38">
        <v>0</v>
      </c>
      <c r="M38">
        <v>8940</v>
      </c>
    </row>
    <row r="39" spans="3:13" x14ac:dyDescent="0.25">
      <c r="C39" s="6" t="s">
        <v>88</v>
      </c>
      <c r="D39">
        <v>0</v>
      </c>
      <c r="E39">
        <v>3600</v>
      </c>
      <c r="F39">
        <v>0</v>
      </c>
      <c r="G39">
        <v>1500</v>
      </c>
      <c r="H39">
        <v>335</v>
      </c>
      <c r="I39">
        <v>0</v>
      </c>
      <c r="J39">
        <v>0</v>
      </c>
      <c r="K39">
        <v>1250</v>
      </c>
      <c r="L39">
        <v>0</v>
      </c>
      <c r="M39">
        <v>6685</v>
      </c>
    </row>
    <row r="40" spans="3:13" x14ac:dyDescent="0.25">
      <c r="C40" s="6" t="s">
        <v>89</v>
      </c>
      <c r="D40">
        <v>200</v>
      </c>
      <c r="E40">
        <v>300</v>
      </c>
      <c r="F40">
        <v>3100</v>
      </c>
      <c r="G40">
        <v>0</v>
      </c>
      <c r="H40">
        <v>240</v>
      </c>
      <c r="I40">
        <v>500</v>
      </c>
      <c r="J40">
        <v>0</v>
      </c>
      <c r="K40">
        <v>50</v>
      </c>
      <c r="L40">
        <v>0</v>
      </c>
      <c r="M40">
        <v>4390</v>
      </c>
    </row>
    <row r="41" spans="3:13" x14ac:dyDescent="0.25">
      <c r="C41" s="6" t="s">
        <v>90</v>
      </c>
      <c r="D41">
        <v>0</v>
      </c>
      <c r="E41">
        <v>1900</v>
      </c>
      <c r="F41">
        <v>0</v>
      </c>
      <c r="G41">
        <v>100</v>
      </c>
      <c r="H41">
        <v>3055</v>
      </c>
      <c r="I41">
        <v>0</v>
      </c>
      <c r="J41">
        <v>0</v>
      </c>
      <c r="K41">
        <v>250</v>
      </c>
      <c r="L41">
        <v>0</v>
      </c>
      <c r="M41">
        <v>5305</v>
      </c>
    </row>
    <row r="42" spans="3:13" x14ac:dyDescent="0.25">
      <c r="C42" s="6" t="s">
        <v>91</v>
      </c>
      <c r="D42">
        <v>1000</v>
      </c>
      <c r="E42">
        <v>150</v>
      </c>
      <c r="F42">
        <v>5000</v>
      </c>
      <c r="G42">
        <v>1800</v>
      </c>
      <c r="H42">
        <v>50</v>
      </c>
      <c r="I42">
        <v>0</v>
      </c>
      <c r="J42">
        <v>0</v>
      </c>
      <c r="K42">
        <v>125</v>
      </c>
      <c r="L42">
        <v>0</v>
      </c>
      <c r="M42">
        <v>8125</v>
      </c>
    </row>
    <row r="43" spans="3:13" x14ac:dyDescent="0.25">
      <c r="C43" s="6" t="s">
        <v>101</v>
      </c>
      <c r="D43">
        <v>12650</v>
      </c>
      <c r="E43">
        <v>55750</v>
      </c>
      <c r="F43">
        <v>75470</v>
      </c>
      <c r="G43">
        <v>18600</v>
      </c>
      <c r="H43">
        <v>57518</v>
      </c>
      <c r="I43">
        <v>7000</v>
      </c>
      <c r="J43">
        <v>69800</v>
      </c>
      <c r="K43">
        <v>10600</v>
      </c>
      <c r="L43">
        <v>14200</v>
      </c>
      <c r="M43">
        <v>321588</v>
      </c>
    </row>
  </sheetData>
  <phoneticPr fontId="4" type="noConversion"/>
  <pageMargins left="0.7" right="0.7" top="0.75" bottom="0.75" header="0.3" footer="0.3"/>
  <pageSetup orientation="portrait" r:id="rId2"/>
  <drawing r:id="rId3"/>
  <tableParts count="2">
    <tablePart r:id="rId4"/>
    <tablePart r:id="rId5"/>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F89FF5-B09A-435C-9F82-A95949DDF3DE}">
  <dimension ref="A1"/>
  <sheetViews>
    <sheetView tabSelected="1" workbookViewId="0">
      <selection activeCell="I18" sqref="I18"/>
    </sheetView>
  </sheetViews>
  <sheetFormatPr defaultRowHeight="15" x14ac:dyDescent="0.25"/>
  <sheetData>
    <row r="1" spans="1:1" x14ac:dyDescent="0.25">
      <c r="A1" t="s">
        <v>15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DD23C8-2F4E-4C70-8B88-BC7533A50013}">
  <dimension ref="A1:I38"/>
  <sheetViews>
    <sheetView zoomScale="98" zoomScaleNormal="98" workbookViewId="0">
      <pane ySplit="1" topLeftCell="A2" activePane="bottomLeft" state="frozen"/>
      <selection pane="bottomLeft" activeCell="C2" sqref="C2"/>
    </sheetView>
  </sheetViews>
  <sheetFormatPr defaultRowHeight="15" x14ac:dyDescent="0.25"/>
  <cols>
    <col min="1" max="1" width="12.140625" customWidth="1"/>
    <col min="2" max="2" width="12.28515625" bestFit="1" customWidth="1"/>
    <col min="4" max="4" width="19.42578125" bestFit="1" customWidth="1"/>
    <col min="5" max="5" width="15.28515625" bestFit="1" customWidth="1"/>
    <col min="6" max="6" width="16.7109375" bestFit="1" customWidth="1"/>
    <col min="8" max="8" width="13.140625" bestFit="1" customWidth="1"/>
    <col min="9" max="9" width="17.85546875" bestFit="1" customWidth="1"/>
    <col min="10" max="10" width="11.28515625" bestFit="1" customWidth="1"/>
    <col min="11" max="11" width="19.85546875" bestFit="1" customWidth="1"/>
    <col min="12" max="12" width="11.28515625" bestFit="1" customWidth="1"/>
    <col min="13" max="20" width="6.85546875" bestFit="1" customWidth="1"/>
    <col min="21" max="21" width="7.28515625" bestFit="1" customWidth="1"/>
    <col min="22" max="22" width="11.28515625" bestFit="1" customWidth="1"/>
  </cols>
  <sheetData>
    <row r="1" spans="1:9" s="12" customFormat="1" ht="15.75" x14ac:dyDescent="0.25">
      <c r="A1" s="44" t="s">
        <v>117</v>
      </c>
      <c r="B1" s="44" t="s">
        <v>3</v>
      </c>
      <c r="C1" s="44" t="s">
        <v>1</v>
      </c>
      <c r="D1" s="44" t="s">
        <v>130</v>
      </c>
      <c r="E1" s="44" t="s">
        <v>126</v>
      </c>
      <c r="F1" s="44" t="s">
        <v>125</v>
      </c>
      <c r="G1" s="46"/>
    </row>
    <row r="2" spans="1:9" x14ac:dyDescent="0.25">
      <c r="A2" s="51" t="s">
        <v>83</v>
      </c>
      <c r="B2" s="10" t="s">
        <v>129</v>
      </c>
      <c r="C2" s="10">
        <v>2000</v>
      </c>
      <c r="D2" s="10"/>
      <c r="E2" s="10">
        <v>0.42599999999999999</v>
      </c>
      <c r="F2" s="10">
        <v>4690</v>
      </c>
      <c r="G2" s="47"/>
      <c r="H2" s="15" t="s">
        <v>129</v>
      </c>
      <c r="I2" s="10">
        <f ca="1">SUMIF($B$2:$C$37,H2,$C$2:$C$37)</f>
        <v>24000</v>
      </c>
    </row>
    <row r="3" spans="1:9" x14ac:dyDescent="0.25">
      <c r="A3" s="51"/>
      <c r="B3" s="10" t="s">
        <v>128</v>
      </c>
      <c r="C3" s="10">
        <v>4000</v>
      </c>
      <c r="D3" s="10"/>
      <c r="E3" s="10"/>
      <c r="F3" s="10"/>
      <c r="H3" s="15" t="s">
        <v>128</v>
      </c>
      <c r="I3" s="10">
        <f t="shared" ref="I3:I4" ca="1" si="0">SUMIF($B$2:$C$37,H3,$C$2:$C$37)</f>
        <v>24300</v>
      </c>
    </row>
    <row r="4" spans="1:9" x14ac:dyDescent="0.25">
      <c r="A4" s="51"/>
      <c r="B4" s="10" t="s">
        <v>127</v>
      </c>
      <c r="C4" s="10">
        <v>2000</v>
      </c>
      <c r="D4" s="10">
        <f>SUM(C2:C4)</f>
        <v>8000</v>
      </c>
      <c r="E4" s="10">
        <v>4</v>
      </c>
      <c r="F4" s="10">
        <f>C4/E4</f>
        <v>500</v>
      </c>
      <c r="H4" s="15" t="s">
        <v>127</v>
      </c>
      <c r="I4" s="10">
        <f t="shared" ca="1" si="0"/>
        <v>23200</v>
      </c>
    </row>
    <row r="5" spans="1:9" x14ac:dyDescent="0.25">
      <c r="A5" s="51" t="s">
        <v>84</v>
      </c>
      <c r="B5" s="10" t="s">
        <v>129</v>
      </c>
      <c r="C5" s="10">
        <v>2000</v>
      </c>
      <c r="D5" s="10"/>
      <c r="E5" s="10">
        <v>0.42599999999999999</v>
      </c>
      <c r="F5" s="10">
        <v>4690</v>
      </c>
      <c r="H5" s="10"/>
      <c r="I5" s="10">
        <f ca="1">SUM(I2:I4)</f>
        <v>71500</v>
      </c>
    </row>
    <row r="6" spans="1:9" x14ac:dyDescent="0.25">
      <c r="A6" s="51"/>
      <c r="B6" s="10" t="s">
        <v>128</v>
      </c>
      <c r="C6" s="10">
        <v>2500</v>
      </c>
      <c r="D6" s="10"/>
      <c r="E6" s="10"/>
      <c r="F6" s="10"/>
    </row>
    <row r="7" spans="1:9" x14ac:dyDescent="0.25">
      <c r="A7" s="51"/>
      <c r="B7" s="10" t="s">
        <v>127</v>
      </c>
      <c r="C7" s="10">
        <v>1000</v>
      </c>
      <c r="D7" s="10">
        <f>SUM(C5:C7)</f>
        <v>5500</v>
      </c>
      <c r="E7" s="10">
        <v>3.58</v>
      </c>
      <c r="F7" s="10">
        <f>(C7/E7)</f>
        <v>279.32960893854749</v>
      </c>
    </row>
    <row r="8" spans="1:9" x14ac:dyDescent="0.25">
      <c r="A8" s="51" t="s">
        <v>85</v>
      </c>
      <c r="B8" s="10" t="s">
        <v>129</v>
      </c>
      <c r="C8" s="10">
        <v>2000</v>
      </c>
      <c r="D8" s="10"/>
      <c r="E8" s="10">
        <v>0.38300000000000001</v>
      </c>
      <c r="F8" s="10">
        <f>C8/E8</f>
        <v>5221.9321148825065</v>
      </c>
    </row>
    <row r="9" spans="1:9" x14ac:dyDescent="0.25">
      <c r="A9" s="51"/>
      <c r="B9" s="10" t="s">
        <v>128</v>
      </c>
      <c r="C9" s="10">
        <v>1500</v>
      </c>
      <c r="D9" s="10"/>
      <c r="E9" s="10"/>
      <c r="F9" s="10"/>
    </row>
    <row r="10" spans="1:9" x14ac:dyDescent="0.25">
      <c r="A10" s="51"/>
      <c r="B10" s="10" t="s">
        <v>127</v>
      </c>
      <c r="C10" s="10">
        <v>4000</v>
      </c>
      <c r="D10" s="10">
        <f>SUM(C8:C10)</f>
        <v>7500</v>
      </c>
      <c r="E10" s="10">
        <v>3.6190000000000002</v>
      </c>
      <c r="F10" s="10">
        <f>C10/E10</f>
        <v>1105.2777010223817</v>
      </c>
    </row>
    <row r="11" spans="1:9" x14ac:dyDescent="0.25">
      <c r="A11" s="51" t="s">
        <v>86</v>
      </c>
      <c r="B11" s="10" t="s">
        <v>129</v>
      </c>
      <c r="C11" s="10">
        <v>2000</v>
      </c>
      <c r="D11" s="10"/>
      <c r="E11" s="10">
        <v>0.38300000000000001</v>
      </c>
      <c r="F11" s="10">
        <f>C11/E11</f>
        <v>5221.9321148825065</v>
      </c>
    </row>
    <row r="12" spans="1:9" x14ac:dyDescent="0.25">
      <c r="A12" s="51"/>
      <c r="B12" s="10" t="s">
        <v>128</v>
      </c>
      <c r="C12" s="10">
        <v>2500</v>
      </c>
      <c r="D12" s="10"/>
      <c r="E12" s="10"/>
      <c r="F12" s="10"/>
    </row>
    <row r="13" spans="1:9" x14ac:dyDescent="0.25">
      <c r="A13" s="51"/>
      <c r="B13" s="10" t="s">
        <v>127</v>
      </c>
      <c r="C13" s="10">
        <v>2000</v>
      </c>
      <c r="D13" s="10">
        <f>SUM(C11:C13)</f>
        <v>6500</v>
      </c>
      <c r="E13" s="10">
        <v>3.5</v>
      </c>
      <c r="F13" s="10">
        <f>C13/E13</f>
        <v>571.42857142857144</v>
      </c>
    </row>
    <row r="14" spans="1:9" x14ac:dyDescent="0.25">
      <c r="A14" s="51" t="s">
        <v>87</v>
      </c>
      <c r="B14" s="10" t="s">
        <v>129</v>
      </c>
      <c r="C14" s="10">
        <v>2000</v>
      </c>
      <c r="D14" s="10"/>
      <c r="E14" s="10">
        <v>0.35899999999999999</v>
      </c>
      <c r="F14" s="10">
        <f>C14/E14</f>
        <v>5571.030640668524</v>
      </c>
    </row>
    <row r="15" spans="1:9" x14ac:dyDescent="0.25">
      <c r="A15" s="51"/>
      <c r="B15" s="10" t="s">
        <v>128</v>
      </c>
      <c r="C15" s="10">
        <v>3500</v>
      </c>
      <c r="D15" s="10"/>
      <c r="E15" s="10"/>
      <c r="F15" s="10"/>
    </row>
    <row r="16" spans="1:9" x14ac:dyDescent="0.25">
      <c r="A16" s="51"/>
      <c r="B16" s="10" t="s">
        <v>127</v>
      </c>
      <c r="C16" s="10">
        <v>1000</v>
      </c>
      <c r="D16" s="10">
        <f>SUM(C14:C16)</f>
        <v>6500</v>
      </c>
      <c r="E16" s="10">
        <v>5</v>
      </c>
      <c r="F16" s="10">
        <f>C16/E16</f>
        <v>200</v>
      </c>
    </row>
    <row r="17" spans="1:6" x14ac:dyDescent="0.25">
      <c r="A17" s="51" t="s">
        <v>88</v>
      </c>
      <c r="B17" s="10" t="s">
        <v>129</v>
      </c>
      <c r="C17" s="10">
        <v>2000</v>
      </c>
      <c r="D17" s="10"/>
      <c r="E17" s="10">
        <v>0.35899999999999999</v>
      </c>
      <c r="F17" s="10">
        <f>C17/E17</f>
        <v>5571.030640668524</v>
      </c>
    </row>
    <row r="18" spans="1:6" x14ac:dyDescent="0.25">
      <c r="A18" s="51"/>
      <c r="B18" s="10" t="s">
        <v>128</v>
      </c>
      <c r="C18" s="10">
        <v>800</v>
      </c>
      <c r="D18" s="10"/>
      <c r="E18" s="10"/>
      <c r="F18" s="10"/>
    </row>
    <row r="19" spans="1:6" x14ac:dyDescent="0.25">
      <c r="A19" s="51"/>
      <c r="B19" s="10" t="s">
        <v>127</v>
      </c>
      <c r="C19" s="10">
        <v>1500</v>
      </c>
      <c r="D19" s="10">
        <f>SUM(C17:C19)</f>
        <v>4300</v>
      </c>
      <c r="E19" s="10">
        <v>3.5</v>
      </c>
      <c r="F19" s="10">
        <f>C19/E19</f>
        <v>428.57142857142856</v>
      </c>
    </row>
    <row r="20" spans="1:6" x14ac:dyDescent="0.25">
      <c r="A20" s="51" t="s">
        <v>89</v>
      </c>
      <c r="B20" s="10" t="s">
        <v>129</v>
      </c>
      <c r="C20" s="10">
        <v>2000</v>
      </c>
      <c r="D20" s="10"/>
      <c r="E20" s="10">
        <v>0.34799999999999998</v>
      </c>
      <c r="F20" s="10">
        <f>C20/E20</f>
        <v>5747.1264367816093</v>
      </c>
    </row>
    <row r="21" spans="1:6" x14ac:dyDescent="0.25">
      <c r="A21" s="51"/>
      <c r="B21" s="10" t="s">
        <v>128</v>
      </c>
      <c r="C21" s="10">
        <v>2000</v>
      </c>
      <c r="D21" s="10"/>
      <c r="E21" s="10"/>
      <c r="F21" s="10"/>
    </row>
    <row r="22" spans="1:6" x14ac:dyDescent="0.25">
      <c r="A22" s="51"/>
      <c r="B22" s="10" t="s">
        <v>127</v>
      </c>
      <c r="C22" s="10">
        <v>2000</v>
      </c>
      <c r="D22" s="10">
        <f>SUM(C20:C22)</f>
        <v>6000</v>
      </c>
      <c r="E22" s="10">
        <v>4.58</v>
      </c>
      <c r="F22" s="10">
        <f>C22/E22</f>
        <v>436.68122270742356</v>
      </c>
    </row>
    <row r="23" spans="1:6" x14ac:dyDescent="0.25">
      <c r="A23" s="51" t="s">
        <v>90</v>
      </c>
      <c r="B23" s="10" t="s">
        <v>129</v>
      </c>
      <c r="C23" s="10">
        <v>2000</v>
      </c>
      <c r="D23" s="10"/>
      <c r="E23" s="10">
        <v>0.35599999999999998</v>
      </c>
      <c r="F23" s="10">
        <f>C23/E23</f>
        <v>5617.9775280898875</v>
      </c>
    </row>
    <row r="24" spans="1:6" x14ac:dyDescent="0.25">
      <c r="A24" s="51"/>
      <c r="B24" s="10" t="s">
        <v>128</v>
      </c>
      <c r="C24" s="10">
        <v>1500</v>
      </c>
      <c r="D24" s="10"/>
      <c r="E24" s="10"/>
      <c r="F24" s="10"/>
    </row>
    <row r="25" spans="1:6" x14ac:dyDescent="0.25">
      <c r="A25" s="51"/>
      <c r="B25" s="10" t="s">
        <v>127</v>
      </c>
      <c r="C25" s="10">
        <v>2000</v>
      </c>
      <c r="D25" s="10">
        <f>SUM(C23:C25)</f>
        <v>5500</v>
      </c>
      <c r="E25" s="10">
        <v>5</v>
      </c>
      <c r="F25" s="10">
        <f>C25/E25</f>
        <v>400</v>
      </c>
    </row>
    <row r="26" spans="1:6" x14ac:dyDescent="0.25">
      <c r="A26" s="51" t="s">
        <v>91</v>
      </c>
      <c r="B26" s="10" t="s">
        <v>129</v>
      </c>
      <c r="C26" s="10">
        <v>2000</v>
      </c>
      <c r="D26" s="10"/>
      <c r="E26" s="10">
        <v>0.32400000000000001</v>
      </c>
      <c r="F26" s="10">
        <f>C26/E26</f>
        <v>6172.8395061728397</v>
      </c>
    </row>
    <row r="27" spans="1:6" x14ac:dyDescent="0.25">
      <c r="A27" s="51"/>
      <c r="B27" s="10" t="s">
        <v>128</v>
      </c>
      <c r="C27" s="10">
        <v>1500</v>
      </c>
      <c r="D27" s="10"/>
      <c r="E27" s="10"/>
      <c r="F27" s="10"/>
    </row>
    <row r="28" spans="1:6" x14ac:dyDescent="0.25">
      <c r="A28" s="51"/>
      <c r="B28" s="10" t="s">
        <v>127</v>
      </c>
      <c r="C28" s="10">
        <v>3000</v>
      </c>
      <c r="D28" s="10">
        <f>SUM(C26:C28)</f>
        <v>6500</v>
      </c>
      <c r="E28" s="10">
        <v>6</v>
      </c>
      <c r="F28" s="10">
        <f>C28/E28</f>
        <v>500</v>
      </c>
    </row>
    <row r="29" spans="1:6" x14ac:dyDescent="0.25">
      <c r="A29" s="51" t="s">
        <v>92</v>
      </c>
      <c r="B29" s="10" t="s">
        <v>129</v>
      </c>
      <c r="C29" s="10">
        <v>2000</v>
      </c>
      <c r="D29" s="10"/>
      <c r="E29" s="10">
        <v>0.316</v>
      </c>
      <c r="F29" s="10">
        <f>C29/E29</f>
        <v>6329.1139240506327</v>
      </c>
    </row>
    <row r="30" spans="1:6" x14ac:dyDescent="0.25">
      <c r="A30" s="51"/>
      <c r="B30" s="10" t="s">
        <v>128</v>
      </c>
      <c r="C30" s="10">
        <v>1000</v>
      </c>
      <c r="D30" s="10"/>
      <c r="E30" s="10"/>
      <c r="F30" s="10"/>
    </row>
    <row r="31" spans="1:6" x14ac:dyDescent="0.25">
      <c r="A31" s="51"/>
      <c r="B31" s="10" t="s">
        <v>127</v>
      </c>
      <c r="C31" s="10">
        <v>1500</v>
      </c>
      <c r="D31" s="10">
        <f>SUM(C29:C31)</f>
        <v>4500</v>
      </c>
      <c r="E31" s="10">
        <v>6</v>
      </c>
      <c r="F31" s="10">
        <f>C31/E31</f>
        <v>250</v>
      </c>
    </row>
    <row r="32" spans="1:6" x14ac:dyDescent="0.25">
      <c r="A32" s="51" t="s">
        <v>93</v>
      </c>
      <c r="B32" s="10" t="s">
        <v>129</v>
      </c>
      <c r="C32" s="10">
        <v>2000</v>
      </c>
      <c r="D32" s="10"/>
      <c r="E32" s="10">
        <v>0.314</v>
      </c>
      <c r="F32" s="10">
        <f>C32/E32</f>
        <v>6369.4267515923566</v>
      </c>
    </row>
    <row r="33" spans="1:6" x14ac:dyDescent="0.25">
      <c r="A33" s="51"/>
      <c r="B33" s="10" t="s">
        <v>128</v>
      </c>
      <c r="C33" s="10">
        <v>2500</v>
      </c>
      <c r="D33" s="10"/>
      <c r="E33" s="10"/>
      <c r="F33" s="10"/>
    </row>
    <row r="34" spans="1:6" x14ac:dyDescent="0.25">
      <c r="A34" s="51"/>
      <c r="B34" s="10" t="s">
        <v>127</v>
      </c>
      <c r="C34" s="10">
        <v>1200</v>
      </c>
      <c r="D34" s="10">
        <f>SUM(C32:C34)</f>
        <v>5700</v>
      </c>
      <c r="E34" s="10">
        <v>6.5</v>
      </c>
      <c r="F34" s="10">
        <f>C34/E34</f>
        <v>184.61538461538461</v>
      </c>
    </row>
    <row r="35" spans="1:6" x14ac:dyDescent="0.25">
      <c r="A35" s="51" t="s">
        <v>94</v>
      </c>
      <c r="B35" s="10" t="s">
        <v>129</v>
      </c>
      <c r="C35" s="10">
        <v>2000</v>
      </c>
      <c r="D35" s="10"/>
      <c r="E35" s="10">
        <v>0.31</v>
      </c>
      <c r="F35" s="10">
        <f>C35/E35</f>
        <v>6451.6129032258068</v>
      </c>
    </row>
    <row r="36" spans="1:6" x14ac:dyDescent="0.25">
      <c r="A36" s="51"/>
      <c r="B36" s="10" t="s">
        <v>128</v>
      </c>
      <c r="C36" s="10">
        <v>1000</v>
      </c>
      <c r="D36" s="10"/>
      <c r="E36" s="10"/>
      <c r="F36" s="10"/>
    </row>
    <row r="37" spans="1:6" x14ac:dyDescent="0.25">
      <c r="A37" s="51"/>
      <c r="B37" s="10" t="s">
        <v>127</v>
      </c>
      <c r="C37" s="10">
        <v>2000</v>
      </c>
      <c r="D37" s="10">
        <f>SUM(C35:C37)</f>
        <v>5000</v>
      </c>
      <c r="E37" s="10">
        <v>5.4</v>
      </c>
      <c r="F37" s="10">
        <f>C37/E37</f>
        <v>370.37037037037032</v>
      </c>
    </row>
    <row r="38" spans="1:6" x14ac:dyDescent="0.25">
      <c r="A38" s="52" t="s">
        <v>142</v>
      </c>
      <c r="B38" s="52"/>
      <c r="C38" s="45">
        <f>SUM(C2:C37)</f>
        <v>71500</v>
      </c>
    </row>
  </sheetData>
  <mergeCells count="13">
    <mergeCell ref="A2:A4"/>
    <mergeCell ref="A5:A7"/>
    <mergeCell ref="A8:A10"/>
    <mergeCell ref="A11:A13"/>
    <mergeCell ref="A14:A16"/>
    <mergeCell ref="A35:A37"/>
    <mergeCell ref="A38:B38"/>
    <mergeCell ref="A17:A19"/>
    <mergeCell ref="A20:A22"/>
    <mergeCell ref="A23:A25"/>
    <mergeCell ref="A26:A28"/>
    <mergeCell ref="A29:A31"/>
    <mergeCell ref="A32:A34"/>
  </mergeCells>
  <phoneticPr fontId="4" type="noConversion"/>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36EE63-54FA-431A-99E1-730683715592}">
  <dimension ref="A1:AA1"/>
  <sheetViews>
    <sheetView view="pageBreakPreview" zoomScale="55" zoomScaleNormal="40" zoomScaleSheetLayoutView="55" workbookViewId="0">
      <selection activeCell="AJ23" sqref="AJ23"/>
    </sheetView>
  </sheetViews>
  <sheetFormatPr defaultRowHeight="15" x14ac:dyDescent="0.25"/>
  <cols>
    <col min="1" max="1" width="0.42578125" customWidth="1"/>
  </cols>
  <sheetData>
    <row r="1" spans="1:27" s="48" customFormat="1" ht="66.75" customHeight="1" x14ac:dyDescent="0.25">
      <c r="A1" s="48" t="s">
        <v>143</v>
      </c>
      <c r="B1" s="53" t="s">
        <v>143</v>
      </c>
      <c r="C1" s="53"/>
      <c r="D1" s="53"/>
      <c r="E1" s="53"/>
      <c r="F1" s="53"/>
      <c r="G1" s="53"/>
      <c r="H1" s="53"/>
      <c r="I1" s="53"/>
      <c r="J1" s="53"/>
      <c r="K1" s="53"/>
      <c r="L1" s="53"/>
      <c r="M1" s="53"/>
      <c r="N1" s="53"/>
      <c r="O1" s="53"/>
      <c r="P1" s="53"/>
      <c r="Q1" s="53"/>
      <c r="R1" s="53"/>
      <c r="S1" s="53"/>
      <c r="T1" s="53"/>
      <c r="U1" s="53"/>
      <c r="V1" s="53"/>
      <c r="W1" s="53"/>
      <c r="X1" s="53"/>
      <c r="Y1" s="53"/>
      <c r="Z1" s="53"/>
      <c r="AA1" s="53"/>
    </row>
  </sheetData>
  <mergeCells count="1">
    <mergeCell ref="B1:AA1"/>
  </mergeCells>
  <pageMargins left="0.7" right="0.7" top="0.75" bottom="0.75" header="0.3" footer="0.3"/>
  <pageSetup orientation="portrait" r:id="rId1"/>
  <drawing r:id="rId2"/>
  <extLst>
    <ext xmlns:x15="http://schemas.microsoft.com/office/spreadsheetml/2010/11/main" uri="{3A4CF648-6AED-40f4-86FF-DC5316D8AED3}">
      <x14:slicerList xmlns:x14="http://schemas.microsoft.com/office/spreadsheetml/2009/9/main">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Y D A A B Q S w M E F A A C A A g A K o K m V p V H y D q m A A A A 9 g A A A B I A H A B D b 2 5 m a W c v U G F j a 2 F n Z S 5 4 b W w g o h g A K K A U A A A A A A A A A A A A A A A A A A A A A A A A A A A A h Y / N C o J A H M R f R f b u f p h E y N / 1 0 C n I C I L o u q y b L u k a 7 t r 6 b h 1 6 p F 4 h o 6 x u H W f m N z B z v 9 4 g G 5 o 6 u K j O 6 t a k i G G K A m V k W 2 h T p q h 3 x 3 C B M g 5 b I U + i V M E I G 5 s M V q e o c u 6 c E O K 9 x 3 6 G 2 6 4 k E a W M H P L 1 T l a q E a E 2 1 g k j F f q 0 i v 8 t x G H / G s M j z N g c x z T G F M h k Q q 7 N F 4 j G v c / 0 x 4 R l X 7 u + U 1 y Z c L U B M k k g 7 w / 8 A V B L A w Q U A A I A C A A q g q Z W 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K o K m V i i K R 7 g O A A A A E Q A A A B M A H A B G b 3 J t d W x h c y 9 T Z W N 0 a W 9 u M S 5 t I K I Y A C i g F A A A A A A A A A A A A A A A A A A A A A A A A A A A A C t O T S 7 J z M 9 T C I b Q h t Y A U E s B A i 0 A F A A C A A g A K o K m V p V H y D q m A A A A 9 g A A A B I A A A A A A A A A A A A A A A A A A A A A A E N v b m Z p Z y 9 Q Y W N r Y W d l L n h t b F B L A Q I t A B Q A A g A I A C q C p l Y P y u m r p A A A A O k A A A A T A A A A A A A A A A A A A A A A A P I A A A B b Q 2 9 u d G V u d F 9 U e X B l c 1 0 u e G 1 s U E s B A i 0 A F A A C A A g A K o K m V i i K R 7 g O A A A A E Q A A A B M A A A A A A A A A A A A A A A A A 4 w E A A E Z v c m 1 1 b G F z L 1 N l Y 3 R p b 2 4 x L m 1 Q S w U G A A A A A A M A A w D C A A A A P g I 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l w E A A A A A A A B 1 A Q 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A / L P S B m c b p D n I Z J w X K p n s s A A A A A A g A A A A A A E G Y A A A A B A A A g A A A A k P V m a s w x q 6 l + L 8 E o a T m B P i B I p x J i 0 d P P G J 9 I 6 / q V M 0 E A A A A A D o A A A A A C A A A g A A A A l q F V d 4 0 E M 7 n 7 W S l l E p W g D 5 5 c 7 W o P H / h d l E 2 j F D k k o u p Q A A A A 9 h g 4 f d R c W 0 H n 7 0 o v Q 8 x g P Q p U x m j q z K W W Q d P J v h m a 2 T S X T S s Z 5 2 V k + J M 0 P j k z 6 S E D u R t t + o x A 2 B b k B C v s u Y m q 6 H d z q W 3 n M 2 N O V n j k X C L f F / p A A A A A Y V Q V S b 5 v + E n C f e 1 Y / n 1 8 + 1 l i w g e + N 4 G M m S Y T C 4 D j B t 7 3 A 4 1 1 2 2 e c y k M t R / 4 h c m v m d k a 5 G N 9 S M g z / C F 6 r 5 T g C c g = = < / D a t a M a s h u p > 
</file>

<file path=customXml/itemProps1.xml><?xml version="1.0" encoding="utf-8"?>
<ds:datastoreItem xmlns:ds="http://schemas.openxmlformats.org/officeDocument/2006/customXml" ds:itemID="{AEC71A9F-ECB4-4C40-BD5E-2C0A397F220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Abstract</vt:lpstr>
      <vt:lpstr>Income Datas</vt:lpstr>
      <vt:lpstr>Income</vt:lpstr>
      <vt:lpstr>Expense Datas</vt:lpstr>
      <vt:lpstr>Expense</vt:lpstr>
      <vt:lpstr>s</vt:lpstr>
      <vt:lpstr>Investment</vt:lpstr>
      <vt:lpstr>Dashboard</vt:lpstr>
      <vt:lpstr>Dashboard!Print_Area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ELCOT</dc:creator>
  <cp:lastModifiedBy>ELCOT</cp:lastModifiedBy>
  <dcterms:created xsi:type="dcterms:W3CDTF">2023-02-28T08:07:40Z</dcterms:created>
  <dcterms:modified xsi:type="dcterms:W3CDTF">2023-05-14T02:55:17Z</dcterms:modified>
</cp:coreProperties>
</file>