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VAS-1\Dropbox\FBD\IMP E-Mails and Information\WIP\Metal BOM Nesting\Metal Fab Nesting BOM Optimization\"/>
    </mc:Choice>
  </mc:AlternateContent>
  <xr:revisionPtr revIDLastSave="0" documentId="13_ncr:1_{86BE6C78-E73D-4E4C-94F2-84B838BFB6A3}" xr6:coauthVersionLast="47" xr6:coauthVersionMax="47" xr10:uidLastSave="{00000000-0000-0000-0000-000000000000}"/>
  <bookViews>
    <workbookView xWindow="-108" yWindow="-108" windowWidth="23256" windowHeight="12456" tabRatio="903" xr2:uid="{C4F7EA02-B9CE-44DB-B7A1-8DF6D7337DC4}"/>
  </bookViews>
  <sheets>
    <sheet name="Summary" sheetId="31" r:id="rId1"/>
    <sheet name="CGX P01643 DetailedNesting" sheetId="11" r:id="rId2"/>
    <sheet name="CYO P01633 DetailedNesting" sheetId="26" r:id="rId3"/>
    <sheet name="QTS P01533 DetailedNesting" sheetId="14" r:id="rId4"/>
    <sheet name="P01664 Yondr Nesting BOM" sheetId="30" r:id="rId5"/>
    <sheet name="CYO P01316 DetailedNesting" sheetId="23" r:id="rId6"/>
    <sheet name="STA P01554 DetailedNesting" sheetId="29" r:id="rId7"/>
    <sheet name="QTS P01597 DetailedNesting" sheetId="17" r:id="rId8"/>
    <sheet name="NTT P01560 DetailedNesting" sheetId="20" r:id="rId9"/>
  </sheets>
  <definedNames>
    <definedName name="_____xlfn_SINGLE">#N/A</definedName>
    <definedName name="____xlfn_IFERROR">#N/A</definedName>
    <definedName name="____xlfn_SINGLE">#N/A</definedName>
    <definedName name="___xlfn_IFERROR">#N/A</definedName>
    <definedName name="___xlfn_SINGLE">NA()</definedName>
    <definedName name="__xlfn_IFERROR">#N/A</definedName>
    <definedName name="__xlfn_SINGLE">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5" i="11" l="1"/>
  <c r="K56" i="11"/>
  <c r="K57" i="11"/>
  <c r="K58" i="11"/>
  <c r="K59" i="11"/>
  <c r="K60" i="11"/>
  <c r="K61" i="11"/>
  <c r="K54" i="11"/>
  <c r="M43" i="26"/>
  <c r="M44" i="26"/>
  <c r="M45" i="26"/>
  <c r="M46" i="26"/>
  <c r="M47" i="26"/>
  <c r="M42" i="26"/>
  <c r="K61" i="14"/>
  <c r="K62" i="14"/>
  <c r="K63" i="14"/>
  <c r="K64" i="14"/>
  <c r="K65" i="14"/>
  <c r="K66" i="14"/>
  <c r="K60" i="14"/>
  <c r="Q49" i="30"/>
  <c r="Q50" i="30"/>
  <c r="Q51" i="30"/>
  <c r="Q52" i="30"/>
  <c r="Q53" i="30"/>
  <c r="Q48" i="30"/>
  <c r="N48" i="23"/>
  <c r="N49" i="23"/>
  <c r="N50" i="23"/>
  <c r="N51" i="23"/>
  <c r="N47" i="23"/>
  <c r="O48" i="29"/>
  <c r="O49" i="29"/>
  <c r="O50" i="29"/>
  <c r="O51" i="29"/>
  <c r="O52" i="29"/>
  <c r="O47" i="29"/>
  <c r="P55" i="20"/>
  <c r="P56" i="20"/>
  <c r="P57" i="20"/>
  <c r="P58" i="20"/>
  <c r="P59" i="20"/>
  <c r="P60" i="20"/>
  <c r="P61" i="20"/>
  <c r="P54" i="20"/>
  <c r="K52" i="17"/>
  <c r="K53" i="17"/>
  <c r="K54" i="17"/>
  <c r="K55" i="17"/>
  <c r="K56" i="17"/>
  <c r="K57" i="17"/>
  <c r="K51" i="17"/>
  <c r="N42" i="26" l="1"/>
  <c r="N43" i="26"/>
  <c r="L54" i="11"/>
  <c r="N61" i="20"/>
  <c r="O61" i="20" s="1"/>
  <c r="C63" i="20"/>
  <c r="N60" i="20"/>
  <c r="O60" i="20" s="1"/>
  <c r="N59" i="20"/>
  <c r="O59" i="20" s="1"/>
  <c r="N58" i="20"/>
  <c r="O58" i="20" s="1"/>
  <c r="N57" i="20"/>
  <c r="O57" i="20" s="1"/>
  <c r="N56" i="20"/>
  <c r="O56" i="20" s="1"/>
  <c r="N55" i="20"/>
  <c r="O55" i="20" s="1"/>
  <c r="N54" i="20"/>
  <c r="C59" i="17"/>
  <c r="I57" i="17"/>
  <c r="J57" i="17" s="1"/>
  <c r="I56" i="17"/>
  <c r="J56" i="17" s="1"/>
  <c r="L56" i="17" s="1"/>
  <c r="I55" i="17"/>
  <c r="J55" i="17" s="1"/>
  <c r="L55" i="17" s="1"/>
  <c r="I54" i="17"/>
  <c r="J54" i="17" s="1"/>
  <c r="L54" i="17" s="1"/>
  <c r="I53" i="17"/>
  <c r="J53" i="17" s="1"/>
  <c r="L53" i="17" s="1"/>
  <c r="I52" i="17"/>
  <c r="J52" i="17" s="1"/>
  <c r="L52" i="17" s="1"/>
  <c r="I51" i="17"/>
  <c r="J51" i="17" s="1"/>
  <c r="L51" i="17" s="1"/>
  <c r="M52" i="29"/>
  <c r="N52" i="29" s="1"/>
  <c r="C54" i="29"/>
  <c r="M51" i="29"/>
  <c r="N51" i="29" s="1"/>
  <c r="M50" i="29"/>
  <c r="N50" i="29" s="1"/>
  <c r="M49" i="29"/>
  <c r="N49" i="29" s="1"/>
  <c r="M48" i="29"/>
  <c r="N48" i="29" s="1"/>
  <c r="M47" i="29"/>
  <c r="N47" i="29" s="1"/>
  <c r="C53" i="23"/>
  <c r="L51" i="23"/>
  <c r="M51" i="23" s="1"/>
  <c r="L50" i="23"/>
  <c r="M50" i="23" s="1"/>
  <c r="L49" i="23"/>
  <c r="M49" i="23" s="1"/>
  <c r="L48" i="23"/>
  <c r="M48" i="23" s="1"/>
  <c r="L47" i="23"/>
  <c r="C55" i="30"/>
  <c r="O53" i="30"/>
  <c r="P53" i="30" s="1"/>
  <c r="O52" i="30"/>
  <c r="P52" i="30" s="1"/>
  <c r="O51" i="30"/>
  <c r="P51" i="30" s="1"/>
  <c r="O50" i="30"/>
  <c r="P50" i="30" s="1"/>
  <c r="O49" i="30"/>
  <c r="P49" i="30" s="1"/>
  <c r="O48" i="30"/>
  <c r="C68" i="14"/>
  <c r="I66" i="14"/>
  <c r="J66" i="14" s="1"/>
  <c r="I65" i="14"/>
  <c r="J65" i="14" s="1"/>
  <c r="I64" i="14"/>
  <c r="J64" i="14" s="1"/>
  <c r="I63" i="14"/>
  <c r="J63" i="14" s="1"/>
  <c r="I62" i="14"/>
  <c r="J62" i="14" s="1"/>
  <c r="I61" i="14"/>
  <c r="J61" i="14" s="1"/>
  <c r="I60" i="14"/>
  <c r="C63" i="11"/>
  <c r="I61" i="11"/>
  <c r="J61" i="11" s="1"/>
  <c r="I60" i="11"/>
  <c r="J60" i="11" s="1"/>
  <c r="I59" i="11"/>
  <c r="J59" i="11" s="1"/>
  <c r="I58" i="11"/>
  <c r="J58" i="11" s="1"/>
  <c r="I57" i="11"/>
  <c r="J57" i="11" s="1"/>
  <c r="I56" i="11"/>
  <c r="J56" i="11" s="1"/>
  <c r="L56" i="11" s="1"/>
  <c r="I55" i="11"/>
  <c r="J55" i="11" s="1"/>
  <c r="I54" i="11"/>
  <c r="J54" i="11" s="1"/>
  <c r="C49" i="26"/>
  <c r="K47" i="26"/>
  <c r="L47" i="26" s="1"/>
  <c r="N47" i="26" s="1"/>
  <c r="K46" i="26"/>
  <c r="L46" i="26" s="1"/>
  <c r="N46" i="26" s="1"/>
  <c r="K45" i="26"/>
  <c r="L45" i="26" s="1"/>
  <c r="N45" i="26" s="1"/>
  <c r="K44" i="26"/>
  <c r="L44" i="26" s="1"/>
  <c r="N44" i="26" s="1"/>
  <c r="K43" i="26"/>
  <c r="L43" i="26" s="1"/>
  <c r="K42" i="26"/>
  <c r="D42" i="11"/>
  <c r="E42" i="11"/>
  <c r="H24" i="31"/>
  <c r="O21" i="30"/>
  <c r="O22" i="30"/>
  <c r="O23" i="30"/>
  <c r="O24" i="30"/>
  <c r="O25" i="30"/>
  <c r="O26" i="30"/>
  <c r="M22" i="29"/>
  <c r="M23" i="29"/>
  <c r="M24" i="29"/>
  <c r="M25" i="29"/>
  <c r="M26" i="29"/>
  <c r="I30" i="17"/>
  <c r="J30" i="17" s="1"/>
  <c r="I31" i="17"/>
  <c r="J31" i="17" s="1"/>
  <c r="I32" i="17"/>
  <c r="J32" i="17" s="1"/>
  <c r="I34" i="14"/>
  <c r="J34" i="14" s="1"/>
  <c r="I35" i="14"/>
  <c r="J35" i="14" s="1"/>
  <c r="I36" i="14"/>
  <c r="J36" i="14" s="1"/>
  <c r="N26" i="20"/>
  <c r="N27" i="20"/>
  <c r="N28" i="20"/>
  <c r="N29" i="20"/>
  <c r="N30" i="20"/>
  <c r="N31" i="20"/>
  <c r="N32" i="20"/>
  <c r="D35" i="26"/>
  <c r="K23" i="26"/>
  <c r="L23" i="26" s="1"/>
  <c r="L21" i="23"/>
  <c r="L22" i="23"/>
  <c r="L23" i="23"/>
  <c r="L24" i="23"/>
  <c r="L25" i="23"/>
  <c r="O51" i="23" l="1"/>
  <c r="L61" i="14"/>
  <c r="Q61" i="20"/>
  <c r="J63" i="20"/>
  <c r="Q56" i="20"/>
  <c r="Q60" i="20"/>
  <c r="Q58" i="20"/>
  <c r="Q57" i="20"/>
  <c r="Q55" i="20"/>
  <c r="Q59" i="20"/>
  <c r="O54" i="20"/>
  <c r="K63" i="20" s="1"/>
  <c r="K64" i="20" s="1"/>
  <c r="L58" i="11"/>
  <c r="L57" i="17"/>
  <c r="I59" i="17"/>
  <c r="I60" i="17" s="1"/>
  <c r="H59" i="17"/>
  <c r="P52" i="29"/>
  <c r="I54" i="29"/>
  <c r="P47" i="29"/>
  <c r="P51" i="29"/>
  <c r="P48" i="29"/>
  <c r="P49" i="29"/>
  <c r="P50" i="29"/>
  <c r="J54" i="29"/>
  <c r="J55" i="29" s="1"/>
  <c r="O49" i="23"/>
  <c r="H53" i="23"/>
  <c r="M47" i="23"/>
  <c r="O47" i="23" s="1"/>
  <c r="O50" i="23"/>
  <c r="O48" i="23"/>
  <c r="R51" i="30"/>
  <c r="R49" i="30"/>
  <c r="R52" i="30"/>
  <c r="L55" i="30"/>
  <c r="R50" i="30"/>
  <c r="P48" i="30"/>
  <c r="M55" i="30" s="1"/>
  <c r="M56" i="30" s="1"/>
  <c r="R53" i="30"/>
  <c r="H68" i="14"/>
  <c r="L64" i="14"/>
  <c r="L65" i="14"/>
  <c r="L62" i="14"/>
  <c r="L63" i="14"/>
  <c r="L66" i="14"/>
  <c r="J60" i="14"/>
  <c r="I68" i="14" s="1"/>
  <c r="I69" i="14" s="1"/>
  <c r="H63" i="11"/>
  <c r="L60" i="11"/>
  <c r="L55" i="11"/>
  <c r="I63" i="11"/>
  <c r="I64" i="11" s="1"/>
  <c r="L59" i="11"/>
  <c r="L57" i="11"/>
  <c r="L61" i="11"/>
  <c r="K49" i="26"/>
  <c r="L42" i="26"/>
  <c r="N43" i="30"/>
  <c r="N42" i="30"/>
  <c r="N41" i="30"/>
  <c r="N40" i="30"/>
  <c r="N39" i="30"/>
  <c r="N38" i="30"/>
  <c r="N37" i="30"/>
  <c r="N36" i="30"/>
  <c r="N35" i="30"/>
  <c r="N34" i="30"/>
  <c r="N33" i="30"/>
  <c r="L43" i="29"/>
  <c r="L42" i="29"/>
  <c r="L41" i="29"/>
  <c r="L40" i="29"/>
  <c r="L39" i="29"/>
  <c r="L38" i="29"/>
  <c r="L37" i="29"/>
  <c r="L36" i="29"/>
  <c r="L35" i="29"/>
  <c r="L34" i="29"/>
  <c r="L33" i="29"/>
  <c r="M48" i="17"/>
  <c r="M47" i="17"/>
  <c r="M46" i="17"/>
  <c r="M45" i="17"/>
  <c r="M44" i="17"/>
  <c r="M43" i="17"/>
  <c r="M42" i="17"/>
  <c r="M41" i="17"/>
  <c r="M40" i="17"/>
  <c r="M39" i="17"/>
  <c r="M38" i="17"/>
  <c r="N55" i="14"/>
  <c r="N54" i="14"/>
  <c r="N53" i="14"/>
  <c r="N52" i="14"/>
  <c r="N51" i="14"/>
  <c r="N50" i="14"/>
  <c r="N49" i="14"/>
  <c r="N48" i="14"/>
  <c r="N47" i="14"/>
  <c r="N46" i="14"/>
  <c r="N45" i="14"/>
  <c r="L49" i="26" l="1"/>
  <c r="L50" i="26" s="1"/>
  <c r="Q54" i="20"/>
  <c r="I53" i="23"/>
  <c r="I54" i="23" s="1"/>
  <c r="R48" i="30"/>
  <c r="L60" i="14"/>
  <c r="N48" i="20"/>
  <c r="N47" i="20"/>
  <c r="N46" i="20"/>
  <c r="N45" i="20"/>
  <c r="N44" i="20"/>
  <c r="N43" i="20"/>
  <c r="N42" i="20"/>
  <c r="N41" i="20"/>
  <c r="N40" i="20"/>
  <c r="N39" i="20"/>
  <c r="N38" i="20"/>
  <c r="P36" i="26"/>
  <c r="P35" i="26"/>
  <c r="P34" i="26"/>
  <c r="P33" i="26"/>
  <c r="P32" i="26"/>
  <c r="P31" i="26"/>
  <c r="P30" i="26"/>
  <c r="P29" i="26"/>
  <c r="P28" i="26"/>
  <c r="P27" i="26"/>
  <c r="P26" i="26"/>
  <c r="O40" i="23"/>
  <c r="O39" i="23"/>
  <c r="O38" i="23"/>
  <c r="O37" i="23"/>
  <c r="O36" i="23"/>
  <c r="O35" i="23"/>
  <c r="O34" i="23"/>
  <c r="O33" i="23"/>
  <c r="O32" i="23"/>
  <c r="O31" i="23"/>
  <c r="O30" i="23"/>
  <c r="N50" i="11"/>
  <c r="N49" i="11"/>
  <c r="N48" i="11"/>
  <c r="N47" i="11"/>
  <c r="N46" i="11"/>
  <c r="N45" i="11"/>
  <c r="N44" i="11"/>
  <c r="N43" i="11"/>
  <c r="N42" i="11"/>
  <c r="N41" i="11"/>
  <c r="N40" i="11"/>
  <c r="E40" i="30"/>
  <c r="D40" i="30"/>
  <c r="E42" i="29"/>
  <c r="D42" i="29"/>
  <c r="E46" i="17"/>
  <c r="D46" i="17"/>
  <c r="E54" i="14"/>
  <c r="D54" i="14"/>
  <c r="F48" i="20"/>
  <c r="E48" i="20"/>
  <c r="D48" i="20"/>
  <c r="E38" i="26"/>
  <c r="D38" i="26"/>
  <c r="E41" i="23"/>
  <c r="D41" i="23"/>
  <c r="E45" i="11"/>
  <c r="D45" i="11"/>
  <c r="E37" i="30"/>
  <c r="E39" i="30" s="1"/>
  <c r="D37" i="30"/>
  <c r="D39" i="30" s="1"/>
  <c r="E39" i="29"/>
  <c r="E41" i="29" s="1"/>
  <c r="D39" i="29"/>
  <c r="D41" i="29" s="1"/>
  <c r="E43" i="17"/>
  <c r="E45" i="17" s="1"/>
  <c r="D43" i="17"/>
  <c r="D45" i="17" s="1"/>
  <c r="I22" i="17"/>
  <c r="I23" i="17"/>
  <c r="I24" i="17"/>
  <c r="I25" i="17"/>
  <c r="I26" i="17"/>
  <c r="I27" i="17"/>
  <c r="I28" i="17"/>
  <c r="I29" i="17"/>
  <c r="I33" i="17"/>
  <c r="E51" i="14"/>
  <c r="E53" i="14" s="1"/>
  <c r="D51" i="14"/>
  <c r="D53" i="14" s="1"/>
  <c r="I26" i="14"/>
  <c r="I27" i="14"/>
  <c r="I28" i="14"/>
  <c r="I29" i="14"/>
  <c r="I30" i="14"/>
  <c r="I31" i="14"/>
  <c r="I32" i="14"/>
  <c r="I33" i="14"/>
  <c r="I37" i="14"/>
  <c r="F45" i="20"/>
  <c r="F47" i="20" s="1"/>
  <c r="E45" i="20"/>
  <c r="E47" i="20" s="1"/>
  <c r="D45" i="20"/>
  <c r="D47" i="20" s="1"/>
  <c r="O28" i="20"/>
  <c r="E35" i="26"/>
  <c r="E37" i="26" s="1"/>
  <c r="D37" i="26"/>
  <c r="E38" i="23"/>
  <c r="E40" i="23" s="1"/>
  <c r="D38" i="23"/>
  <c r="D40" i="23" s="1"/>
  <c r="O41" i="20" l="1"/>
  <c r="O42" i="11"/>
  <c r="E49" i="20"/>
  <c r="Q27" i="26"/>
  <c r="Q35" i="26"/>
  <c r="O43" i="11"/>
  <c r="O50" i="11"/>
  <c r="P30" i="23"/>
  <c r="G47" i="20"/>
  <c r="C6" i="31" s="1"/>
  <c r="E6" i="31" s="1"/>
  <c r="F49" i="20"/>
  <c r="O48" i="20"/>
  <c r="Q34" i="26"/>
  <c r="Q28" i="26"/>
  <c r="Q36" i="26"/>
  <c r="P37" i="23"/>
  <c r="P38" i="23"/>
  <c r="P36" i="23"/>
  <c r="O49" i="11"/>
  <c r="O44" i="11"/>
  <c r="P31" i="23"/>
  <c r="P39" i="23"/>
  <c r="Q29" i="26"/>
  <c r="O43" i="20"/>
  <c r="O45" i="11"/>
  <c r="P32" i="23"/>
  <c r="P40" i="23"/>
  <c r="Q30" i="26"/>
  <c r="O44" i="20"/>
  <c r="N42" i="17"/>
  <c r="N41" i="17"/>
  <c r="N44" i="17"/>
  <c r="N43" i="17"/>
  <c r="N48" i="17"/>
  <c r="N40" i="17"/>
  <c r="N47" i="17"/>
  <c r="N39" i="17"/>
  <c r="N46" i="17"/>
  <c r="N38" i="17"/>
  <c r="N45" i="17"/>
  <c r="O53" i="14"/>
  <c r="O45" i="14"/>
  <c r="O46" i="14"/>
  <c r="O52" i="14"/>
  <c r="O51" i="14"/>
  <c r="O47" i="14"/>
  <c r="O50" i="14"/>
  <c r="O55" i="14"/>
  <c r="O54" i="14"/>
  <c r="O49" i="14"/>
  <c r="O48" i="14"/>
  <c r="M41" i="29"/>
  <c r="M33" i="29"/>
  <c r="M34" i="29"/>
  <c r="M40" i="29"/>
  <c r="M39" i="29"/>
  <c r="M35" i="29"/>
  <c r="M38" i="29"/>
  <c r="M43" i="29"/>
  <c r="M37" i="29"/>
  <c r="M42" i="29"/>
  <c r="M36" i="29"/>
  <c r="O46" i="11"/>
  <c r="P33" i="23"/>
  <c r="Q31" i="26"/>
  <c r="O45" i="20"/>
  <c r="O47" i="11"/>
  <c r="P34" i="23"/>
  <c r="Q32" i="26"/>
  <c r="O38" i="20"/>
  <c r="O46" i="20"/>
  <c r="O43" i="30"/>
  <c r="O35" i="30"/>
  <c r="O42" i="30"/>
  <c r="O34" i="30"/>
  <c r="O41" i="30"/>
  <c r="O33" i="30"/>
  <c r="O40" i="30"/>
  <c r="O39" i="30"/>
  <c r="O38" i="30"/>
  <c r="O37" i="30"/>
  <c r="O36" i="30"/>
  <c r="O40" i="11"/>
  <c r="O48" i="11"/>
  <c r="P35" i="23"/>
  <c r="Q33" i="26"/>
  <c r="O39" i="20"/>
  <c r="O47" i="20"/>
  <c r="O42" i="20"/>
  <c r="E39" i="26"/>
  <c r="O41" i="11"/>
  <c r="Q26" i="26"/>
  <c r="O40" i="20"/>
  <c r="E41" i="30"/>
  <c r="E43" i="29"/>
  <c r="E47" i="17"/>
  <c r="E55" i="14"/>
  <c r="E42" i="23"/>
  <c r="D41" i="30"/>
  <c r="F39" i="30"/>
  <c r="C12" i="31" s="1"/>
  <c r="E12" i="31" s="1"/>
  <c r="D43" i="29"/>
  <c r="F41" i="29"/>
  <c r="C11" i="31" s="1"/>
  <c r="E11" i="31" s="1"/>
  <c r="D47" i="17"/>
  <c r="F45" i="17"/>
  <c r="C9" i="31" s="1"/>
  <c r="E9" i="31" s="1"/>
  <c r="F53" i="14"/>
  <c r="C7" i="31" s="1"/>
  <c r="E7" i="31" s="1"/>
  <c r="D55" i="14"/>
  <c r="D49" i="20"/>
  <c r="F37" i="26"/>
  <c r="C5" i="31" s="1"/>
  <c r="E5" i="31" s="1"/>
  <c r="D39" i="26"/>
  <c r="D42" i="23"/>
  <c r="F40" i="23"/>
  <c r="C4" i="31" s="1"/>
  <c r="E4" i="31" s="1"/>
  <c r="E44" i="11"/>
  <c r="E46" i="11" s="1"/>
  <c r="G49" i="20" l="1"/>
  <c r="F55" i="14"/>
  <c r="F39" i="26"/>
  <c r="F47" i="17"/>
  <c r="F41" i="30"/>
  <c r="F43" i="29"/>
  <c r="F42" i="23"/>
  <c r="D44" i="11"/>
  <c r="I22" i="11"/>
  <c r="J22" i="11" s="1"/>
  <c r="I23" i="11"/>
  <c r="J23" i="11" s="1"/>
  <c r="I24" i="11"/>
  <c r="J24" i="11" s="1"/>
  <c r="I25" i="11"/>
  <c r="J25" i="11" s="1"/>
  <c r="I26" i="11"/>
  <c r="J26" i="11" s="1"/>
  <c r="I27" i="11"/>
  <c r="J27" i="11" s="1"/>
  <c r="I28" i="11"/>
  <c r="J28" i="11" s="1"/>
  <c r="I29" i="11"/>
  <c r="J29" i="11" s="1"/>
  <c r="I30" i="11"/>
  <c r="J30" i="11" s="1"/>
  <c r="I31" i="11"/>
  <c r="J31" i="11" s="1"/>
  <c r="E33" i="30" a="1"/>
  <c r="G34" i="30" s="1"/>
  <c r="D33" i="30" a="1"/>
  <c r="D33" i="30" s="1"/>
  <c r="C28" i="30"/>
  <c r="P26" i="30"/>
  <c r="P25" i="30"/>
  <c r="P24" i="30"/>
  <c r="P23" i="30"/>
  <c r="P22" i="30"/>
  <c r="E34" i="29" a="1"/>
  <c r="D34" i="29" a="1"/>
  <c r="D34" i="29" s="1"/>
  <c r="C28" i="29"/>
  <c r="N26" i="29"/>
  <c r="N25" i="29"/>
  <c r="N24" i="29"/>
  <c r="N23" i="29"/>
  <c r="C10" i="29"/>
  <c r="J4" i="29"/>
  <c r="I8" i="29"/>
  <c r="J8" i="29" s="1"/>
  <c r="I7" i="29"/>
  <c r="J7" i="29" s="1"/>
  <c r="I6" i="29"/>
  <c r="J6" i="29" s="1"/>
  <c r="I5" i="29"/>
  <c r="J5" i="29" s="1"/>
  <c r="I4" i="29"/>
  <c r="I3" i="29"/>
  <c r="J3" i="29" s="1"/>
  <c r="E38" i="17" a="1"/>
  <c r="D38" i="17" a="1"/>
  <c r="D38" i="17" s="1"/>
  <c r="C35" i="17"/>
  <c r="J33" i="17"/>
  <c r="J29" i="17"/>
  <c r="J28" i="17"/>
  <c r="J27" i="17"/>
  <c r="J26" i="17"/>
  <c r="J25" i="17"/>
  <c r="J24" i="17"/>
  <c r="J23" i="17"/>
  <c r="J22" i="17"/>
  <c r="C13" i="17"/>
  <c r="H11" i="17"/>
  <c r="I11" i="17" s="1"/>
  <c r="H10" i="17"/>
  <c r="I10" i="17" s="1"/>
  <c r="H9" i="17"/>
  <c r="I9" i="17" s="1"/>
  <c r="H8" i="17"/>
  <c r="I8" i="17" s="1"/>
  <c r="H7" i="17"/>
  <c r="I7" i="17" s="1"/>
  <c r="H6" i="17"/>
  <c r="I6" i="17" s="1"/>
  <c r="H5" i="17"/>
  <c r="I5" i="17" s="1"/>
  <c r="H4" i="17"/>
  <c r="I4" i="17" s="1"/>
  <c r="H3" i="17"/>
  <c r="I3" i="17" s="1"/>
  <c r="E46" i="14" a="1"/>
  <c r="F47" i="14" s="1"/>
  <c r="D46" i="14" a="1"/>
  <c r="D46" i="14" s="1"/>
  <c r="C39" i="14"/>
  <c r="J37" i="14"/>
  <c r="J33" i="14"/>
  <c r="J32" i="14"/>
  <c r="J31" i="14"/>
  <c r="J30" i="14"/>
  <c r="J29" i="14"/>
  <c r="J28" i="14"/>
  <c r="J27" i="14"/>
  <c r="C13" i="14"/>
  <c r="H11" i="14"/>
  <c r="I11" i="14" s="1"/>
  <c r="H10" i="14"/>
  <c r="I10" i="14" s="1"/>
  <c r="H9" i="14"/>
  <c r="I9" i="14" s="1"/>
  <c r="H8" i="14"/>
  <c r="I8" i="14" s="1"/>
  <c r="H7" i="14"/>
  <c r="I7" i="14" s="1"/>
  <c r="H6" i="14"/>
  <c r="I6" i="14" s="1"/>
  <c r="H5" i="14"/>
  <c r="I5" i="14" s="1"/>
  <c r="H4" i="14"/>
  <c r="I4" i="14" s="1"/>
  <c r="H3" i="14"/>
  <c r="I3" i="14" s="1"/>
  <c r="E38" i="20" a="1"/>
  <c r="G40" i="20" s="1"/>
  <c r="D38" i="20" a="1"/>
  <c r="D38" i="20" s="1"/>
  <c r="C34" i="20"/>
  <c r="O32" i="20"/>
  <c r="O31" i="20"/>
  <c r="O30" i="20"/>
  <c r="O29" i="20"/>
  <c r="O27" i="20"/>
  <c r="C13" i="20"/>
  <c r="J11" i="20"/>
  <c r="K11" i="20" s="1"/>
  <c r="J10" i="20"/>
  <c r="K10" i="20" s="1"/>
  <c r="J9" i="20"/>
  <c r="K9" i="20" s="1"/>
  <c r="J8" i="20"/>
  <c r="K8" i="20" s="1"/>
  <c r="J7" i="20"/>
  <c r="K7" i="20" s="1"/>
  <c r="J6" i="20"/>
  <c r="K6" i="20" s="1"/>
  <c r="J5" i="20"/>
  <c r="K5" i="20" s="1"/>
  <c r="J4" i="20"/>
  <c r="K4" i="20" s="1"/>
  <c r="J3" i="20"/>
  <c r="K3" i="20" s="1"/>
  <c r="E31" i="26" a="1"/>
  <c r="G32" i="26" s="1"/>
  <c r="D31" i="26" a="1"/>
  <c r="D31" i="26" s="1"/>
  <c r="C27" i="26"/>
  <c r="K25" i="26"/>
  <c r="L25" i="26" s="1"/>
  <c r="K24" i="26"/>
  <c r="L24" i="26" s="1"/>
  <c r="K22" i="26"/>
  <c r="L22" i="26" s="1"/>
  <c r="K21" i="26"/>
  <c r="L21" i="26" s="1"/>
  <c r="K20" i="26"/>
  <c r="C9" i="26"/>
  <c r="K7" i="26"/>
  <c r="L7" i="26" s="1"/>
  <c r="K6" i="26"/>
  <c r="L6" i="26" s="1"/>
  <c r="K5" i="26"/>
  <c r="L5" i="26" s="1"/>
  <c r="K4" i="26"/>
  <c r="L4" i="26" s="1"/>
  <c r="K3" i="26"/>
  <c r="E33" i="23" a="1"/>
  <c r="G34" i="23" s="1"/>
  <c r="D33" i="23" a="1"/>
  <c r="D33" i="23" s="1"/>
  <c r="C27" i="23"/>
  <c r="M25" i="23"/>
  <c r="M24" i="23"/>
  <c r="M23" i="23"/>
  <c r="M22" i="23"/>
  <c r="M21" i="23"/>
  <c r="C9" i="23"/>
  <c r="H7" i="23"/>
  <c r="I7" i="23" s="1"/>
  <c r="H6" i="23"/>
  <c r="I6" i="23" s="1"/>
  <c r="H5" i="23"/>
  <c r="I5" i="23" s="1"/>
  <c r="H4" i="23"/>
  <c r="I4" i="23" s="1"/>
  <c r="H3" i="23"/>
  <c r="I3" i="23" s="1"/>
  <c r="E35" i="11" a="1"/>
  <c r="D35" i="11" a="1"/>
  <c r="D35" i="11" s="1"/>
  <c r="C33" i="11"/>
  <c r="C14" i="11"/>
  <c r="H12" i="11"/>
  <c r="I12" i="11" s="1"/>
  <c r="H11" i="11"/>
  <c r="I11" i="11" s="1"/>
  <c r="H10" i="11"/>
  <c r="I10" i="11" s="1"/>
  <c r="H9" i="11"/>
  <c r="I9" i="11" s="1"/>
  <c r="H8" i="11"/>
  <c r="I8" i="11" s="1"/>
  <c r="H7" i="11"/>
  <c r="I7" i="11" s="1"/>
  <c r="H6" i="11"/>
  <c r="I6" i="11" s="1"/>
  <c r="H5" i="11"/>
  <c r="I5" i="11" s="1"/>
  <c r="H4" i="11"/>
  <c r="I4" i="11" s="1"/>
  <c r="H3" i="11"/>
  <c r="E16" i="11" a="1"/>
  <c r="D16" i="11" a="1"/>
  <c r="D16" i="11" s="1"/>
  <c r="E15" i="30" a="1"/>
  <c r="D15" i="30" a="1"/>
  <c r="D15" i="30" s="1"/>
  <c r="E16" i="17" a="1"/>
  <c r="D16" i="17" a="1"/>
  <c r="D16" i="17" s="1"/>
  <c r="E20" i="14" a="1"/>
  <c r="D20" i="14" a="1"/>
  <c r="D20" i="14" s="1"/>
  <c r="E13" i="26" a="1"/>
  <c r="D13" i="26" a="1"/>
  <c r="D13" i="26" s="1"/>
  <c r="E15" i="23" a="1"/>
  <c r="D15" i="23" a="1"/>
  <c r="D15" i="23" s="1"/>
  <c r="E16" i="29" a="1"/>
  <c r="D16" i="29" a="1"/>
  <c r="D16" i="29" s="1"/>
  <c r="G35" i="29" l="1"/>
  <c r="I28" i="29"/>
  <c r="I9" i="23"/>
  <c r="I10" i="23" s="1"/>
  <c r="F34" i="23"/>
  <c r="H9" i="23"/>
  <c r="L28" i="30"/>
  <c r="I13" i="17"/>
  <c r="I14" i="17" s="1"/>
  <c r="G39" i="17"/>
  <c r="I13" i="14"/>
  <c r="I14" i="14" s="1"/>
  <c r="G47" i="14"/>
  <c r="H39" i="14"/>
  <c r="K13" i="20"/>
  <c r="K14" i="20" s="1"/>
  <c r="J34" i="20"/>
  <c r="K27" i="26"/>
  <c r="K9" i="26"/>
  <c r="D46" i="11"/>
  <c r="F46" i="11" s="1"/>
  <c r="F44" i="11"/>
  <c r="C3" i="31" s="1"/>
  <c r="E3" i="31" s="1"/>
  <c r="E14" i="31" s="1"/>
  <c r="H27" i="23"/>
  <c r="G36" i="11"/>
  <c r="H14" i="11"/>
  <c r="E33" i="30"/>
  <c r="P21" i="30"/>
  <c r="M28" i="30" s="1"/>
  <c r="M29" i="30" s="1"/>
  <c r="F34" i="30"/>
  <c r="N22" i="29"/>
  <c r="J28" i="29" s="1"/>
  <c r="J29" i="29" s="1"/>
  <c r="E34" i="29"/>
  <c r="F35" i="29"/>
  <c r="J10" i="29"/>
  <c r="J11" i="29" s="1"/>
  <c r="I10" i="29"/>
  <c r="I35" i="17"/>
  <c r="I36" i="17" s="1"/>
  <c r="E38" i="17"/>
  <c r="H35" i="17"/>
  <c r="F39" i="17"/>
  <c r="H13" i="17"/>
  <c r="J26" i="14"/>
  <c r="I39" i="14" s="1"/>
  <c r="I40" i="14" s="1"/>
  <c r="E46" i="14"/>
  <c r="H13" i="14"/>
  <c r="O26" i="20"/>
  <c r="K34" i="20" s="1"/>
  <c r="K35" i="20" s="1"/>
  <c r="E38" i="20"/>
  <c r="F39" i="20"/>
  <c r="G39" i="20"/>
  <c r="F40" i="20"/>
  <c r="J13" i="20"/>
  <c r="L20" i="26"/>
  <c r="L27" i="26" s="1"/>
  <c r="L28" i="26" s="1"/>
  <c r="E31" i="26"/>
  <c r="F32" i="26"/>
  <c r="L3" i="26"/>
  <c r="L9" i="26" s="1"/>
  <c r="L10" i="26" s="1"/>
  <c r="I27" i="23"/>
  <c r="I28" i="23" s="1"/>
  <c r="E33" i="23"/>
  <c r="I33" i="11"/>
  <c r="I34" i="11" s="1"/>
  <c r="E35" i="11"/>
  <c r="H33" i="11"/>
  <c r="F36" i="11"/>
  <c r="I3" i="11"/>
  <c r="I14" i="11" s="1"/>
  <c r="I15" i="11" s="1"/>
  <c r="E15" i="30"/>
  <c r="E16" i="29"/>
  <c r="G17" i="29"/>
  <c r="F17" i="29"/>
  <c r="E16" i="17"/>
  <c r="G17" i="17"/>
  <c r="F17" i="17"/>
  <c r="E20" i="14"/>
  <c r="G21" i="14"/>
  <c r="F21" i="14"/>
  <c r="E13" i="26"/>
  <c r="F14" i="26"/>
  <c r="G14" i="26"/>
  <c r="E15" i="23"/>
  <c r="G16" i="23"/>
  <c r="F16" i="23"/>
  <c r="E16" i="11"/>
  <c r="G17" i="11"/>
  <c r="F17" i="11"/>
  <c r="D19" i="20" a="1"/>
  <c r="D19" i="20" s="1"/>
  <c r="G33" i="30" l="1"/>
  <c r="F33" i="30"/>
  <c r="G34" i="29"/>
  <c r="F34" i="29"/>
  <c r="G38" i="17"/>
  <c r="F38" i="17"/>
  <c r="G46" i="14"/>
  <c r="F46" i="14"/>
  <c r="G38" i="20"/>
  <c r="F38" i="20"/>
  <c r="G31" i="26"/>
  <c r="F31" i="26"/>
  <c r="G33" i="23"/>
  <c r="F33" i="23"/>
  <c r="G35" i="11"/>
  <c r="F35" i="11"/>
  <c r="F16" i="29"/>
  <c r="G16" i="29"/>
  <c r="G16" i="17"/>
  <c r="F16" i="17"/>
  <c r="G20" i="14"/>
  <c r="F20" i="14"/>
  <c r="F13" i="26"/>
  <c r="G13" i="26"/>
  <c r="G15" i="23"/>
  <c r="F15" i="23"/>
  <c r="F16" i="11"/>
  <c r="G16" i="11"/>
  <c r="E19" i="20" a="1"/>
  <c r="C10" i="30"/>
  <c r="L8" i="30"/>
  <c r="M8" i="30" s="1"/>
  <c r="L7" i="30"/>
  <c r="M7" i="30" s="1"/>
  <c r="L6" i="30"/>
  <c r="L5" i="30"/>
  <c r="M5" i="30" s="1"/>
  <c r="L4" i="30"/>
  <c r="M4" i="30" s="1"/>
  <c r="L3" i="30"/>
  <c r="F15" i="30" s="1"/>
  <c r="M3" i="30" l="1"/>
  <c r="G15" i="30" s="1"/>
  <c r="L10" i="30"/>
  <c r="M6" i="30"/>
  <c r="G16" i="30" s="1"/>
  <c r="F16" i="30"/>
  <c r="E19" i="20"/>
  <c r="G21" i="20"/>
  <c r="G20" i="20"/>
  <c r="F21" i="20"/>
  <c r="F20" i="20"/>
  <c r="M10" i="30" l="1"/>
  <c r="M11" i="30" s="1"/>
  <c r="F19" i="20"/>
  <c r="G19"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<sst xmlns="http://schemas.openxmlformats.org/spreadsheetml/2006/main" count="967" uniqueCount="71">
  <si>
    <t>804-15022</t>
  </si>
  <si>
    <t>W10x17</t>
  </si>
  <si>
    <t>804-15017</t>
  </si>
  <si>
    <t>W18x50</t>
  </si>
  <si>
    <t>Total Waste</t>
  </si>
  <si>
    <t>Total Cut Length</t>
  </si>
  <si>
    <t>Cut Length9</t>
  </si>
  <si>
    <t>Cut Length8</t>
  </si>
  <si>
    <t>Cut Length7</t>
  </si>
  <si>
    <t>Cut Length6</t>
  </si>
  <si>
    <t>Cut Length5</t>
  </si>
  <si>
    <t>Cut Length4</t>
  </si>
  <si>
    <t>Cut Length3</t>
  </si>
  <si>
    <t>Cut Length2</t>
  </si>
  <si>
    <t>Cut Length1</t>
  </si>
  <si>
    <t>Purchase Length</t>
  </si>
  <si>
    <t>Raw Material</t>
  </si>
  <si>
    <t>Item Description</t>
  </si>
  <si>
    <t>804-15023</t>
  </si>
  <si>
    <t>W12x30</t>
  </si>
  <si>
    <t>Description</t>
  </si>
  <si>
    <t>STA P01554</t>
  </si>
  <si>
    <t>STA P01642</t>
  </si>
  <si>
    <t>STA P01660</t>
  </si>
  <si>
    <t>CYO P01316</t>
  </si>
  <si>
    <t>CYO P01486</t>
  </si>
  <si>
    <t>CYO P01633</t>
  </si>
  <si>
    <t>NTT P01560</t>
  </si>
  <si>
    <t>NTT P01640</t>
  </si>
  <si>
    <t>QTS P01533</t>
  </si>
  <si>
    <t>QTS P01522</t>
  </si>
  <si>
    <t>QTS P01597</t>
  </si>
  <si>
    <t>CGX P01643</t>
  </si>
  <si>
    <t>YNDR P01664</t>
  </si>
  <si>
    <t>Current Design</t>
  </si>
  <si>
    <t>Optimized Beam Length</t>
  </si>
  <si>
    <t>Purchase Length Delta</t>
  </si>
  <si>
    <t>W18x50 (ft)</t>
  </si>
  <si>
    <t>$/FT</t>
  </si>
  <si>
    <t>2023 Units</t>
  </si>
  <si>
    <t>2023 Savings</t>
  </si>
  <si>
    <t>Cost Savings/Unit</t>
  </si>
  <si>
    <t>W10x17 (ft)</t>
  </si>
  <si>
    <t>Totals</t>
  </si>
  <si>
    <t>W12x30 (ft)</t>
  </si>
  <si>
    <t>Design</t>
  </si>
  <si>
    <t>Unit Savings</t>
  </si>
  <si>
    <t>CYO P01316
CYO P01486</t>
  </si>
  <si>
    <t>NTT P01560
NTT P01640</t>
  </si>
  <si>
    <t>QTS P01533
QTS P01522</t>
  </si>
  <si>
    <t>STA P01554
STA P01642
STA P01660</t>
  </si>
  <si>
    <t>Total 2023 Savings</t>
  </si>
  <si>
    <t>PNs Required</t>
  </si>
  <si>
    <t>Length (in)</t>
  </si>
  <si>
    <t># of PNs</t>
  </si>
  <si>
    <t>Cut Length10</t>
  </si>
  <si>
    <t>Cut Length11</t>
  </si>
  <si>
    <t>(Same FAB set used for P01486 as well)</t>
  </si>
  <si>
    <t>Not same (beam lengths are changed)</t>
  </si>
  <si>
    <t>FBD Optimized Beam Length</t>
  </si>
  <si>
    <t xml:space="preserve">Remarks:
1. 732" is not there for W10x17 beam, so 728 is used for that and updated other accordingly.
2. Considered Kerf 3/16" per cut and 2" for square up edges.
</t>
  </si>
  <si>
    <t xml:space="preserve">Remarks:
1. Missed cut lengths 150.5" &amp; 27.125" are added.
2. Considered Kerf 3/16" per cut and 2" for square up edges.
</t>
  </si>
  <si>
    <t>Kerf &amp; Square off</t>
  </si>
  <si>
    <t>Total wastage after Kerf &amp; Square off</t>
  </si>
  <si>
    <t>Verified kerf &amp; square off on edges</t>
  </si>
  <si>
    <t>Remarks:
1. 732" is not there for W10x17 beam, so updated accordingly.
2.Total wastage (1") is less than minimum stock requirement for kerf &amp; square off. So purchase length 332" also updated
3. Considered Kerf 3/16" per cut and 2" for square up edges.</t>
  </si>
  <si>
    <t xml:space="preserve">Remarks:
1. Used long length (764) beams instead of short length(308) to reduce the wastage.
2. This optimized beam bom is applicable for P01522, P01533 &amp; P01597.
3. Considered Kerf 3/16" per cut and 2" for square up edges.
</t>
  </si>
  <si>
    <t>Remarks:
1.Total wastage (2") is less than minimum stock requirement for kerf &amp; square off. So purchase length 480" updated to 804" &amp; 424".
2. Short length beams for W10x17 is used instead of Long length beams 804" to reduce the total wastage.
3.Considered Kerf 3/16" per cut and 2" for square up edges.</t>
  </si>
  <si>
    <t xml:space="preserve">Remarks:
1. Used long length (764 &amp; 688) beams instead of short length(308) to reduce the wastage.
2. This optimized beam bom is applicable for P01522, P01533 &amp; P01597.
3. Considered Kerf 3/16" per cut and 2" for square up edges.
</t>
  </si>
  <si>
    <t>Remarks:
1.Total wastage (1.25") is less than minimum stock requirement for kerf &amp; square off. So purchase length 764" updated to 308" &amp; 604".
2. Shall we increase 764"  to 768" for W10x17 beam to avoid this 1.25" shortage? (If it is ok, we need to update P01643, P01533, P01664 &amp; P01597 by 768" length)
3.Considered Kerf 3/16" per cut and 2" for square up edges.</t>
  </si>
  <si>
    <t>Remarks:
1. Total wastage (1.75") is less than minimum stock requirement for kerf &amp; square off. So purchase length 688" is updated.
2. There is 0.25" shortage in the required length on 700" beam for W12x30 &amp; 604" beam for W10x17. 
3. Shall we use our standard length 720" for W12x30 beam instead of 700" to avoid this 0.25" shortage?
4. Shall we use 608" for W10x17 beam instead of 604" to avoid this 0.25" shortage?  (If it is ok, we need to update P01316 &amp; P01554 by 608" length)
5.Considered Kerf 3/16" per cut and 2" for square up edges.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</si>
</sst>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0.000"/>
  </numFmts>
  <fonts count="9" x14ac:knownFonts="1">
    <font>
      <sz val="11"/>
      <color theme="1"/>
      <name val="Calibri"/>
      <family val="2"/>
      <scheme val="minor"/>
    </font>
    <font>
      <sz val="11"/>
      <color indexed="8"/>
      <name val="Calibri"/>
      <family val="2"/>
    </font>
    <font>
      <sz val="11"/>
      <color indexed="8"/>
      <name val="Calibri"/>
      <family val="2"/>
      <charset val="1"/>
    </font>
    <font>
      <sz val="10"/>
      <color theme="1"/>
      <name val="Arial"/>
      <family val="2"/>
    </font>
    <font>
      <sz val="8"/>
      <name val="Calibri"/>
      <family val="2"/>
      <scheme val="minor"/>
    </font>
    <font>
      <b/>
      <i/>
      <sz val="11"/>
      <color theme="1"/>
      <name val="Calibri"/>
      <family val="2"/>
      <scheme val="minor"/>
    </font>
    <font>
      <b/>
      <i/>
      <sz val="11"/>
      <color rgb="FFFF0000"/>
      <name val="Calibri"/>
      <family val="2"/>
      <scheme val="minor"/>
    </font>
    <font>
      <b/>
      <sz val="11"/>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FFFF00"/>
        <bgColor theme="4" tint="0.79998168889431442"/>
      </patternFill>
    </fill>
    <fill>
      <patternFill patternType="solid">
        <fgColor theme="7" tint="0.39997558519241921"/>
        <bgColor indexed="64"/>
      </patternFill>
    </fill>
    <fill>
      <patternFill patternType="solid">
        <fgColor theme="7" tint="-0.249977111117893"/>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2" fillId="0" borderId="0"/>
  </cellStyleXfs>
  <cellXfs count="56">
    <xf numFmtId="0" fontId="0" fillId="0" borderId="0" xfId="0"/>
    <xf numFmtId="10" fontId="0" fillId="0" borderId="0" xfId="0" applyNumberFormat="1"/>
    <xf numFmtId="0" fontId="0" fillId="0" borderId="2" xfId="0" applyBorder="1"/>
    <xf numFmtId="0" fontId="0" fillId="0" borderId="4" xfId="0" applyBorder="1"/>
    <xf numFmtId="0" fontId="0" fillId="0" borderId="5" xfId="0" applyBorder="1"/>
    <xf numFmtId="0" fontId="0" fillId="0" borderId="1" xfId="0" applyBorder="1"/>
    <xf numFmtId="0" fontId="0" fillId="0" borderId="6" xfId="0" applyBorder="1"/>
    <xf numFmtId="0" fontId="0" fillId="0" borderId="3" xfId="0" applyBorder="1"/>
    <xf numFmtId="0" fontId="3" fillId="0" borderId="4" xfId="0" applyFont="1" applyBorder="1"/>
    <xf numFmtId="0" fontId="3" fillId="0" borderId="3" xfId="0" applyFont="1" applyBorder="1" applyAlignment="1">
      <alignment horizontal="center"/>
    </xf>
    <xf numFmtId="0" fontId="3" fillId="0" borderId="3" xfId="0" applyFont="1" applyBorder="1"/>
    <xf numFmtId="0" fontId="3" fillId="0" borderId="2" xfId="0" applyFont="1" applyBorder="1"/>
    <xf numFmtId="0" fontId="3" fillId="0" borderId="6" xfId="0" applyFont="1" applyBorder="1"/>
    <xf numFmtId="0" fontId="3" fillId="0" borderId="1" xfId="0" applyFont="1" applyBorder="1" applyAlignment="1">
      <alignment horizontal="center"/>
    </xf>
    <xf numFmtId="0" fontId="3" fillId="0" borderId="1" xfId="0" applyFont="1" applyBorder="1"/>
    <xf numFmtId="0" fontId="3" fillId="0" borderId="5" xfId="0" applyFont="1" applyBorder="1"/>
    <xf numFmtId="0" fontId="3" fillId="0" borderId="0" xfId="0" applyFont="1"/>
    <xf numFmtId="0" fontId="3" fillId="0" borderId="0" xfId="0" applyFont="1" applyAlignment="1">
      <alignment horizontal="center"/>
    </xf>
    <xf numFmtId="10" fontId="3" fillId="0" borderId="0" xfId="0" applyNumberFormat="1" applyFont="1"/>
    <xf numFmtId="0" fontId="0" fillId="2" borderId="0" xfId="0" applyFill="1"/>
    <xf numFmtId="164" fontId="0" fillId="0" borderId="0" xfId="0" applyNumberFormat="1"/>
    <xf numFmtId="165" fontId="0" fillId="0" borderId="0" xfId="0" applyNumberFormat="1"/>
    <xf numFmtId="164" fontId="5" fillId="0" borderId="0" xfId="0" applyNumberFormat="1" applyFont="1"/>
    <xf numFmtId="0" fontId="6" fillId="0" borderId="0" xfId="0" applyFont="1"/>
    <xf numFmtId="164" fontId="6" fillId="0" borderId="0" xfId="0" applyNumberFormat="1" applyFont="1"/>
    <xf numFmtId="0" fontId="0" fillId="0" borderId="0" xfId="0" applyAlignment="1">
      <alignment wrapText="1"/>
    </xf>
    <xf numFmtId="166" fontId="0" fillId="0" borderId="0" xfId="0" applyNumberFormat="1"/>
    <xf numFmtId="2" fontId="0" fillId="0" borderId="0" xfId="0" applyNumberFormat="1"/>
    <xf numFmtId="0" fontId="0" fillId="3" borderId="0" xfId="0" applyFill="1"/>
    <xf numFmtId="0" fontId="0" fillId="5" borderId="0" xfId="0" applyFill="1"/>
    <xf numFmtId="0" fontId="0" fillId="5" borderId="1" xfId="0" applyFill="1" applyBorder="1"/>
    <xf numFmtId="0" fontId="0" fillId="6" borderId="0" xfId="0" applyFill="1"/>
    <xf numFmtId="0" fontId="3" fillId="0" borderId="8" xfId="0" applyFont="1" applyBorder="1"/>
    <xf numFmtId="0" fontId="3" fillId="5" borderId="1" xfId="0" applyFont="1" applyFill="1" applyBorder="1"/>
    <xf numFmtId="0" fontId="3" fillId="3" borderId="1" xfId="0" applyFont="1" applyFill="1" applyBorder="1"/>
    <xf numFmtId="0" fontId="0" fillId="0" borderId="0" xfId="0" applyAlignment="1">
      <alignment vertical="top"/>
    </xf>
    <xf numFmtId="0" fontId="0" fillId="7" borderId="7" xfId="0" applyFill="1" applyBorder="1"/>
    <xf numFmtId="0" fontId="0" fillId="5" borderId="7" xfId="0" applyFill="1" applyBorder="1"/>
    <xf numFmtId="0" fontId="7" fillId="0" borderId="0" xfId="0" applyFont="1"/>
    <xf numFmtId="0" fontId="8" fillId="9" borderId="0" xfId="0" applyFont="1" applyFill="1"/>
    <xf numFmtId="0" fontId="8" fillId="9" borderId="0" xfId="0" applyFont="1" applyFill="1" applyAlignment="1">
      <alignment horizontal="center" vertical="center" wrapText="1"/>
    </xf>
    <xf numFmtId="0" fontId="8" fillId="9" borderId="1" xfId="0" applyFont="1" applyFill="1" applyBorder="1" applyAlignment="1">
      <alignment horizontal="center" vertical="top" wrapText="1"/>
    </xf>
    <xf numFmtId="0" fontId="8" fillId="9" borderId="1" xfId="0" applyFont="1" applyFill="1" applyBorder="1" applyAlignment="1">
      <alignment wrapText="1"/>
    </xf>
    <xf numFmtId="0" fontId="8" fillId="9" borderId="1" xfId="0" applyFont="1" applyFill="1" applyBorder="1" applyAlignment="1">
      <alignment vertical="top" wrapText="1"/>
    </xf>
    <xf numFmtId="0" fontId="8" fillId="9" borderId="1" xfId="0" applyFont="1" applyFill="1" applyBorder="1" applyAlignment="1">
      <alignment vertical="center" wrapText="1"/>
    </xf>
    <xf numFmtId="0" fontId="8" fillId="9" borderId="1" xfId="0" applyFont="1" applyFill="1" applyBorder="1" applyAlignment="1">
      <alignment horizontal="center" vertical="center" wrapText="1"/>
    </xf>
    <xf numFmtId="0" fontId="8" fillId="9" borderId="1" xfId="0" applyFont="1" applyFill="1" applyBorder="1" applyAlignment="1">
      <alignment horizontal="center" wrapText="1"/>
    </xf>
    <xf numFmtId="0" fontId="3" fillId="2" borderId="5" xfId="0" applyFont="1" applyFill="1" applyBorder="1"/>
    <xf numFmtId="164" fontId="5" fillId="0" borderId="0" xfId="0" applyNumberFormat="1" applyFont="1" applyAlignment="1">
      <alignment horizontal="right"/>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8" borderId="0" xfId="0" applyFill="1" applyAlignment="1">
      <alignment horizontal="center"/>
    </xf>
    <xf numFmtId="0" fontId="0" fillId="0" borderId="0" xfId="0" applyAlignment="1">
      <alignment horizontal="center"/>
    </xf>
    <xf numFmtId="0" fontId="0" fillId="0" borderId="0" xfId="0" applyAlignment="1">
      <alignment horizontal="right"/>
    </xf>
    <xf numFmtId="0" fontId="0" fillId="4" borderId="9" xfId="0" applyFill="1" applyBorder="1" applyAlignment="1">
      <alignment horizontal="left" vertical="top" wrapText="1"/>
    </xf>
    <xf numFmtId="0" fontId="0" fillId="4" borderId="0" xfId="0" applyFill="1" applyAlignment="1">
      <alignment horizontal="left" vertical="top" wrapText="1"/>
    </xf>
  </cellXfs>
  <cellStyles count="3">
    <cellStyle name="Normal" xfId="0" builtinId="0"/>
    <cellStyle name="Normal 2" xfId="1" xr:uid="{DA655150-E6A6-4D4B-BDB6-4C38E294255C}"/>
    <cellStyle name="Normal 2 2" xfId="2" xr:uid="{545569C2-E285-4FFF-8425-E29FA6B52540}"/>
  </cellStyles>
  <dxfs count="198">
    <dxf>
      <numFmt numFmtId="0" formatCode="General"/>
    </dxf>
    <dxf>
      <numFmt numFmtId="0" formatCode="Genera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0"/>
        <color theme="1"/>
        <name val="Arial"/>
        <family val="2"/>
        <scheme val="none"/>
      </font>
      <border diagonalUp="0" diagonalDown="0" outline="0">
        <left style="thin">
          <color indexed="64"/>
        </left>
        <right/>
        <top style="thin">
          <color indexed="64"/>
        </top>
        <bottom style="thin">
          <color indexed="64"/>
        </bottom>
      </border>
    </dxf>
    <dxf>
      <font>
        <strike val="0"/>
        <outline val="0"/>
        <shadow val="0"/>
        <u val="none"/>
        <vertAlign val="baseline"/>
        <sz val="10"/>
        <color theme="1"/>
        <name val="Arial"/>
        <family val="2"/>
        <scheme val="none"/>
      </font>
      <numFmt numFmtId="0" formatCode="Genera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dxf>
    <dxf>
      <border>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bottom/>
      </border>
    </dxf>
    <dxf>
      <font>
        <strike val="0"/>
        <outline val="0"/>
        <shadow val="0"/>
        <u val="none"/>
        <vertAlign val="baseline"/>
        <sz val="10"/>
        <color theme="1"/>
        <name val="Arial"/>
        <family val="2"/>
        <scheme val="none"/>
      </font>
      <border diagonalUp="0" diagonalDown="0" outline="0">
        <left style="thin">
          <color indexed="64"/>
        </left>
        <right/>
        <top style="thin">
          <color indexed="64"/>
        </top>
        <bottom style="thin">
          <color indexed="64"/>
        </bottom>
      </border>
    </dxf>
    <dxf>
      <font>
        <strike val="0"/>
        <outline val="0"/>
        <shadow val="0"/>
        <u val="none"/>
        <vertAlign val="baseline"/>
        <sz val="10"/>
        <color theme="1"/>
        <name val="Arial"/>
        <family val="2"/>
        <scheme val="none"/>
      </font>
      <numFmt numFmtId="0" formatCode="Genera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dxf>
    <dxf>
      <border>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bottom/>
      </border>
    </dxf>
    <dxf>
      <font>
        <strike val="0"/>
        <outline val="0"/>
        <shadow val="0"/>
        <u val="none"/>
        <vertAlign val="baseline"/>
        <sz val="10"/>
        <color theme="1"/>
        <name val="Arial"/>
        <family val="2"/>
        <scheme val="none"/>
      </font>
      <border diagonalUp="0" diagonalDown="0" outline="0">
        <left style="thin">
          <color indexed="64"/>
        </left>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Arial"/>
        <family val="2"/>
        <scheme val="none"/>
      </font>
    </dxf>
    <dxf>
      <border>
        <bottom style="thin">
          <color indexed="64"/>
        </bottom>
      </border>
    </dxf>
    <dxf>
      <font>
        <strike val="0"/>
        <outline val="0"/>
        <shadow val="0"/>
        <u val="none"/>
        <vertAlign val="baseline"/>
        <sz val="10"/>
        <color theme="1"/>
        <name val="Arial"/>
        <family val="2"/>
        <scheme val="none"/>
      </font>
      <border diagonalUp="0" diagonalDown="0" outline="0">
        <left style="thin">
          <color indexed="64"/>
        </left>
        <right style="thin">
          <color indexed="64"/>
        </right>
        <top/>
        <bottom/>
      </border>
    </dxf>
    <dxf>
      <numFmt numFmtId="0" formatCode="General"/>
    </dxf>
    <dxf>
      <numFmt numFmtId="0" formatCode="General"/>
    </dxf>
    <dxf>
      <fill>
        <patternFill patternType="none">
          <fgColor indexed="64"/>
          <bgColor auto="1"/>
        </patternFill>
      </fill>
      <border diagonalUp="0" diagonalDown="0" outline="0">
        <left style="thin">
          <color indexed="64"/>
        </left>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0" formatCode="General"/>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1D4D975-8D9C-4FAA-99FB-33434818D6B7}" name="Table21" displayName="Table21" ref="B2:E12" totalsRowShown="0">
  <autoFilter ref="B2:E12" xr:uid="{C1D4D975-8D9C-4FAA-99FB-33434818D6B7}"/>
  <tableColumns count="4">
    <tableColumn id="1" xr3:uid="{7E33674A-CE7D-46FD-A505-B06BE932E1BD}" name="Design"/>
    <tableColumn id="2" xr3:uid="{802B0337-7508-4CD7-BA9D-DB57BC3EE30C}" name="Unit Savings" dataDxfId="197"/>
    <tableColumn id="3" xr3:uid="{C2D77A4E-06D2-4483-8AF5-20BDCF85AE0A}" name="2023 Units"/>
    <tableColumn id="4" xr3:uid="{63D2C57B-E1C1-49D0-8203-D23CE1B526F1}" name="2023 Savings" dataDxfId="196">
      <calculatedColumnFormula>C3*D3</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42B5235-BAE3-41CE-84E5-C20B9341AB38}" name="Table26" displayName="Table26" ref="G2:H22" totalsRowShown="0">
  <autoFilter ref="G2:H22" xr:uid="{D42B5235-BAE3-41CE-84E5-C20B9341AB38}"/>
  <tableColumns count="2">
    <tableColumn id="1" xr3:uid="{704CE862-4EA9-468B-895C-2DF9BDECAF4D}" name="PNs Required"/>
    <tableColumn id="2" xr3:uid="{4D769702-746B-437E-906F-EEDBCAC5F925}" name="Length (in)"/>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0ECAB-61D7-41F6-B7E6-7CD4A699E3C3}" name="Table28" displayName="Table28" ref="A2:I12" totalsRowShown="0">
  <autoFilter ref="A2:I12" xr:uid="{F166B7D2-734F-49A3-B242-5E851F9D129E}"/>
  <tableColumns count="9">
    <tableColumn id="1" xr3:uid="{43ACDF5C-21E1-4C88-B23B-C77C6E730C71}" name="Item Description"/>
    <tableColumn id="2" xr3:uid="{040146CF-3B4E-4BF8-AA73-CCEB995351D9}" name="Raw Material"/>
    <tableColumn id="3" xr3:uid="{5763DC89-C344-438E-9E38-A827DDF211CC}" name="Purchase Length"/>
    <tableColumn id="4" xr3:uid="{D0F90EC8-1C59-4A60-9787-FD2BBC1127EE}" name="Cut Length1"/>
    <tableColumn id="5" xr3:uid="{DB0B6E2F-7556-4F81-8B39-09A68D8E759A}" name="Cut Length2"/>
    <tableColumn id="6" xr3:uid="{B76AC5B3-D1A2-47EA-B124-223F9304E76F}" name="Cut Length3"/>
    <tableColumn id="7" xr3:uid="{C2E66626-0627-4582-A451-74922B381673}" name="Cut Length4"/>
    <tableColumn id="20" xr3:uid="{30F7CF4D-163C-4084-B880-B18E16B014A5}" name="Total Cut Length"/>
    <tableColumn id="21" xr3:uid="{43F09760-24D3-4E2B-9913-6854175CAE59}" name="Total Wast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276470-9061-44BF-9A10-3B8F1D9FA6FE}" name="Table284" displayName="Table284" ref="A21:J31" totalsRowShown="0">
  <autoFilter ref="A21:J31" xr:uid="{36276470-9061-44BF-9A10-3B8F1D9FA6FE}"/>
  <tableColumns count="10">
    <tableColumn id="1" xr3:uid="{E6C4CCCD-B69E-407C-B788-73C0142047F9}" name="Item Description"/>
    <tableColumn id="2" xr3:uid="{831A7BF7-2B79-4D6C-A13F-2515645F73D3}" name="Raw Material"/>
    <tableColumn id="3" xr3:uid="{42C90F75-606B-4329-BB35-931B9E3B0598}" name="Purchase Length"/>
    <tableColumn id="4" xr3:uid="{F7C2D37C-C64E-4B87-B1A2-34C45740A526}" name="Cut Length1"/>
    <tableColumn id="5" xr3:uid="{D29F51AC-4FEA-4762-A70F-3E9622F506F3}" name="Cut Length2"/>
    <tableColumn id="6" xr3:uid="{775F84CA-CCD2-4AC7-836A-81BFF441C24A}" name="Cut Length3"/>
    <tableColumn id="7" xr3:uid="{6F3DF5A9-A92F-4A06-9EB4-5C2D643BFF1F}" name="Cut Length4"/>
    <tableColumn id="8" xr3:uid="{39971C42-B010-4FDC-A9C8-C3FE7DC31C57}" name="Cut Length5"/>
    <tableColumn id="20" xr3:uid="{93F3A3F2-FC2E-4CAD-B530-58110421B37F}" name="Total Cut Length" dataDxfId="195">
      <calculatedColumnFormula>SUM(Table284[[#This Row],[Cut Length1]:[Cut Length5]])</calculatedColumnFormula>
    </tableColumn>
    <tableColumn id="21" xr3:uid="{8DDC5A27-DF79-42C8-9010-46238ED7E52C}" name="Total Waste">
      <calculatedColumnFormula>Table284[[#This Row],[Purchase Length]]-Table284[[#This Row],[Total Cut Length]]</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7927E8B-B42F-4BCB-BEC5-B138F142A347}" name="Table2842527" displayName="Table2842527" ref="A53:J61" totalsRowShown="0">
  <autoFilter ref="A53:J61" xr:uid="{37927E8B-B42F-4BCB-BEC5-B138F142A347}"/>
  <tableColumns count="10">
    <tableColumn id="1" xr3:uid="{F8DF3AEF-A042-4092-B138-67D11F3866B2}" name="Item Description"/>
    <tableColumn id="2" xr3:uid="{39DFDFFC-C425-4E21-96A5-628A5895F23C}" name="Raw Material"/>
    <tableColumn id="3" xr3:uid="{B6B2C68E-5749-4D3B-9DE4-4DDE64FFF387}" name="Purchase Length"/>
    <tableColumn id="4" xr3:uid="{7EAF20A4-BEA1-46C2-86BB-ACE3FE78B02B}" name="Cut Length1"/>
    <tableColumn id="5" xr3:uid="{A39C1D33-35E8-4E4E-A246-BAA67D4AB0AC}" name="Cut Length2"/>
    <tableColumn id="6" xr3:uid="{8E56D951-4E6D-4B76-AD67-1FADA8ABDC70}" name="Cut Length3"/>
    <tableColumn id="7" xr3:uid="{1ACE5250-B383-466A-B2DA-1D372A25D695}" name="Cut Length4"/>
    <tableColumn id="8" xr3:uid="{09ACBFCB-AB96-415E-955F-80151A60EE7A}" name="Cut Length5"/>
    <tableColumn id="20" xr3:uid="{4FC4FA3D-C081-42BF-AE84-E5DC4B2A3EB1}" name="Total Cut Length" dataDxfId="194">
      <calculatedColumnFormula>SUM(Table2842527[[#This Row],[Cut Length1]:[Cut Length5]])</calculatedColumnFormula>
    </tableColumn>
    <tableColumn id="21" xr3:uid="{5E50E229-AF1B-4424-B074-A0358A64B11F}" name="Total Waste">
      <calculatedColumnFormula>Table2842527[[#This Row],[Purchase Length]]-Table2842527[[#This Row],[Total Cut Length]]</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E651E91-F32E-4E85-BDBF-73949693D640}" name="Table221" displayName="Table221" ref="A2:L7" totalsRowShown="0" headerRowDxfId="193" headerRowBorderDxfId="192" tableBorderDxfId="191" totalsRowBorderDxfId="190">
  <autoFilter ref="A2:L7" xr:uid="{888AB3DF-6411-430D-A6D0-BCD35ACF8034}"/>
  <tableColumns count="12">
    <tableColumn id="1" xr3:uid="{34F6AC52-847B-4C12-B4E4-31544C3DCDC1}" name="Item Description" dataDxfId="189"/>
    <tableColumn id="2" xr3:uid="{C5E3FDF5-BACB-4BC2-87C0-1B4BF4818E30}" name="Raw Material" dataDxfId="188"/>
    <tableColumn id="3" xr3:uid="{B0D52243-9D86-4D93-B45C-EA0DD125EC46}" name="Purchase Length" dataDxfId="187"/>
    <tableColumn id="4" xr3:uid="{53CD6BEB-9C40-4203-9D2B-D7148168C849}" name="Cut Length1" dataDxfId="186"/>
    <tableColumn id="5" xr3:uid="{8012C6B3-6675-4437-9EB2-72F5B96D7B00}" name="Cut Length2" dataDxfId="185"/>
    <tableColumn id="6" xr3:uid="{B7EFF719-65CD-4BB1-A226-42601C8E748A}" name="Cut Length3" dataDxfId="184"/>
    <tableColumn id="7" xr3:uid="{B2674519-F632-4F0A-ABDF-9CD872CCCE38}" name="Cut Length4" dataDxfId="183"/>
    <tableColumn id="8" xr3:uid="{BE4C89B4-DCFA-41FA-9E7C-09775762ADF0}" name="Cut Length5" dataDxfId="182"/>
    <tableColumn id="9" xr3:uid="{0BAC76ED-8B00-49C8-8292-6FC640B67223}" name="Cut Length6" dataDxfId="181"/>
    <tableColumn id="10" xr3:uid="{CC40F588-F862-4338-82DE-1E661294FA70}" name="Cut Length7" dataDxfId="180"/>
    <tableColumn id="37" xr3:uid="{E093DDC3-07B8-40C0-A477-40FD324BBFF5}" name="Total Cut Length" dataDxfId="179"/>
    <tableColumn id="38" xr3:uid="{93A9D7AC-2536-4F4B-B68E-5ACCFF298F64}" name="Total Waste" dataDxfId="17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98EEAD-8BF0-4F6F-BF4D-744531B2B1C8}" name="Table2219" displayName="Table2219" ref="A19:L25" totalsRowShown="0" headerRowDxfId="177" dataDxfId="175" headerRowBorderDxfId="176" tableBorderDxfId="174" totalsRowBorderDxfId="173">
  <autoFilter ref="A19:L25" xr:uid="{B498EEAD-8BF0-4F6F-BF4D-744531B2B1C8}"/>
  <tableColumns count="12">
    <tableColumn id="1" xr3:uid="{8EC38527-FCDD-41D7-9062-616D663CBD7C}" name="Item Description" dataDxfId="172"/>
    <tableColumn id="2" xr3:uid="{4143012E-6C49-43F4-A56C-91F28D2FE46A}" name="Raw Material" dataDxfId="171"/>
    <tableColumn id="3" xr3:uid="{D9DCD802-5689-4965-9E16-EF3E6FF0DE14}" name="Purchase Length" dataDxfId="170"/>
    <tableColumn id="4" xr3:uid="{F905F3C4-B51E-4B35-8B88-99EBC9B31E71}" name="Cut Length1" dataDxfId="169"/>
    <tableColumn id="5" xr3:uid="{41DD7FB4-ED72-4293-AFE7-8EC36E1E0104}" name="Cut Length2" dataDxfId="168"/>
    <tableColumn id="6" xr3:uid="{C15CABD8-F4D6-4C0F-8E48-B947AE2D807B}" name="Cut Length3" dataDxfId="167"/>
    <tableColumn id="7" xr3:uid="{55DE4ED7-9668-48D4-96E9-BBAA0876B139}" name="Cut Length4" dataDxfId="166"/>
    <tableColumn id="8" xr3:uid="{5C3B19BC-6991-4F8E-AF5E-C06782817DF6}" name="Cut Length5" dataDxfId="165"/>
    <tableColumn id="9" xr3:uid="{BDEFE62C-1E43-41B7-A540-CA36A030E8B9}" name="Cut Length6" dataDxfId="164"/>
    <tableColumn id="10" xr3:uid="{F7735CBB-8C64-4116-8E74-F294D5BBF257}" name="Cut Length7" dataDxfId="163"/>
    <tableColumn id="37" xr3:uid="{053D1816-9ADC-435F-B2E2-34D91057BE63}" name="Total Cut Length" dataDxfId="162">
      <calculatedColumnFormula>SUM(Table2219[[#This Row],[Cut Length1]:[Cut Length7]])</calculatedColumnFormula>
    </tableColumn>
    <tableColumn id="38" xr3:uid="{39C86715-353B-4C6D-9DEF-84C4EF8F92C0}" name="Total Waste" dataDxfId="161">
      <calculatedColumnFormula>Table2219[[#This Row],[Purchase Length]]-Table2219[[#This Row],[Total Cut Length]]</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43E8D646-34D9-4175-9F04-684837468AC6}" name="Table221928" displayName="Table221928" ref="A41:L47" totalsRowShown="0" headerRowDxfId="160" dataDxfId="158" headerRowBorderDxfId="159" tableBorderDxfId="157" totalsRowBorderDxfId="156">
  <autoFilter ref="A41:L47" xr:uid="{43E8D646-34D9-4175-9F04-684837468AC6}"/>
  <tableColumns count="12">
    <tableColumn id="1" xr3:uid="{396E0349-0AB2-43AE-9281-8BAF701AD2B0}" name="Item Description" dataDxfId="155"/>
    <tableColumn id="2" xr3:uid="{6610FB39-36BC-4AF8-A6A8-4CB3FED75CEC}" name="Raw Material" dataDxfId="154"/>
    <tableColumn id="3" xr3:uid="{40335B03-2BDD-45A0-A221-674DCB4C28F7}" name="Purchase Length" dataDxfId="153"/>
    <tableColumn id="4" xr3:uid="{0FC834AF-0E9E-4EFC-B639-F7D1EAC48F6B}" name="Cut Length1" dataDxfId="152"/>
    <tableColumn id="5" xr3:uid="{9EE93B7F-4C37-4FE6-B87D-0F406075C8FF}" name="Cut Length2" dataDxfId="151"/>
    <tableColumn id="6" xr3:uid="{BBD65D11-4EA8-4A58-B18D-39CC5AC69A31}" name="Cut Length3" dataDxfId="150"/>
    <tableColumn id="7" xr3:uid="{775F980E-D596-48C4-A2FC-83E2B111549E}" name="Cut Length4" dataDxfId="149"/>
    <tableColumn id="8" xr3:uid="{C70C44F0-5F1F-4995-BA61-C7E8B1F5A33D}" name="Cut Length5" dataDxfId="148"/>
    <tableColumn id="9" xr3:uid="{A3B95222-DC82-4D3D-A42B-B8A0059BD3AE}" name="Cut Length6" dataDxfId="147"/>
    <tableColumn id="10" xr3:uid="{B48950D6-52DE-4073-91A4-0770D59AC06D}" name="Cut Length7" dataDxfId="146"/>
    <tableColumn id="37" xr3:uid="{33F3610C-336D-42A0-8752-751B9F9AC68C}" name="Total Cut Length" dataDxfId="145">
      <calculatedColumnFormula>SUM(Table221928[[#This Row],[Cut Length1]:[Cut Length7]])</calculatedColumnFormula>
    </tableColumn>
    <tableColumn id="38" xr3:uid="{F3D77BD8-FAF6-457E-A75F-FAE532A455E1}" name="Total Waste" dataDxfId="144">
      <calculatedColumnFormula>Table221928[[#This Row],[Purchase Length]]-Table221928[[#This Row],[Total Cut Length]]</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80E6D59-3F5B-4E2D-BD27-4720395A6A57}" name="Table211" displayName="Table211" ref="A2:I11" totalsRowShown="0">
  <autoFilter ref="A2:I11" xr:uid="{38FDAF90-3DD9-4EEE-B715-E8EFF34FF9D5}"/>
  <tableColumns count="9">
    <tableColumn id="1" xr3:uid="{E9485756-1880-4798-8479-E78653685326}" name="Item Description"/>
    <tableColumn id="2" xr3:uid="{DDE5076A-AED6-43BE-B41D-EA2CA5DA8C59}" name="Raw Material"/>
    <tableColumn id="3" xr3:uid="{54685D15-5D34-4CEE-B796-1CE4CBF0ABDB}" name="Purchase Length"/>
    <tableColumn id="4" xr3:uid="{EAB579F3-C5D3-4125-9801-044D7EBA976F}" name="Cut Length1"/>
    <tableColumn id="5" xr3:uid="{1C11BCDD-887D-4AF6-A84E-18AA9F2D8D08}" name="Cut Length2"/>
    <tableColumn id="6" xr3:uid="{A335B95D-14E9-4CEF-8099-2C300DC5828F}" name="Cut Length3"/>
    <tableColumn id="7" xr3:uid="{2E22CB81-582C-4057-8663-E04DCD6D525F}" name="Cut Length4"/>
    <tableColumn id="45" xr3:uid="{4DEA1F4B-7A99-4651-BE16-4A664A8ED619}" name="Total Cut Length"/>
    <tableColumn id="46" xr3:uid="{45AB510A-3023-4CA2-9263-1314F42B5FB8}" name="Total Wast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A18E937-7E26-4106-A30E-F310E2778BDF}" name="Table21112" displayName="Table21112" ref="A25:J37" totalsRowShown="0">
  <autoFilter ref="A25:J37" xr:uid="{5A18E937-7E26-4106-A30E-F310E2778BDF}"/>
  <tableColumns count="10">
    <tableColumn id="1" xr3:uid="{F225EEBF-5A1A-43F4-946F-DAE6C6382FAF}" name="Item Description"/>
    <tableColumn id="2" xr3:uid="{1B9D7C6A-D1DA-4203-95BC-CBAF3B269936}" name="Raw Material"/>
    <tableColumn id="3" xr3:uid="{4BAC155F-5B70-410D-A13B-C1FFC71BD50C}" name="Purchase Length"/>
    <tableColumn id="4" xr3:uid="{E2DDE976-A1CB-4B52-B27F-9CB1288DF8F3}" name="Cut Length1"/>
    <tableColumn id="5" xr3:uid="{B5947BB3-92D4-4CB8-93F5-A4390B8FAAB3}" name="Cut Length2"/>
    <tableColumn id="6" xr3:uid="{84B17947-81BA-4195-814D-32820ECC68D0}" name="Cut Length3"/>
    <tableColumn id="7" xr3:uid="{BE6F8E82-0310-421C-BC5B-9C8CC52E48C1}" name="Cut Length4"/>
    <tableColumn id="8" xr3:uid="{206CC56F-ABB0-4154-A783-278B5D673404}" name="Cut Length5"/>
    <tableColumn id="45" xr3:uid="{6175C375-F7C8-45B3-8198-DA44ECD840A7}" name="Total Cut Length" dataDxfId="143">
      <calculatedColumnFormula>SUM(Table21112[[#This Row],[Cut Length1]:[Cut Length5]])</calculatedColumnFormula>
    </tableColumn>
    <tableColumn id="46" xr3:uid="{D31103AC-4149-4D13-85B8-CA7FC1D74B34}" name="Total Waste">
      <calculatedColumnFormula>Table21112[[#This Row],[Purchase Length]]-Table21112[[#This Row],[Total Cut Length]]</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4E833A4-85F1-4C62-83D0-542F002316BF}" name="Table211123133" displayName="Table211123133" ref="A59:J66" totalsRowShown="0">
  <autoFilter ref="A59:J66" xr:uid="{74E833A4-85F1-4C62-83D0-542F002316BF}"/>
  <tableColumns count="10">
    <tableColumn id="1" xr3:uid="{7E34433E-0BAB-45BB-A0A0-8CA143554EC9}" name="Item Description"/>
    <tableColumn id="2" xr3:uid="{B6CBE60D-ADEA-4950-B301-41E35B86C82A}" name="Raw Material"/>
    <tableColumn id="3" xr3:uid="{AD3DA9C3-E94D-4673-9007-599B92D2F4D6}" name="Purchase Length"/>
    <tableColumn id="4" xr3:uid="{5A59BCE6-9D5E-449C-A790-30C2C58F1D01}" name="Cut Length1"/>
    <tableColumn id="5" xr3:uid="{D5A77012-5FBE-45B1-AA16-405217EBFB3E}" name="Cut Length2"/>
    <tableColumn id="6" xr3:uid="{85030C06-8932-48C7-87FD-9F977A429011}" name="Cut Length3"/>
    <tableColumn id="7" xr3:uid="{49302246-FEE6-46BA-AD74-8CBD256AAE04}" name="Cut Length4"/>
    <tableColumn id="8" xr3:uid="{FF9F15B0-3B68-455B-98B7-2353C5CFC82E}" name="Cut Length5"/>
    <tableColumn id="45" xr3:uid="{E42B4CA8-3FF0-495A-B8FF-E27FB640A8B8}" name="Total Cut Length" dataDxfId="142">
      <calculatedColumnFormula>SUM(Table211123133[[#This Row],[Cut Length1]:[Cut Length5]])</calculatedColumnFormula>
    </tableColumn>
    <tableColumn id="46" xr3:uid="{55018B40-D882-46D1-8F1F-ED41B304D279}" name="Total Waste">
      <calculatedColumnFormula>Table211123133[[#This Row],[Purchase Length]]-Table211123133[[#This Row],[Total Cut Length]]</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E4DA53B-08C6-4584-A277-C77AA11D2042}" name="Table223" displayName="Table223" ref="A2:M8" totalsRowShown="0" headerRowDxfId="141" dataDxfId="139" headerRowBorderDxfId="140" tableBorderDxfId="138" totalsRowBorderDxfId="137">
  <autoFilter ref="A2:M8" xr:uid="{BE4DA53B-08C6-4584-A277-C77AA11D2042}"/>
  <tableColumns count="13">
    <tableColumn id="1" xr3:uid="{7D539247-6F12-48B4-8DBB-C86189BB33A1}" name="Item Description" dataDxfId="136"/>
    <tableColumn id="2" xr3:uid="{6BCD472E-1CB6-457D-BB62-E2C0ABA82B1B}" name="Raw Material" dataDxfId="135"/>
    <tableColumn id="3" xr3:uid="{7BF72B11-7062-4F93-9663-1F96152F26E4}" name="Purchase Length" dataDxfId="134"/>
    <tableColumn id="4" xr3:uid="{0644694E-D4AC-4F42-B29F-E17EF47D3B51}" name="Cut Length1" dataDxfId="133"/>
    <tableColumn id="5" xr3:uid="{D2597F76-3BD0-46E4-BAA1-BC2752B1FA83}" name="Cut Length2" dataDxfId="132"/>
    <tableColumn id="6" xr3:uid="{174D7B13-EEE5-4F29-8DB1-104A55EF38C1}" name="Cut Length3" dataDxfId="131"/>
    <tableColumn id="7" xr3:uid="{767EE686-3367-4B41-AA0D-ABC10C3F1691}" name="Cut Length4" dataDxfId="130"/>
    <tableColumn id="8" xr3:uid="{7ED13FC4-D16B-4CAC-BAFC-9607BCF83342}" name="Cut Length5" dataDxfId="129"/>
    <tableColumn id="9" xr3:uid="{05B9711C-5CC2-4E24-831D-44351A7C84C4}" name="Cut Length6" dataDxfId="128"/>
    <tableColumn id="10" xr3:uid="{7B94DA11-05A3-4394-AA7E-2BB7A9CB149F}" name="Cut Length7" dataDxfId="127"/>
    <tableColumn id="11" xr3:uid="{5D12864A-44FB-4350-A913-19639ED93914}" name="Cut Length8" dataDxfId="126"/>
    <tableColumn id="12" xr3:uid="{10088CC2-0FDF-4234-92A1-75CFD98C2044}" name="Total Cut Length" dataDxfId="125">
      <calculatedColumnFormula>SUM(Table223[[#This Row],[Cut Length1]:[Cut Length8]])</calculatedColumnFormula>
    </tableColumn>
    <tableColumn id="13" xr3:uid="{E2B2EB83-3DD0-46A7-9949-E81699E5160A}" name="Total Waste" dataDxfId="124">
      <calculatedColumnFormula>C3-L3</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CE16C10-C787-4E89-891C-7786D8CEDF25}" name="Table22320" displayName="Table22320" ref="A20:P26" totalsRowShown="0" headerRowDxfId="123" dataDxfId="121" headerRowBorderDxfId="122" tableBorderDxfId="120" totalsRowBorderDxfId="119">
  <autoFilter ref="A20:P26" xr:uid="{9CE16C10-C787-4E89-891C-7786D8CEDF25}"/>
  <tableColumns count="16">
    <tableColumn id="1" xr3:uid="{1D2CCA41-39C3-445D-A1A3-1E209B13D91F}" name="Item Description" dataDxfId="118"/>
    <tableColumn id="2" xr3:uid="{980F07FA-E88C-44E6-B7FE-EAA9D9157115}" name="Raw Material" dataDxfId="117"/>
    <tableColumn id="3" xr3:uid="{A2ED9514-EED7-4207-9C14-2C1B4E3CC123}" name="Purchase Length" dataDxfId="116"/>
    <tableColumn id="4" xr3:uid="{0CAD3965-EF3B-4E65-8FD8-B4DBFF3CFBD1}" name="Cut Length1" dataDxfId="115"/>
    <tableColumn id="5" xr3:uid="{007DCC8E-258D-4C28-B901-17D95915ADB9}" name="Cut Length2" dataDxfId="114"/>
    <tableColumn id="6" xr3:uid="{48BA597D-0C42-4F9F-BADC-D79898B4BDCE}" name="Cut Length3" dataDxfId="113"/>
    <tableColumn id="7" xr3:uid="{E5C12D59-84E7-42E4-ADE4-810F0E7C837A}" name="Cut Length4" dataDxfId="112"/>
    <tableColumn id="8" xr3:uid="{2FBC2A2D-B383-487E-8079-6FE9B6681FA3}" name="Cut Length5" dataDxfId="111"/>
    <tableColumn id="9" xr3:uid="{10E3BA71-FC9A-4506-91FB-A8FBB575F6A4}" name="Cut Length6" dataDxfId="110"/>
    <tableColumn id="10" xr3:uid="{B379D74B-98B4-4C29-BF50-66BB23E838BB}" name="Cut Length7" dataDxfId="109"/>
    <tableColumn id="11" xr3:uid="{D68C470A-3342-4A99-9EF8-AF5895CCFBED}" name="Cut Length8" dataDxfId="108"/>
    <tableColumn id="14" xr3:uid="{6485B9DA-7CEA-49E1-A30A-242C9F09D7D0}" name="Cut Length9" dataDxfId="107"/>
    <tableColumn id="15" xr3:uid="{6D879162-DB38-4996-A964-DF41966835FE}" name="Cut Length10" dataDxfId="106"/>
    <tableColumn id="16" xr3:uid="{CE640C31-4B1E-4835-926F-54EA7FC8647F}" name="Cut Length11" dataDxfId="105"/>
    <tableColumn id="12" xr3:uid="{AD749E55-63F3-4C86-8488-78BCA1B0C1AE}" name="Total Cut Length" dataDxfId="104">
      <calculatedColumnFormula>SUM(Table22320[[#This Row],[Cut Length1]:[Cut Length11]])</calculatedColumnFormula>
    </tableColumn>
    <tableColumn id="13" xr3:uid="{5CAEF225-FD09-40B6-9BCB-B3CB0BAD7715}" name="Total Waste" dataDxfId="103">
      <calculatedColumnFormula>C21-O21</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80BE8515-4CEE-493E-9AA0-28853D5EBF7A}" name="Table223203435" displayName="Table223203435" ref="A47:P53" totalsRowShown="0" headerRowDxfId="102" dataDxfId="100" headerRowBorderDxfId="101" tableBorderDxfId="99" totalsRowBorderDxfId="98">
  <autoFilter ref="A47:P53" xr:uid="{80BE8515-4CEE-493E-9AA0-28853D5EBF7A}"/>
  <tableColumns count="16">
    <tableColumn id="1" xr3:uid="{F6763272-01F4-46DE-BC8B-8252B8AAC1E9}" name="Item Description" dataDxfId="97"/>
    <tableColumn id="2" xr3:uid="{A3932348-A0C8-4644-9FF2-F828C2765FA5}" name="Raw Material" dataDxfId="96"/>
    <tableColumn id="3" xr3:uid="{4C521326-9F31-438B-A188-6CFE833812AC}" name="Purchase Length" dataDxfId="95"/>
    <tableColumn id="4" xr3:uid="{CBF30B93-5684-41B7-8108-F2F6F7B9C63D}" name="Cut Length1" dataDxfId="94"/>
    <tableColumn id="5" xr3:uid="{FEA304A2-9CCA-4FA7-9B51-BEC8A0B7AC08}" name="Cut Length2" dataDxfId="93"/>
    <tableColumn id="6" xr3:uid="{642601AC-62AC-4AA2-9C8B-EAABDD6821BB}" name="Cut Length3" dataDxfId="92"/>
    <tableColumn id="7" xr3:uid="{E021396C-A9D8-4CBF-9FF9-BF20B9C3D908}" name="Cut Length4" dataDxfId="91"/>
    <tableColumn id="8" xr3:uid="{5B37E614-4978-4580-9A8B-1A503EA1F0DE}" name="Cut Length5" dataDxfId="90"/>
    <tableColumn id="9" xr3:uid="{D5AC4DF9-68A9-46CA-9599-6B59D4CD906F}" name="Cut Length6" dataDxfId="89"/>
    <tableColumn id="10" xr3:uid="{087B6C05-2751-40F0-B8B3-670D0EB6E108}" name="Cut Length7" dataDxfId="88"/>
    <tableColumn id="11" xr3:uid="{10DB2610-FD2F-4EBA-95DA-F2BA3F361047}" name="Cut Length8" dataDxfId="87"/>
    <tableColumn id="14" xr3:uid="{3409FE91-2317-4BAF-9D06-39FD58084B16}" name="Cut Length9" dataDxfId="86"/>
    <tableColumn id="15" xr3:uid="{18D77A06-6D66-4869-9CFB-046476D76141}" name="Cut Length10" dataDxfId="85"/>
    <tableColumn id="16" xr3:uid="{B778E2BC-F333-4BB6-8F7A-D56532BC7B86}" name="Cut Length11" dataDxfId="84"/>
    <tableColumn id="12" xr3:uid="{60CFE46D-8FEF-47F5-8D7F-B44D0B997E4B}" name="Total Cut Length" dataDxfId="83">
      <calculatedColumnFormula>SUM(Table223203435[[#This Row],[Cut Length1]:[Cut Length11]])</calculatedColumnFormula>
    </tableColumn>
    <tableColumn id="13" xr3:uid="{3A7654A5-4AE8-4C0F-A76F-B770EFD75435}" name="Total Waste" dataDxfId="82">
      <calculatedColumnFormula>C48-O48</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8969AE-2F5E-4155-8771-733220601BCD}" name="Table218" displayName="Table218" ref="A2:I7" totalsRowShown="0">
  <autoFilter ref="A2:I7" xr:uid="{E3B7329A-BA02-4DA7-AD0F-9DCABB8B78B7}"/>
  <tableColumns count="9">
    <tableColumn id="1" xr3:uid="{0521DB82-4C6E-43F2-9FBE-982AA80FA6D3}" name="Item Description"/>
    <tableColumn id="2" xr3:uid="{A6FEE22C-6A40-4B1E-8BA8-FD458352E8D0}" name="Raw Material"/>
    <tableColumn id="3" xr3:uid="{B77B3A07-9FEA-4335-9DCD-D78A4F697253}" name="Purchase Length"/>
    <tableColumn id="4" xr3:uid="{613A32CD-0872-4DE5-8A14-561451C52FD8}" name="Cut Length1"/>
    <tableColumn id="5" xr3:uid="{19E9B6B9-8E92-437E-B6FB-4FC7AC9958A8}" name="Cut Length2"/>
    <tableColumn id="6" xr3:uid="{5D316C16-6D1E-4A3A-818A-1C060705702F}" name="Cut Length3"/>
    <tableColumn id="7" xr3:uid="{41781D85-064B-4471-8036-A1B621CC7C73}" name="Cut Length4"/>
    <tableColumn id="25" xr3:uid="{1360565C-DC4B-4972-B4E4-C2CB5C18CFC3}" name="Total Cut Length"/>
    <tableColumn id="26" xr3:uid="{4D76EFBB-5EE8-4117-89BE-065B58C05CAF}" name="Total Wast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18D9398-F656-4615-9E57-1CB104EBD18E}" name="Table2187" displayName="Table2187" ref="A20:M25" totalsRowShown="0" dataDxfId="81">
  <autoFilter ref="A20:M25" xr:uid="{718D9398-F656-4615-9E57-1CB104EBD18E}"/>
  <tableColumns count="13">
    <tableColumn id="1" xr3:uid="{907EDB9A-1E39-40BA-8626-6D4135E67DA4}" name="Item Description" dataDxfId="80"/>
    <tableColumn id="2" xr3:uid="{FAFFF590-2867-45E3-AA62-18E68DB4219A}" name="Raw Material" dataDxfId="79"/>
    <tableColumn id="3" xr3:uid="{C7E1EA6B-A7A9-4CDA-A2F5-6389DBAFFD4F}" name="Purchase Length" dataDxfId="78"/>
    <tableColumn id="4" xr3:uid="{9DD17643-C81A-4979-B5EE-DBDC76E8DEA1}" name="Cut Length1" dataDxfId="77"/>
    <tableColumn id="5" xr3:uid="{E5EC4AF6-DF76-47CC-BBA3-298E95D7DCD8}" name="Cut Length2" dataDxfId="76"/>
    <tableColumn id="6" xr3:uid="{41D7A9B4-9B27-49FB-8C8C-F221F06CC97E}" name="Cut Length3" dataDxfId="75"/>
    <tableColumn id="7" xr3:uid="{E86EE15B-A6EA-499E-B0F1-0E9F3D137FB0}" name="Cut Length4" dataDxfId="74"/>
    <tableColumn id="8" xr3:uid="{F657FC73-C475-4E2A-923E-EF820B19EA2E}" name="Cut Length5" dataDxfId="73"/>
    <tableColumn id="9" xr3:uid="{1F9B43C0-BFCA-4ECC-80C0-AC24A03DEB5C}" name="Cut Length6" dataDxfId="72"/>
    <tableColumn id="10" xr3:uid="{CE5857C3-EA34-4066-8313-86C7E2F5265C}" name="Cut Length7" dataDxfId="71"/>
    <tableColumn id="11" xr3:uid="{CCF1720C-04DB-4B79-BBBF-1150884FA05E}" name="Cut Length8" dataDxfId="70"/>
    <tableColumn id="25" xr3:uid="{6E3DEDC3-B4FC-4781-B08C-D751AAD3C86C}" name="Total Cut Length" dataDxfId="69">
      <calculatedColumnFormula>SUM(Table2187[[#This Row],[Cut Length1]:[Cut Length8]])</calculatedColumnFormula>
    </tableColumn>
    <tableColumn id="26" xr3:uid="{7B566E0C-CD63-47C1-B618-E3E2EF5DC03C}" name="Total Waste" dataDxfId="68">
      <calculatedColumnFormula>Table2187[[#This Row],[Purchase Length]]-Table2187[[#This Row],[Total Cut Length]]</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51ED6575-049F-43A8-970D-B64ED1D7EE92}" name="Table2187336" displayName="Table2187336" ref="A46:M51" totalsRowShown="0" dataDxfId="67">
  <autoFilter ref="A46:M51" xr:uid="{51ED6575-049F-43A8-970D-B64ED1D7EE92}"/>
  <tableColumns count="13">
    <tableColumn id="1" xr3:uid="{63AD45D2-7575-4C83-92AA-F6ED26AE0F9E}" name="Item Description" dataDxfId="66"/>
    <tableColumn id="2" xr3:uid="{D3CC7A7C-96FA-4BFD-B65F-8B1BA1D0CE2A}" name="Raw Material" dataDxfId="65"/>
    <tableColumn id="3" xr3:uid="{D6BA9EBC-A768-4D1C-81EB-43E75046CBE6}" name="Purchase Length" dataDxfId="64"/>
    <tableColumn id="4" xr3:uid="{969DD49A-9539-401A-8AFC-214909BBAEDD}" name="Cut Length1" dataDxfId="63"/>
    <tableColumn id="5" xr3:uid="{D30D1FDC-0170-463A-89A5-08D0339D606A}" name="Cut Length2" dataDxfId="62"/>
    <tableColumn id="6" xr3:uid="{61E4E2F8-8098-48EB-AF4B-8BDDDDC2BB5C}" name="Cut Length3" dataDxfId="61"/>
    <tableColumn id="7" xr3:uid="{568E3F82-4A17-4CAF-B029-ECFA370BA29F}" name="Cut Length4" dataDxfId="60"/>
    <tableColumn id="8" xr3:uid="{87C03B27-DD76-48BD-99B7-F177E8FF75C3}" name="Cut Length5" dataDxfId="59"/>
    <tableColumn id="9" xr3:uid="{9198DF69-5AD5-4AEB-9908-14E044AA0945}" name="Cut Length6" dataDxfId="58"/>
    <tableColumn id="10" xr3:uid="{7A9DAD8E-E009-4238-8F4F-560A71D91D07}" name="Cut Length7" dataDxfId="57"/>
    <tableColumn id="11" xr3:uid="{F331638D-B9E6-473F-99B1-C6F72985AAD5}" name="Cut Length8" dataDxfId="56"/>
    <tableColumn id="25" xr3:uid="{526763FB-4A80-45B7-8AE0-A8F7718A3F7B}" name="Total Cut Length" dataDxfId="55">
      <calculatedColumnFormula>SUM(Table2187336[[#This Row],[Cut Length1]:[Cut Length8]])</calculatedColumnFormula>
    </tableColumn>
    <tableColumn id="26" xr3:uid="{7ED309AF-291B-40BD-843C-280A637B00F8}" name="Total Waste" dataDxfId="54">
      <calculatedColumnFormula>Table2187336[[#This Row],[Purchase Length]]-Table2187336[[#This Row],[Total Cut Length]]</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EEB3340-8D33-44CE-B1A1-94610EC7BC1A}" name="Table23" displayName="Table23" ref="A2:J8" totalsRowShown="0">
  <autoFilter ref="A2:J8" xr:uid="{EEEB3340-8D33-44CE-B1A1-94610EC7BC1A}"/>
  <tableColumns count="10">
    <tableColumn id="1" xr3:uid="{8E674484-CA42-400F-8961-67BCE6A9BBC5}" name="Item Description"/>
    <tableColumn id="2" xr3:uid="{2CB08259-4885-45F5-83A9-D4E40544BF74}" name="Raw Material"/>
    <tableColumn id="3" xr3:uid="{248FDCD4-7054-47EF-B97E-A25B1ADF39AF}" name="Purchase Length"/>
    <tableColumn id="4" xr3:uid="{C3D42591-3594-407A-85C5-93A3743FABE0}" name="Cut Length1"/>
    <tableColumn id="5" xr3:uid="{5EEE952D-C6C9-41E2-AE16-80223932CB2E}" name="Cut Length2"/>
    <tableColumn id="6" xr3:uid="{F6DE7F32-E6AB-4155-B180-27181C2FB335}" name="Cut Length3"/>
    <tableColumn id="7" xr3:uid="{27C9426A-F66E-4F1A-9415-F812C7B49E70}" name="Cut Length4"/>
    <tableColumn id="8" xr3:uid="{2F81C316-3516-46F5-9604-0753B3A1F2A7}" name="Cut Length5"/>
    <tableColumn id="38" xr3:uid="{228AC2BE-6960-465D-BB4D-8D8DC3045696}" name="Total Cut Length"/>
    <tableColumn id="39" xr3:uid="{88292969-7D5F-4156-91CE-4B3EF1802557}" name="Total Waste"/>
  </tableColumns>
  <tableStyleInfo name="TableStyleMedium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9BD54EC-C8FB-4E5B-9109-05C7FC066DC7}" name="Table2319" displayName="Table2319" ref="A21:N26" totalsRowShown="0" dataDxfId="53">
  <autoFilter ref="A21:N26" xr:uid="{E9BD54EC-C8FB-4E5B-9109-05C7FC066DC7}"/>
  <tableColumns count="14">
    <tableColumn id="1" xr3:uid="{E3813612-6E78-4B30-82EB-CFF68F280907}" name="Item Description" dataDxfId="52"/>
    <tableColumn id="2" xr3:uid="{F4E9D82C-CE8F-4515-BDD5-C4FBC7282C06}" name="Raw Material" dataDxfId="51"/>
    <tableColumn id="3" xr3:uid="{3A6F0F31-7EFF-477F-966A-25D9703ED2A9}" name="Purchase Length" dataDxfId="50"/>
    <tableColumn id="4" xr3:uid="{B0925FC3-E2A1-4C7B-A50A-66DBB92676F6}" name="Cut Length1" dataDxfId="49"/>
    <tableColumn id="5" xr3:uid="{C996DC9D-7721-4CB3-9D2F-5542E4D2DCBD}" name="Cut Length2" dataDxfId="48"/>
    <tableColumn id="6" xr3:uid="{CBAF4D3F-BAB7-4E67-B2F5-DDDF04259561}" name="Cut Length3" dataDxfId="47"/>
    <tableColumn id="7" xr3:uid="{353B24F3-E77F-49AC-9513-46487094B25C}" name="Cut Length4" dataDxfId="46"/>
    <tableColumn id="8" xr3:uid="{9F6AD8C1-D81B-46AE-9FBD-758F58A69120}" name="Cut Length5" dataDxfId="45"/>
    <tableColumn id="9" xr3:uid="{2D658392-26A7-4087-9849-9B905F797343}" name="Cut Length6" dataDxfId="44"/>
    <tableColumn id="10" xr3:uid="{2960EA5A-FDF2-4BDB-8347-541394003D5D}" name="Cut Length7" dataDxfId="43"/>
    <tableColumn id="11" xr3:uid="{04E1E187-C20F-45BC-A42A-40E963DBF133}" name="Cut Length8" dataDxfId="42"/>
    <tableColumn id="12" xr3:uid="{215A8E48-ADF4-4F00-8CB5-ADEF161239E7}" name="Cut Length9" dataDxfId="41"/>
    <tableColumn id="38" xr3:uid="{D2B58A7D-5618-4752-95D7-A731AF63CADE}" name="Total Cut Length" dataDxfId="40">
      <calculatedColumnFormula>SUM(Table2319[[#This Row],[Cut Length1]:[Cut Length9]])</calculatedColumnFormula>
    </tableColumn>
    <tableColumn id="39" xr3:uid="{BABEF71F-0B53-4AA2-8B1A-42A9C5077E0C}" name="Total Waste" dataDxfId="39">
      <calculatedColumnFormula>Table2319[[#This Row],[Purchase Length]]-Table2319[[#This Row],[Total Cut Length]]</calculatedColumnFormula>
    </tableColumn>
  </tableColumns>
  <tableStyleInfo name="TableStyleMedium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65D4CD9-D4BD-47A0-B76C-13073FC13F99}" name="Table2319383940" displayName="Table2319383940" ref="A46:N52" totalsRowShown="0" dataDxfId="38">
  <autoFilter ref="A46:N52" xr:uid="{665D4CD9-D4BD-47A0-B76C-13073FC13F99}"/>
  <tableColumns count="14">
    <tableColumn id="1" xr3:uid="{51876EF2-279E-46E1-A713-92855B4E3646}" name="Item Description" dataDxfId="37"/>
    <tableColumn id="2" xr3:uid="{D29E80CF-E588-4E54-AC90-7BCD35F163B7}" name="Raw Material" dataDxfId="36"/>
    <tableColumn id="3" xr3:uid="{23141780-48D4-435E-9724-DDEEE602DE72}" name="Purchase Length" dataDxfId="35"/>
    <tableColumn id="4" xr3:uid="{A7A7C35B-A406-4DD6-9AC9-F7C4710441A2}" name="Cut Length1" dataDxfId="34"/>
    <tableColumn id="5" xr3:uid="{FF120966-5E23-4AE2-A02B-B77A3B20D880}" name="Cut Length2" dataDxfId="33"/>
    <tableColumn id="6" xr3:uid="{AF1A5D72-4049-49A2-AC7A-2C65012D0F98}" name="Cut Length3" dataDxfId="32"/>
    <tableColumn id="7" xr3:uid="{5B560AEE-94D2-4C04-8A24-5AC3A593AE6B}" name="Cut Length4" dataDxfId="31"/>
    <tableColumn id="8" xr3:uid="{1FB60A81-C5E2-4FE8-9411-24612369AC4F}" name="Cut Length5" dataDxfId="30"/>
    <tableColumn id="9" xr3:uid="{DDA81F3D-2761-431D-826C-F5E1DF45F42B}" name="Cut Length6" dataDxfId="29"/>
    <tableColumn id="10" xr3:uid="{A1AEDB22-24FF-41AC-80E2-D87794969D43}" name="Cut Length7" dataDxfId="28"/>
    <tableColumn id="11" xr3:uid="{F898375E-4E0F-4D8C-A509-C9F3D8F418B0}" name="Cut Length8" dataDxfId="27"/>
    <tableColumn id="12" xr3:uid="{A4979042-81AE-4E9D-871F-BD3C6EE42571}" name="Cut Length9" dataDxfId="26"/>
    <tableColumn id="38" xr3:uid="{B5652EB8-90C6-452E-A647-559C25E1E388}" name="Total Cut Length" dataDxfId="25">
      <calculatedColumnFormula>SUM(Table2319383940[[#This Row],[Cut Length1]:[Cut Length9]])</calculatedColumnFormula>
    </tableColumn>
    <tableColumn id="39" xr3:uid="{173D99D5-DC46-4ADD-858E-2E5F0D7D4DB1}" name="Total Waste" dataDxfId="24">
      <calculatedColumnFormula>Table2319383940[[#This Row],[Purchase Length]]-Table2319383940[[#This Row],[Total Cut Length]]</calculatedColumnFormula>
    </tableColumn>
  </tableColumns>
  <tableStyleInfo name="TableStyleMedium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37E3FD9-76B0-4104-8998-6F4C6218493A}" name="Table213" displayName="Table213" ref="A2:I11" totalsRowShown="0">
  <autoFilter ref="A2:I11" xr:uid="{BDA987C6-71CC-4B2E-B086-ACBEF793DFB7}"/>
  <tableColumns count="9">
    <tableColumn id="1" xr3:uid="{12C3A903-56D8-4531-B076-EFD281297D5F}" name="Item Description"/>
    <tableColumn id="2" xr3:uid="{AD01E691-8455-4B8F-949B-C9D5C0ED9301}" name="Raw Material"/>
    <tableColumn id="3" xr3:uid="{680FEE9D-26E1-407B-B2EA-25935270DD93}" name="Purchase Length"/>
    <tableColumn id="4" xr3:uid="{4DF22EEE-0D40-472E-8BD6-E4B16B3FE154}" name="Cut Length1"/>
    <tableColumn id="5" xr3:uid="{4EAF62D4-52C5-4CED-93AD-3AB8201F0EA5}" name="Cut Length2"/>
    <tableColumn id="6" xr3:uid="{90080F31-1AD9-4EE6-9ACB-DA110E591921}" name="Cut Length3"/>
    <tableColumn id="7" xr3:uid="{13440EB7-3ACF-4F73-AF26-EFA9EA759639}" name="Cut Length4"/>
    <tableColumn id="45" xr3:uid="{20E4DCE3-483F-4D7B-A998-DEB4622D415E}" name="Total Cut Length"/>
    <tableColumn id="46" xr3:uid="{C48A5433-4530-42C6-891F-69CDE8D83A49}" name="Total Wast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2C19F5A-B917-4720-A40D-8B2FDDB3B3BC}" name="Table21316" displayName="Table21316" ref="A21:J33" totalsRowShown="0" dataDxfId="23">
  <autoFilter ref="A21:J33" xr:uid="{B2C19F5A-B917-4720-A40D-8B2FDDB3B3BC}"/>
  <tableColumns count="10">
    <tableColumn id="1" xr3:uid="{05C6EA0A-CD32-44FD-9DFE-86EE45E8ABF0}" name="Item Description" dataDxfId="22"/>
    <tableColumn id="2" xr3:uid="{3A9BE03F-CCC4-456B-B362-0A938083BF29}" name="Raw Material" dataDxfId="21"/>
    <tableColumn id="3" xr3:uid="{108B89ED-FC69-48E9-A44C-0F7C8798C342}" name="Purchase Length" dataDxfId="20"/>
    <tableColumn id="4" xr3:uid="{68D72426-870A-45D5-B0AB-855212458039}" name="Cut Length1" dataDxfId="19"/>
    <tableColumn id="5" xr3:uid="{73F0600E-C3C0-456D-A082-DDC7A1B54760}" name="Cut Length2" dataDxfId="18"/>
    <tableColumn id="6" xr3:uid="{70FACE0E-056B-419B-8C75-B1CFA514BA25}" name="Cut Length3" dataDxfId="17"/>
    <tableColumn id="7" xr3:uid="{68676756-99E7-43FF-93A2-AE4E390D9650}" name="Cut Length4" dataDxfId="16"/>
    <tableColumn id="8" xr3:uid="{BF3DB73E-F6C4-4B6D-A45D-86D25A051555}" name="Cut Length5" dataDxfId="15"/>
    <tableColumn id="45" xr3:uid="{CBC20377-EDB2-4E53-9FD9-AA272D1C13FF}" name="Total Cut Length" dataDxfId="14">
      <calculatedColumnFormula>SUM(Table21316[[#This Row],[Cut Length1]:[Cut Length5]])</calculatedColumnFormula>
    </tableColumn>
    <tableColumn id="46" xr3:uid="{89FB5BC9-3FA1-4C37-9329-D41C21D5605A}" name="Total Waste" dataDxfId="13">
      <calculatedColumnFormula>Table21316[[#This Row],[Purchase Length]]-Table21316[[#This Row],[Total Cut Length]]</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387B82C6-4CDB-4D46-8F7E-1D4643545FEB}" name="Table2131641" displayName="Table2131641" ref="A50:J57" totalsRowShown="0" dataDxfId="12">
  <autoFilter ref="A50:J57" xr:uid="{387B82C6-4CDB-4D46-8F7E-1D4643545FEB}"/>
  <tableColumns count="10">
    <tableColumn id="1" xr3:uid="{0E59CC4F-E317-4D38-865B-768B005BE320}" name="Item Description" dataDxfId="11"/>
    <tableColumn id="2" xr3:uid="{4B709C45-A868-410C-A4DB-2C2F6988F7EE}" name="Raw Material" dataDxfId="10"/>
    <tableColumn id="3" xr3:uid="{4DA68B36-3ECA-4520-A263-425A2AD1FA04}" name="Purchase Length" dataDxfId="9"/>
    <tableColumn id="4" xr3:uid="{6798C1D9-5FA4-4192-86E1-DF1AEF051A23}" name="Cut Length1" dataDxfId="8"/>
    <tableColumn id="5" xr3:uid="{8CE52DB0-49EA-4F9B-8295-3708808E9FDA}" name="Cut Length2" dataDxfId="7"/>
    <tableColumn id="6" xr3:uid="{7A5DC837-41D3-4CA9-AF37-FAFC868E02FF}" name="Cut Length3" dataDxfId="6"/>
    <tableColumn id="7" xr3:uid="{8CF44674-F4C3-4A58-8D2E-B5547F3200CD}" name="Cut Length4" dataDxfId="5"/>
    <tableColumn id="8" xr3:uid="{4915673C-A761-477C-A782-9EA5861BE463}" name="Cut Length5" dataDxfId="4"/>
    <tableColumn id="45" xr3:uid="{ED20C4AA-BDF2-4C14-ABD7-0601DC20A02D}" name="Total Cut Length" dataDxfId="3">
      <calculatedColumnFormula>SUM(Table2131641[[#This Row],[Cut Length1]:[Cut Length5]])</calculatedColumnFormula>
    </tableColumn>
    <tableColumn id="46" xr3:uid="{9AE1392D-4569-4FF5-83DA-8DE1EF3C1698}" name="Total Waste" dataDxfId="2">
      <calculatedColumnFormula>Table2131641[[#This Row],[Purchase Length]]-Table2131641[[#This Row],[Total Cut Length]]</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488CDB9-957B-4814-A826-ABAB58103B61}" name="Table215" displayName="Table215" ref="A2:K11" totalsRowShown="0">
  <autoFilter ref="A2:K11" xr:uid="{77AE19B9-0C5B-4F64-A91A-68D41F9177D6}"/>
  <tableColumns count="11">
    <tableColumn id="1" xr3:uid="{873BD778-7350-4EB8-9ED8-64ADE94AD0EC}" name="Item Description"/>
    <tableColumn id="2" xr3:uid="{9659ED55-8254-4346-B8FB-19F2BBB4244A}" name="Raw Material"/>
    <tableColumn id="3" xr3:uid="{394DD839-9AFB-42EB-82BC-3F7C03F925BA}" name="Purchase Length"/>
    <tableColumn id="4" xr3:uid="{C058BE2B-12D7-4ECA-8CE6-08B14456256F}" name="Cut Length1"/>
    <tableColumn id="5" xr3:uid="{588C18B3-F887-4C66-887B-E097D53990A6}" name="Cut Length2"/>
    <tableColumn id="6" xr3:uid="{352EB020-E8F2-444C-8FA6-F17257998E47}" name="Cut Length3"/>
    <tableColumn id="7" xr3:uid="{AA2CC88F-3574-43D3-BF3B-C84C92A75A52}" name="Cut Length4"/>
    <tableColumn id="8" xr3:uid="{9C96BFDE-04F4-453E-AD12-EE65178BF0F2}" name="Cut Length5"/>
    <tableColumn id="9" xr3:uid="{0EFE0C1D-8789-43F0-9FDA-7FF1A02F1FD7}" name="Cut Length6"/>
    <tableColumn id="16" xr3:uid="{7BD6C845-CF92-4E07-BA1C-CF2A9998DAAF}" name="Total Cut Length"/>
    <tableColumn id="17" xr3:uid="{3D9FBFDB-5C79-4D14-BE6E-5CDE5F96EEF7}" name="Total Wast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97A7874-C6A2-4247-A4A4-40686B2BFDDF}" name="Table21510" displayName="Table21510" ref="A25:O32" totalsRowShown="0">
  <autoFilter ref="A25:O32" xr:uid="{197A7874-C6A2-4247-A4A4-40686B2BFDDF}"/>
  <tableColumns count="15">
    <tableColumn id="1" xr3:uid="{A0418FDA-C5B3-49BA-B20F-1FB3AB32EA29}" name="Item Description"/>
    <tableColumn id="2" xr3:uid="{0C541EA7-87D9-4617-A2D0-0C958B86558E}" name="Raw Material"/>
    <tableColumn id="3" xr3:uid="{E1060139-F4D5-4B9A-BAB9-64CD030CB495}" name="Purchase Length"/>
    <tableColumn id="4" xr3:uid="{3F23522F-E70C-498A-8C7C-49C8E892A6E3}" name="Cut Length1"/>
    <tableColumn id="5" xr3:uid="{3F0360E4-27A5-4991-865E-DCCEE851573F}" name="Cut Length2"/>
    <tableColumn id="6" xr3:uid="{9747B5CD-53CE-4FB1-8988-8C831CF6E5FC}" name="Cut Length3"/>
    <tableColumn id="7" xr3:uid="{52A7D956-F2D3-471D-9578-9289466E00DE}" name="Cut Length4"/>
    <tableColumn id="8" xr3:uid="{9991D598-AFC9-48CD-82F2-248D770607DC}" name="Cut Length5"/>
    <tableColumn id="9" xr3:uid="{3ED9FA8B-E7CA-4DA9-A47C-EC0AF2A6D792}" name="Cut Length6"/>
    <tableColumn id="10" xr3:uid="{6DDF986A-BAE1-45AA-8293-09F30C207E74}" name="Cut Length7"/>
    <tableColumn id="11" xr3:uid="{8ED583F0-6AB8-486A-9C3A-238770FE1FF5}" name="Cut Length8"/>
    <tableColumn id="12" xr3:uid="{B4BBDA11-D734-4C8E-8B10-B325416A7281}" name="Cut Length9"/>
    <tableColumn id="13" xr3:uid="{542726F9-DEF1-4E12-B9B1-60B3D13AF15E}" name="Cut Length10"/>
    <tableColumn id="16" xr3:uid="{0B3B0AE0-AD77-43FD-9301-D9822AF90063}" name="Total Cut Length" dataDxfId="1">
      <calculatedColumnFormula>SUM(Table21510[[#This Row],[Cut Length1]:[Cut Length10]])</calculatedColumnFormula>
    </tableColumn>
    <tableColumn id="17" xr3:uid="{F997889A-EB3C-4247-9707-48059B4EF19D}" name="Total Waste">
      <calculatedColumnFormula>Table21510[[#This Row],[Purchase Length]]-Table21510[[#This Row],[Total Cut Length]]</calculatedColumn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243D936-5939-4AB1-A01A-371A1F12D7AD}" name="Table215102942" displayName="Table215102942" ref="A53:O61" totalsRowShown="0">
  <autoFilter ref="A53:O61" xr:uid="{5243D936-5939-4AB1-A01A-371A1F12D7AD}"/>
  <tableColumns count="15">
    <tableColumn id="1" xr3:uid="{FD7D00CA-D1CC-4AC1-9453-208FDF9F2BFD}" name="Item Description"/>
    <tableColumn id="2" xr3:uid="{C91F1B9E-31F1-4E71-9E38-64FB9D8BFB7A}" name="Raw Material"/>
    <tableColumn id="3" xr3:uid="{72EFA9FE-CE95-44D1-A747-A39956E673B0}" name="Purchase Length"/>
    <tableColumn id="4" xr3:uid="{B93B3F1D-6753-482E-9614-B3E481971C18}" name="Cut Length1"/>
    <tableColumn id="5" xr3:uid="{7F73C6C8-DE2D-4519-BD19-3A7758BD093B}" name="Cut Length2"/>
    <tableColumn id="6" xr3:uid="{7E0415BB-4155-406A-AD85-AB1E8FDDF66C}" name="Cut Length3"/>
    <tableColumn id="7" xr3:uid="{FA2AB809-F48A-4A7A-A8D2-79A9D29103B2}" name="Cut Length4"/>
    <tableColumn id="8" xr3:uid="{F2C9940A-1B2B-498C-8EFF-3245718270D9}" name="Cut Length5"/>
    <tableColumn id="9" xr3:uid="{F101E412-1687-4B3C-B9BD-A797CABD5D0C}" name="Cut Length6"/>
    <tableColumn id="10" xr3:uid="{1D5EF64B-B540-4D0B-9742-FD8C2E9C8E6D}" name="Cut Length7"/>
    <tableColumn id="11" xr3:uid="{6FF96165-7B31-4561-B342-87BBDC27D21D}" name="Cut Length8"/>
    <tableColumn id="12" xr3:uid="{B009CA7E-A2D5-4D8D-A7CD-79BADA62050E}" name="Cut Length9"/>
    <tableColumn id="13" xr3:uid="{875B2B1E-6EFE-41F6-B2FC-9A89D786ECC3}" name="Cut Length10"/>
    <tableColumn id="16" xr3:uid="{D5A28339-FAD5-4E4C-ABEC-21E436814FD2}" name="Total Cut Length" dataDxfId="0">
      <calculatedColumnFormula>SUM(Table215102942[[#This Row],[Cut Length1]:[Cut Length10]])</calculatedColumnFormula>
    </tableColumn>
    <tableColumn id="17" xr3:uid="{5C620547-6284-43FA-A91C-0DD59FFFAF07}" name="Total Waste">
      <calculatedColumnFormula>Table215102942[[#This Row],[Purchase Length]]-Table215102942[[#This Row],[Total Cut Length]]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3.bin"/><Relationship Id="rId4" Type="http://schemas.openxmlformats.org/officeDocument/2006/relationships/table" Target="../tables/table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4.bin"/><Relationship Id="rId4"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5.bin"/><Relationship Id="rId4" Type="http://schemas.openxmlformats.org/officeDocument/2006/relationships/table" Target="../tables/table1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6.bin"/><Relationship Id="rId4"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7.bin"/><Relationship Id="rId4" Type="http://schemas.openxmlformats.org/officeDocument/2006/relationships/table" Target="../tables/table20.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8.bin"/><Relationship Id="rId4" Type="http://schemas.openxmlformats.org/officeDocument/2006/relationships/table" Target="../tables/table2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9.bin"/><Relationship Id="rId4"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88925-A141-4EC9-BD60-32F5C9BB889F}">
  <dimension ref="B2:H37"/>
  <sheetViews>
    <sheetView tabSelected="1" workbookViewId="0">
      <selection activeCell="L10" sqref="L10"/>
    </sheetView>
  </sheetViews>
  <sheetFormatPr defaultRowHeight="14.4" x14ac:dyDescent="0.3"/>
  <cols>
    <col min="2" max="2" width="12.44140625" bestFit="1" customWidth="1"/>
    <col min="3" max="3" width="14.109375" bestFit="1" customWidth="1"/>
    <col min="4" max="4" width="12.44140625" bestFit="1" customWidth="1"/>
    <col min="5" max="5" width="14.33203125" bestFit="1" customWidth="1"/>
    <col min="7" max="7" width="15.109375" customWidth="1"/>
    <col min="8" max="8" width="12.88671875" bestFit="1" customWidth="1"/>
  </cols>
  <sheetData>
    <row r="2" spans="2:8" x14ac:dyDescent="0.3">
      <c r="B2" t="s">
        <v>45</v>
      </c>
      <c r="C2" t="s">
        <v>46</v>
      </c>
      <c r="D2" t="s">
        <v>39</v>
      </c>
      <c r="E2" t="s">
        <v>40</v>
      </c>
      <c r="G2" t="s">
        <v>52</v>
      </c>
      <c r="H2" t="s">
        <v>53</v>
      </c>
    </row>
    <row r="3" spans="2:8" x14ac:dyDescent="0.3">
      <c r="B3" t="s">
        <v>32</v>
      </c>
      <c r="C3" s="20">
        <f>'CGX P01643 DetailedNesting'!F44</f>
        <v>4586.12</v>
      </c>
      <c r="D3">
        <v>18</v>
      </c>
      <c r="E3" s="20">
        <f>C3*D3</f>
        <v>82550.16</v>
      </c>
      <c r="G3" t="s">
        <v>3</v>
      </c>
      <c r="H3">
        <v>804</v>
      </c>
    </row>
    <row r="4" spans="2:8" ht="28.8" x14ac:dyDescent="0.3">
      <c r="B4" s="25" t="s">
        <v>47</v>
      </c>
      <c r="C4" s="20">
        <f>'CYO P01316 DetailedNesting'!F40</f>
        <v>1395.0833333333335</v>
      </c>
      <c r="D4">
        <v>39</v>
      </c>
      <c r="E4" s="20">
        <f t="shared" ref="E4:E12" si="0">C4*D4</f>
        <v>54408.250000000007</v>
      </c>
      <c r="G4" t="s">
        <v>3</v>
      </c>
      <c r="H4">
        <v>756</v>
      </c>
    </row>
    <row r="5" spans="2:8" x14ac:dyDescent="0.3">
      <c r="B5" t="s">
        <v>26</v>
      </c>
      <c r="C5" s="20">
        <f>'CYO P01633 DetailedNesting'!F37</f>
        <v>558.0866666666667</v>
      </c>
      <c r="D5">
        <v>54</v>
      </c>
      <c r="E5" s="20">
        <f t="shared" si="0"/>
        <v>30136.68</v>
      </c>
      <c r="G5" t="s">
        <v>3</v>
      </c>
      <c r="H5">
        <v>732</v>
      </c>
    </row>
    <row r="6" spans="2:8" ht="28.8" x14ac:dyDescent="0.3">
      <c r="B6" s="25" t="s">
        <v>48</v>
      </c>
      <c r="C6" s="20">
        <f>'NTT P01560 DetailedNesting'!G47</f>
        <v>982.06666666666672</v>
      </c>
      <c r="D6">
        <v>36</v>
      </c>
      <c r="E6" s="20">
        <f t="shared" si="0"/>
        <v>35354.400000000001</v>
      </c>
      <c r="G6" t="s">
        <v>3</v>
      </c>
      <c r="H6">
        <v>692</v>
      </c>
    </row>
    <row r="7" spans="2:8" ht="28.8" x14ac:dyDescent="0.3">
      <c r="B7" s="25" t="s">
        <v>49</v>
      </c>
      <c r="C7" s="20">
        <f>'QTS P01533 DetailedNesting'!F53</f>
        <v>3303.8866666666672</v>
      </c>
      <c r="D7">
        <v>69</v>
      </c>
      <c r="E7" s="20">
        <f t="shared" si="0"/>
        <v>227968.18000000005</v>
      </c>
      <c r="G7" t="s">
        <v>3</v>
      </c>
      <c r="H7">
        <v>672</v>
      </c>
    </row>
    <row r="8" spans="2:8" x14ac:dyDescent="0.3">
      <c r="C8" s="20"/>
      <c r="E8" s="20"/>
      <c r="G8" t="s">
        <v>3</v>
      </c>
      <c r="H8">
        <v>580</v>
      </c>
    </row>
    <row r="9" spans="2:8" x14ac:dyDescent="0.3">
      <c r="B9" t="s">
        <v>31</v>
      </c>
      <c r="C9" s="20">
        <f>'QTS P01597 DetailedNesting'!F45</f>
        <v>3303.8866666666672</v>
      </c>
      <c r="D9">
        <v>10</v>
      </c>
      <c r="E9" s="20">
        <f t="shared" si="0"/>
        <v>33038.866666666669</v>
      </c>
      <c r="G9" t="s">
        <v>3</v>
      </c>
      <c r="H9">
        <v>480</v>
      </c>
    </row>
    <row r="10" spans="2:8" x14ac:dyDescent="0.3">
      <c r="C10" s="20"/>
      <c r="E10" s="20"/>
      <c r="G10" t="s">
        <v>3</v>
      </c>
      <c r="H10">
        <v>460</v>
      </c>
    </row>
    <row r="11" spans="2:8" ht="43.2" x14ac:dyDescent="0.3">
      <c r="B11" s="25" t="s">
        <v>50</v>
      </c>
      <c r="C11" s="20">
        <f>'STA P01554 DetailedNesting'!F41</f>
        <v>1350.4</v>
      </c>
      <c r="D11">
        <v>28</v>
      </c>
      <c r="E11" s="20">
        <f t="shared" si="0"/>
        <v>37811.200000000004</v>
      </c>
      <c r="G11" t="s">
        <v>3</v>
      </c>
      <c r="H11">
        <v>440</v>
      </c>
    </row>
    <row r="12" spans="2:8" x14ac:dyDescent="0.3">
      <c r="B12" t="s">
        <v>33</v>
      </c>
      <c r="C12" s="20">
        <f>'P01664 Yondr Nesting BOM'!F39</f>
        <v>2160.5166666666669</v>
      </c>
      <c r="D12">
        <v>40</v>
      </c>
      <c r="E12" s="20">
        <f t="shared" si="0"/>
        <v>86420.666666666672</v>
      </c>
      <c r="G12" t="s">
        <v>3</v>
      </c>
      <c r="H12">
        <v>424</v>
      </c>
    </row>
    <row r="13" spans="2:8" x14ac:dyDescent="0.3">
      <c r="C13" s="20"/>
      <c r="E13" s="20"/>
      <c r="G13" t="s">
        <v>1</v>
      </c>
      <c r="H13">
        <v>840</v>
      </c>
    </row>
    <row r="14" spans="2:8" x14ac:dyDescent="0.3">
      <c r="C14" s="48" t="s">
        <v>51</v>
      </c>
      <c r="D14" s="48"/>
      <c r="E14" s="22">
        <f>SUM(Table21[2023 Savings])</f>
        <v>587688.40333333344</v>
      </c>
      <c r="G14" t="s">
        <v>1</v>
      </c>
      <c r="H14">
        <v>804</v>
      </c>
    </row>
    <row r="15" spans="2:8" x14ac:dyDescent="0.3">
      <c r="C15" s="20"/>
      <c r="E15" s="20"/>
      <c r="G15" t="s">
        <v>1</v>
      </c>
      <c r="H15">
        <v>764</v>
      </c>
    </row>
    <row r="16" spans="2:8" x14ac:dyDescent="0.3">
      <c r="C16" s="20"/>
      <c r="E16" s="20"/>
      <c r="G16" t="s">
        <v>1</v>
      </c>
      <c r="H16">
        <v>728</v>
      </c>
    </row>
    <row r="17" spans="3:8" x14ac:dyDescent="0.3">
      <c r="C17" s="20"/>
      <c r="E17" s="20"/>
      <c r="G17" t="s">
        <v>1</v>
      </c>
      <c r="H17">
        <v>688</v>
      </c>
    </row>
    <row r="18" spans="3:8" x14ac:dyDescent="0.3">
      <c r="C18" s="20"/>
      <c r="E18" s="20"/>
      <c r="G18" t="s">
        <v>1</v>
      </c>
      <c r="H18">
        <v>604</v>
      </c>
    </row>
    <row r="19" spans="3:8" x14ac:dyDescent="0.3">
      <c r="C19" s="20"/>
      <c r="E19" s="20"/>
      <c r="G19" t="s">
        <v>1</v>
      </c>
      <c r="H19">
        <v>340</v>
      </c>
    </row>
    <row r="20" spans="3:8" x14ac:dyDescent="0.3">
      <c r="C20" s="20"/>
      <c r="E20" s="20"/>
      <c r="G20" t="s">
        <v>1</v>
      </c>
      <c r="H20">
        <v>332</v>
      </c>
    </row>
    <row r="21" spans="3:8" x14ac:dyDescent="0.3">
      <c r="C21" s="20"/>
      <c r="E21" s="20"/>
      <c r="G21" t="s">
        <v>1</v>
      </c>
      <c r="H21">
        <v>308</v>
      </c>
    </row>
    <row r="22" spans="3:8" x14ac:dyDescent="0.3">
      <c r="C22" s="20"/>
      <c r="E22" s="20"/>
      <c r="G22" t="s">
        <v>19</v>
      </c>
      <c r="H22">
        <v>700</v>
      </c>
    </row>
    <row r="23" spans="3:8" x14ac:dyDescent="0.3">
      <c r="C23" s="20"/>
      <c r="E23" s="20"/>
    </row>
    <row r="24" spans="3:8" x14ac:dyDescent="0.3">
      <c r="C24" s="20"/>
      <c r="E24" s="20"/>
      <c r="G24" t="s">
        <v>54</v>
      </c>
      <c r="H24">
        <f>COUNT(Table26[Length (in)])</f>
        <v>20</v>
      </c>
    </row>
    <row r="25" spans="3:8" x14ac:dyDescent="0.3">
      <c r="C25" s="20"/>
      <c r="E25" s="20"/>
    </row>
    <row r="26" spans="3:8" x14ac:dyDescent="0.3">
      <c r="C26" s="20"/>
      <c r="E26" s="20"/>
    </row>
    <row r="27" spans="3:8" x14ac:dyDescent="0.3">
      <c r="C27" s="20"/>
      <c r="E27" s="20"/>
    </row>
    <row r="28" spans="3:8" x14ac:dyDescent="0.3">
      <c r="C28" s="20"/>
      <c r="E28" s="20"/>
    </row>
    <row r="29" spans="3:8" x14ac:dyDescent="0.3">
      <c r="C29" s="20"/>
      <c r="E29" s="20"/>
    </row>
    <row r="30" spans="3:8" x14ac:dyDescent="0.3">
      <c r="C30" s="20"/>
      <c r="E30" s="20"/>
    </row>
    <row r="31" spans="3:8" x14ac:dyDescent="0.3">
      <c r="C31" s="20"/>
      <c r="E31" s="20"/>
    </row>
    <row r="32" spans="3:8" x14ac:dyDescent="0.3">
      <c r="C32" s="20"/>
      <c r="E32" s="20"/>
    </row>
    <row r="33" spans="5:5" x14ac:dyDescent="0.3">
      <c r="E33" s="20"/>
    </row>
    <row r="34" spans="5:5" x14ac:dyDescent="0.3">
      <c r="E34" s="20"/>
    </row>
    <row r="35" spans="5:5" x14ac:dyDescent="0.3">
      <c r="E35" s="20"/>
    </row>
    <row r="36" spans="5:5" x14ac:dyDescent="0.3">
      <c r="E36" s="20"/>
    </row>
    <row r="37" spans="5:5" x14ac:dyDescent="0.3">
      <c r="E37" s="20"/>
    </row>
  </sheetData>
  <mergeCells count="1">
    <mergeCell ref="C14:D14"/>
  </mergeCells>
  <pageMargins left="0.7" right="0.7" top="0.75" bottom="0.75" header="0.3" footer="0.3"/>
  <pageSetup orientation="landscape"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240E0-E2E8-44AC-9D30-293332A54B2C}">
  <sheetPr>
    <pageSetUpPr fitToPage="1"/>
  </sheetPr>
  <dimension ref="A1:Q69"/>
  <sheetViews>
    <sheetView topLeftCell="A49" workbookViewId="0">
      <selection activeCell="K69" sqref="K69"/>
    </sheetView>
  </sheetViews>
  <sheetFormatPr defaultRowHeight="14.4" x14ac:dyDescent="0.3"/>
  <cols>
    <col min="1" max="1" width="17.109375" bestFit="1" customWidth="1"/>
    <col min="2" max="2" width="14.33203125" bestFit="1" customWidth="1"/>
    <col min="3" max="3" width="15.33203125" customWidth="1"/>
    <col min="4" max="6" width="13.33203125" bestFit="1" customWidth="1"/>
    <col min="7" max="7" width="17.109375" customWidth="1"/>
    <col min="8" max="8" width="17.109375" bestFit="1" customWidth="1"/>
    <col min="9" max="9" width="13.109375" bestFit="1" customWidth="1"/>
    <col min="10" max="10" width="11.21875" customWidth="1"/>
    <col min="11" max="11" width="15.109375" bestFit="1" customWidth="1"/>
    <col min="12" max="12" width="18" customWidth="1"/>
  </cols>
  <sheetData>
    <row r="1" spans="1:9" x14ac:dyDescent="0.3">
      <c r="A1" s="52" t="s">
        <v>34</v>
      </c>
      <c r="B1" s="52"/>
      <c r="C1" s="52"/>
      <c r="D1" s="52"/>
      <c r="E1" s="52"/>
      <c r="F1" s="52"/>
      <c r="G1" s="52"/>
      <c r="H1" s="52"/>
      <c r="I1" s="52"/>
    </row>
    <row r="2" spans="1:9" x14ac:dyDescent="0.3">
      <c r="A2" t="s">
        <v>17</v>
      </c>
      <c r="B2" t="s">
        <v>16</v>
      </c>
      <c r="C2" t="s">
        <v>15</v>
      </c>
      <c r="D2" t="s">
        <v>14</v>
      </c>
      <c r="E2" t="s">
        <v>13</v>
      </c>
      <c r="F2" t="s">
        <v>12</v>
      </c>
      <c r="G2" t="s">
        <v>11</v>
      </c>
      <c r="H2" t="s">
        <v>5</v>
      </c>
      <c r="I2" t="s">
        <v>4</v>
      </c>
    </row>
    <row r="3" spans="1:9" x14ac:dyDescent="0.3">
      <c r="A3" t="s">
        <v>3</v>
      </c>
      <c r="B3" t="s">
        <v>2</v>
      </c>
      <c r="C3">
        <v>720</v>
      </c>
      <c r="D3">
        <v>150.5</v>
      </c>
      <c r="E3">
        <v>150.5</v>
      </c>
      <c r="F3">
        <v>150.5</v>
      </c>
      <c r="G3">
        <v>150.5</v>
      </c>
      <c r="H3">
        <f>SUM(Table28[[#This Row],[Cut Length1]:[Cut Length4]])</f>
        <v>602</v>
      </c>
      <c r="I3">
        <f>Table28[[#This Row],[Purchase Length]]-Table28[[#This Row],[Total Cut Length]]</f>
        <v>118</v>
      </c>
    </row>
    <row r="4" spans="1:9" x14ac:dyDescent="0.3">
      <c r="A4" t="s">
        <v>3</v>
      </c>
      <c r="B4" t="s">
        <v>2</v>
      </c>
      <c r="C4">
        <v>720</v>
      </c>
      <c r="D4">
        <v>576.75</v>
      </c>
      <c r="H4">
        <f>SUM(Table28[[#This Row],[Cut Length1]:[Cut Length4]])</f>
        <v>576.75</v>
      </c>
      <c r="I4">
        <f>Table28[[#This Row],[Purchase Length]]-Table28[[#This Row],[Total Cut Length]]</f>
        <v>143.25</v>
      </c>
    </row>
    <row r="5" spans="1:9" x14ac:dyDescent="0.3">
      <c r="A5" t="s">
        <v>3</v>
      </c>
      <c r="B5" t="s">
        <v>2</v>
      </c>
      <c r="C5">
        <v>720</v>
      </c>
      <c r="D5">
        <v>576.75</v>
      </c>
      <c r="H5">
        <f>SUM(Table28[[#This Row],[Cut Length1]:[Cut Length4]])</f>
        <v>576.75</v>
      </c>
      <c r="I5">
        <f>Table28[[#This Row],[Purchase Length]]-Table28[[#This Row],[Total Cut Length]]</f>
        <v>143.25</v>
      </c>
    </row>
    <row r="6" spans="1:9" x14ac:dyDescent="0.3">
      <c r="A6" t="s">
        <v>3</v>
      </c>
      <c r="B6" t="s">
        <v>2</v>
      </c>
      <c r="C6">
        <v>720</v>
      </c>
      <c r="D6">
        <v>150.5</v>
      </c>
      <c r="E6">
        <v>150.5</v>
      </c>
      <c r="H6">
        <f>SUM(Table28[[#This Row],[Cut Length1]:[Cut Length4]])</f>
        <v>301</v>
      </c>
      <c r="I6">
        <f>Table28[[#This Row],[Purchase Length]]-Table28[[#This Row],[Total Cut Length]]</f>
        <v>419</v>
      </c>
    </row>
    <row r="7" spans="1:9" x14ac:dyDescent="0.3">
      <c r="A7" t="s">
        <v>1</v>
      </c>
      <c r="B7" t="s">
        <v>0</v>
      </c>
      <c r="C7">
        <v>600</v>
      </c>
      <c r="D7">
        <v>150.5</v>
      </c>
      <c r="E7">
        <v>150.5</v>
      </c>
      <c r="F7">
        <v>150.5</v>
      </c>
      <c r="G7">
        <v>27.125</v>
      </c>
      <c r="H7">
        <f>SUM(Table28[[#This Row],[Cut Length1]:[Cut Length4]])</f>
        <v>478.625</v>
      </c>
      <c r="I7">
        <f>Table28[[#This Row],[Purchase Length]]-Table28[[#This Row],[Total Cut Length]]</f>
        <v>121.375</v>
      </c>
    </row>
    <row r="8" spans="1:9" x14ac:dyDescent="0.3">
      <c r="A8" t="s">
        <v>1</v>
      </c>
      <c r="B8" t="s">
        <v>0</v>
      </c>
      <c r="C8">
        <v>600</v>
      </c>
      <c r="D8">
        <v>150.5</v>
      </c>
      <c r="E8">
        <v>150.5</v>
      </c>
      <c r="F8">
        <v>150.5</v>
      </c>
      <c r="H8">
        <f>SUM(Table28[[#This Row],[Cut Length1]:[Cut Length4]])</f>
        <v>451.5</v>
      </c>
      <c r="I8">
        <f>Table28[[#This Row],[Purchase Length]]-Table28[[#This Row],[Total Cut Length]]</f>
        <v>148.5</v>
      </c>
    </row>
    <row r="9" spans="1:9" x14ac:dyDescent="0.3">
      <c r="A9" t="s">
        <v>1</v>
      </c>
      <c r="B9" t="s">
        <v>0</v>
      </c>
      <c r="C9">
        <v>600</v>
      </c>
      <c r="D9">
        <v>150.5</v>
      </c>
      <c r="E9">
        <v>150.5</v>
      </c>
      <c r="F9">
        <v>150.5</v>
      </c>
      <c r="H9">
        <f>SUM(Table28[[#This Row],[Cut Length1]:[Cut Length4]])</f>
        <v>451.5</v>
      </c>
      <c r="I9">
        <f>Table28[[#This Row],[Purchase Length]]-Table28[[#This Row],[Total Cut Length]]</f>
        <v>148.5</v>
      </c>
    </row>
    <row r="10" spans="1:9" x14ac:dyDescent="0.3">
      <c r="A10" t="s">
        <v>1</v>
      </c>
      <c r="B10" t="s">
        <v>0</v>
      </c>
      <c r="C10">
        <v>600</v>
      </c>
      <c r="D10">
        <v>150.5</v>
      </c>
      <c r="E10">
        <v>150.5</v>
      </c>
      <c r="F10">
        <v>150.5</v>
      </c>
      <c r="H10">
        <f>SUM(Table28[[#This Row],[Cut Length1]:[Cut Length4]])</f>
        <v>451.5</v>
      </c>
      <c r="I10">
        <f>Table28[[#This Row],[Purchase Length]]-Table28[[#This Row],[Total Cut Length]]</f>
        <v>148.5</v>
      </c>
    </row>
    <row r="11" spans="1:9" x14ac:dyDescent="0.3">
      <c r="A11" t="s">
        <v>1</v>
      </c>
      <c r="B11" t="s">
        <v>0</v>
      </c>
      <c r="C11">
        <v>600</v>
      </c>
      <c r="D11">
        <v>150.5</v>
      </c>
      <c r="E11">
        <v>150.5</v>
      </c>
      <c r="F11">
        <v>150.5</v>
      </c>
      <c r="H11">
        <f>SUM(Table28[[#This Row],[Cut Length1]:[Cut Length4]])</f>
        <v>451.5</v>
      </c>
      <c r="I11">
        <f>Table28[[#This Row],[Purchase Length]]-Table28[[#This Row],[Total Cut Length]]</f>
        <v>148.5</v>
      </c>
    </row>
    <row r="12" spans="1:9" x14ac:dyDescent="0.3">
      <c r="A12" t="s">
        <v>1</v>
      </c>
      <c r="B12" t="s">
        <v>0</v>
      </c>
      <c r="C12">
        <v>600</v>
      </c>
      <c r="D12">
        <v>150.5</v>
      </c>
      <c r="H12">
        <f>SUM(Table28[[#This Row],[Cut Length1]:[Cut Length4]])</f>
        <v>150.5</v>
      </c>
      <c r="I12">
        <f>Table28[[#This Row],[Purchase Length]]-Table28[[#This Row],[Total Cut Length]]</f>
        <v>449.5</v>
      </c>
    </row>
    <row r="14" spans="1:9" x14ac:dyDescent="0.3">
      <c r="C14">
        <f>SUM(Table28[Purchase Length])</f>
        <v>6480</v>
      </c>
      <c r="H14">
        <f>SUM(Table28[Total Cut Length])</f>
        <v>4491.625</v>
      </c>
      <c r="I14">
        <f>SUM(Table28[Total Waste])</f>
        <v>1988.375</v>
      </c>
    </row>
    <row r="15" spans="1:9" x14ac:dyDescent="0.3">
      <c r="D15" t="s">
        <v>20</v>
      </c>
      <c r="E15" t="s">
        <v>16</v>
      </c>
      <c r="F15" t="s">
        <v>5</v>
      </c>
      <c r="G15" t="s">
        <v>4</v>
      </c>
      <c r="I15" s="1">
        <f>I14/C14</f>
        <v>0.30684799382716049</v>
      </c>
    </row>
    <row r="16" spans="1:9" x14ac:dyDescent="0.3">
      <c r="A16" t="s">
        <v>32</v>
      </c>
      <c r="D16" t="str" cm="1">
        <f t="array" ref="D16:D17">_xlfn.UNIQUE(Table28[Item Description])</f>
        <v>W18x50</v>
      </c>
      <c r="E16" t="str" cm="1">
        <f t="array" ref="E16:E17">_xlfn.UNIQUE(Table28[Raw Material])</f>
        <v>804-15017</v>
      </c>
      <c r="F16">
        <f>ROUNDUP(SUMIF(Table28[Raw Material],E16,Table28[Total Cut Length])/12,0)</f>
        <v>172</v>
      </c>
      <c r="G16">
        <f>ROUNDUP(SUMIF(Table28[Raw Material],E16,Table28[Total Waste])/12,0)</f>
        <v>69</v>
      </c>
    </row>
    <row r="17" spans="1:10" x14ac:dyDescent="0.3">
      <c r="D17" t="str">
        <v>W10x17</v>
      </c>
      <c r="E17" t="str">
        <v>804-15022</v>
      </c>
      <c r="F17">
        <f>ROUNDUP(SUMIF(Table28[Raw Material],E17,Table28[Total Cut Length])/12,0)</f>
        <v>203</v>
      </c>
      <c r="G17">
        <f>ROUNDUP(SUMIF(Table28[Raw Material],E17,Table28[Total Waste])/12,0)</f>
        <v>98</v>
      </c>
    </row>
    <row r="20" spans="1:10" x14ac:dyDescent="0.3">
      <c r="A20" s="52" t="s">
        <v>59</v>
      </c>
      <c r="B20" s="52"/>
      <c r="C20" s="52"/>
      <c r="D20" s="52"/>
      <c r="E20" s="52"/>
      <c r="F20" s="52"/>
      <c r="G20" s="52"/>
      <c r="H20" s="52"/>
      <c r="I20" s="52"/>
    </row>
    <row r="21" spans="1:10" x14ac:dyDescent="0.3">
      <c r="A21" t="s">
        <v>17</v>
      </c>
      <c r="B21" t="s">
        <v>16</v>
      </c>
      <c r="C21" t="s">
        <v>15</v>
      </c>
      <c r="D21" t="s">
        <v>14</v>
      </c>
      <c r="E21" t="s">
        <v>13</v>
      </c>
      <c r="F21" t="s">
        <v>12</v>
      </c>
      <c r="G21" t="s">
        <v>11</v>
      </c>
      <c r="H21" t="s">
        <v>10</v>
      </c>
      <c r="I21" t="s">
        <v>5</v>
      </c>
      <c r="J21" t="s">
        <v>4</v>
      </c>
    </row>
    <row r="22" spans="1:10" x14ac:dyDescent="0.3">
      <c r="A22" t="s">
        <v>3</v>
      </c>
      <c r="B22" t="s">
        <v>2</v>
      </c>
      <c r="C22">
        <v>756</v>
      </c>
      <c r="D22">
        <v>150.5</v>
      </c>
      <c r="E22">
        <v>150.5</v>
      </c>
      <c r="F22">
        <v>150.5</v>
      </c>
      <c r="G22">
        <v>150.5</v>
      </c>
      <c r="H22">
        <v>150.5</v>
      </c>
      <c r="I22">
        <f>SUM(Table284[[#This Row],[Cut Length1]:[Cut Length5]])</f>
        <v>752.5</v>
      </c>
      <c r="J22">
        <f>Table284[[#This Row],[Purchase Length]]-Table284[[#This Row],[Total Cut Length]]</f>
        <v>3.5</v>
      </c>
    </row>
    <row r="23" spans="1:10" x14ac:dyDescent="0.3">
      <c r="A23" t="s">
        <v>3</v>
      </c>
      <c r="B23" t="s">
        <v>2</v>
      </c>
      <c r="C23">
        <v>580</v>
      </c>
      <c r="D23">
        <v>576.75</v>
      </c>
      <c r="I23">
        <f>SUM(Table284[[#This Row],[Cut Length1]:[Cut Length5]])</f>
        <v>576.75</v>
      </c>
      <c r="J23">
        <f>Table284[[#This Row],[Purchase Length]]-Table284[[#This Row],[Total Cut Length]]</f>
        <v>3.25</v>
      </c>
    </row>
    <row r="24" spans="1:10" x14ac:dyDescent="0.3">
      <c r="A24" t="s">
        <v>3</v>
      </c>
      <c r="B24" t="s">
        <v>2</v>
      </c>
      <c r="C24">
        <v>580</v>
      </c>
      <c r="D24">
        <v>576.75</v>
      </c>
      <c r="I24">
        <f>SUM(Table284[[#This Row],[Cut Length1]:[Cut Length5]])</f>
        <v>576.75</v>
      </c>
      <c r="J24">
        <f>Table284[[#This Row],[Purchase Length]]-Table284[[#This Row],[Total Cut Length]]</f>
        <v>3.25</v>
      </c>
    </row>
    <row r="25" spans="1:10" x14ac:dyDescent="0.3">
      <c r="A25" s="19" t="s">
        <v>3</v>
      </c>
      <c r="B25" s="19" t="s">
        <v>2</v>
      </c>
      <c r="C25" s="19"/>
      <c r="D25" s="19"/>
      <c r="E25" s="19"/>
      <c r="F25" s="19"/>
      <c r="G25" s="19"/>
      <c r="H25" s="19"/>
      <c r="I25" s="19">
        <f>SUM(Table284[[#This Row],[Cut Length1]:[Cut Length5]])</f>
        <v>0</v>
      </c>
      <c r="J25" s="19">
        <f>Table284[[#This Row],[Purchase Length]]-Table284[[#This Row],[Total Cut Length]]</f>
        <v>0</v>
      </c>
    </row>
    <row r="26" spans="1:10" x14ac:dyDescent="0.3">
      <c r="A26" t="s">
        <v>1</v>
      </c>
      <c r="B26" t="s">
        <v>0</v>
      </c>
      <c r="C26">
        <v>604</v>
      </c>
      <c r="D26">
        <v>150.5</v>
      </c>
      <c r="E26">
        <v>150.5</v>
      </c>
      <c r="F26">
        <v>150.5</v>
      </c>
      <c r="G26">
        <v>150.5</v>
      </c>
      <c r="I26">
        <f>SUM(Table284[[#This Row],[Cut Length1]:[Cut Length5]])</f>
        <v>602</v>
      </c>
      <c r="J26">
        <f>Table284[[#This Row],[Purchase Length]]-Table284[[#This Row],[Total Cut Length]]</f>
        <v>2</v>
      </c>
    </row>
    <row r="27" spans="1:10" x14ac:dyDescent="0.3">
      <c r="A27" t="s">
        <v>1</v>
      </c>
      <c r="B27" t="s">
        <v>0</v>
      </c>
      <c r="C27">
        <v>604</v>
      </c>
      <c r="D27">
        <v>150.5</v>
      </c>
      <c r="E27">
        <v>150.5</v>
      </c>
      <c r="F27">
        <v>150.5</v>
      </c>
      <c r="G27">
        <v>150.5</v>
      </c>
      <c r="I27">
        <f>SUM(Table284[[#This Row],[Cut Length1]:[Cut Length5]])</f>
        <v>602</v>
      </c>
      <c r="J27">
        <f>Table284[[#This Row],[Purchase Length]]-Table284[[#This Row],[Total Cut Length]]</f>
        <v>2</v>
      </c>
    </row>
    <row r="28" spans="1:10" x14ac:dyDescent="0.3">
      <c r="A28" t="s">
        <v>1</v>
      </c>
      <c r="B28" t="s">
        <v>0</v>
      </c>
      <c r="C28">
        <v>604</v>
      </c>
      <c r="D28">
        <v>150.5</v>
      </c>
      <c r="E28">
        <v>150.5</v>
      </c>
      <c r="F28">
        <v>150.5</v>
      </c>
      <c r="G28">
        <v>150.5</v>
      </c>
      <c r="I28">
        <f>SUM(Table284[[#This Row],[Cut Length1]:[Cut Length5]])</f>
        <v>602</v>
      </c>
      <c r="J28">
        <f>Table284[[#This Row],[Purchase Length]]-Table284[[#This Row],[Total Cut Length]]</f>
        <v>2</v>
      </c>
    </row>
    <row r="29" spans="1:10" x14ac:dyDescent="0.3">
      <c r="A29" t="s">
        <v>1</v>
      </c>
      <c r="B29" t="s">
        <v>0</v>
      </c>
      <c r="C29">
        <v>604</v>
      </c>
      <c r="D29">
        <v>150.5</v>
      </c>
      <c r="E29">
        <v>150.5</v>
      </c>
      <c r="F29">
        <v>150.5</v>
      </c>
      <c r="G29">
        <v>150.5</v>
      </c>
      <c r="I29">
        <f>SUM(Table284[[#This Row],[Cut Length1]:[Cut Length5]])</f>
        <v>602</v>
      </c>
      <c r="J29">
        <f>Table284[[#This Row],[Purchase Length]]-Table284[[#This Row],[Total Cut Length]]</f>
        <v>2</v>
      </c>
    </row>
    <row r="30" spans="1:10" x14ac:dyDescent="0.3">
      <c r="A30" t="s">
        <v>1</v>
      </c>
      <c r="B30" t="s">
        <v>0</v>
      </c>
      <c r="D30">
        <v>27.125</v>
      </c>
      <c r="I30">
        <f>SUM(Table284[[#This Row],[Cut Length1]:[Cut Length5]])</f>
        <v>27.125</v>
      </c>
      <c r="J30">
        <f>Table284[[#This Row],[Purchase Length]]-Table284[[#This Row],[Total Cut Length]]</f>
        <v>-27.125</v>
      </c>
    </row>
    <row r="31" spans="1:10" x14ac:dyDescent="0.3">
      <c r="A31" s="19" t="s">
        <v>1</v>
      </c>
      <c r="B31" s="19" t="s">
        <v>0</v>
      </c>
      <c r="C31" s="19"/>
      <c r="D31" s="19"/>
      <c r="E31" s="19"/>
      <c r="F31" s="19"/>
      <c r="G31" s="19"/>
      <c r="H31" s="19"/>
      <c r="I31" s="19">
        <f>SUM(Table284[[#This Row],[Cut Length1]:[Cut Length5]])</f>
        <v>0</v>
      </c>
      <c r="J31" s="19">
        <f>Table284[[#This Row],[Purchase Length]]-Table284[[#This Row],[Total Cut Length]]</f>
        <v>0</v>
      </c>
    </row>
    <row r="33" spans="1:15" x14ac:dyDescent="0.3">
      <c r="C33">
        <f>SUM(Table284[Purchase Length])</f>
        <v>4332</v>
      </c>
      <c r="H33">
        <f>SUM(Table284[Total Cut Length])</f>
        <v>4341.125</v>
      </c>
      <c r="I33">
        <f>SUM(Table284[Total Waste])</f>
        <v>-9.125</v>
      </c>
    </row>
    <row r="34" spans="1:15" x14ac:dyDescent="0.3">
      <c r="D34" t="s">
        <v>20</v>
      </c>
      <c r="E34" t="s">
        <v>16</v>
      </c>
      <c r="F34" t="s">
        <v>5</v>
      </c>
      <c r="G34" t="s">
        <v>4</v>
      </c>
      <c r="I34" s="1">
        <f>I33/C33</f>
        <v>-2.1064173591874421E-3</v>
      </c>
    </row>
    <row r="35" spans="1:15" x14ac:dyDescent="0.3">
      <c r="A35" t="s">
        <v>32</v>
      </c>
      <c r="D35" t="str" cm="1">
        <f t="array" ref="D35:D36">_xlfn.UNIQUE(Table284[Item Description])</f>
        <v>W18x50</v>
      </c>
      <c r="E35" t="str" cm="1">
        <f t="array" ref="E35:E36">_xlfn.UNIQUE(Table284[Raw Material])</f>
        <v>804-15017</v>
      </c>
      <c r="F35">
        <f>ROUNDUP(SUMIF(Table284[Raw Material],E35,Table284[Total Cut Length])/12,0)</f>
        <v>159</v>
      </c>
      <c r="G35">
        <f>ROUNDUP(SUMIF(Table284[Raw Material],E35,Table284[Total Waste])/12,0)</f>
        <v>1</v>
      </c>
    </row>
    <row r="36" spans="1:15" x14ac:dyDescent="0.3">
      <c r="D36" t="str">
        <v>W10x17</v>
      </c>
      <c r="E36" t="str">
        <v>804-15022</v>
      </c>
      <c r="F36">
        <f>ROUNDUP(SUMIF(Table284[Raw Material],E36,Table284[Total Cut Length])/12,0)</f>
        <v>203</v>
      </c>
      <c r="G36">
        <f>ROUNDUP(SUMIF(Table284[Raw Material],E36,Table284[Total Waste])/12,0)</f>
        <v>-2</v>
      </c>
    </row>
    <row r="39" spans="1:15" x14ac:dyDescent="0.3">
      <c r="I39" s="1"/>
    </row>
    <row r="40" spans="1:15" x14ac:dyDescent="0.3">
      <c r="L40" t="s">
        <v>3</v>
      </c>
      <c r="M40">
        <v>780</v>
      </c>
      <c r="N40">
        <f>COUNTIFS(Table284[Item Description],L40,Table284[Purchase Length],M40)</f>
        <v>0</v>
      </c>
      <c r="O40">
        <f>N40*$D$45</f>
        <v>0</v>
      </c>
    </row>
    <row r="41" spans="1:15" x14ac:dyDescent="0.3">
      <c r="D41" t="s">
        <v>37</v>
      </c>
      <c r="E41" t="s">
        <v>42</v>
      </c>
      <c r="F41" s="23" t="s">
        <v>43</v>
      </c>
      <c r="L41" t="s">
        <v>3</v>
      </c>
      <c r="M41">
        <v>720</v>
      </c>
      <c r="N41">
        <f>COUNTIFS(Table284[Item Description],L41,Table284[Purchase Length],M41)</f>
        <v>0</v>
      </c>
      <c r="O41">
        <f t="shared" ref="O41:O50" si="0">N41*$D$45</f>
        <v>0</v>
      </c>
    </row>
    <row r="42" spans="1:15" x14ac:dyDescent="0.3">
      <c r="B42" s="53" t="s">
        <v>36</v>
      </c>
      <c r="C42" s="53"/>
      <c r="D42" s="21">
        <f>(SUM(C3:C6)-SUM(C22:C24))/12</f>
        <v>80.333333333333329</v>
      </c>
      <c r="E42" s="21">
        <f>(SUM(C7:C12)-SUM(C26:C30))/12</f>
        <v>98.666666666666671</v>
      </c>
      <c r="F42" s="23"/>
      <c r="L42" t="s">
        <v>3</v>
      </c>
      <c r="M42">
        <v>690</v>
      </c>
      <c r="N42">
        <f>COUNTIFS(Table284[Item Description],L42,Table284[Purchase Length],M42)</f>
        <v>0</v>
      </c>
      <c r="O42">
        <f t="shared" si="0"/>
        <v>0</v>
      </c>
    </row>
    <row r="43" spans="1:15" x14ac:dyDescent="0.3">
      <c r="C43" t="s">
        <v>38</v>
      </c>
      <c r="D43" s="20">
        <v>40.520000000000003</v>
      </c>
      <c r="E43" s="20">
        <v>13.49</v>
      </c>
      <c r="F43" s="23"/>
      <c r="H43" s="20"/>
      <c r="L43" t="s">
        <v>3</v>
      </c>
      <c r="M43">
        <v>612</v>
      </c>
      <c r="N43">
        <f>COUNTIFS(Table284[Item Description],L43,Table284[Purchase Length],M43)</f>
        <v>0</v>
      </c>
      <c r="O43">
        <f t="shared" si="0"/>
        <v>0</v>
      </c>
    </row>
    <row r="44" spans="1:15" x14ac:dyDescent="0.3">
      <c r="C44" t="s">
        <v>41</v>
      </c>
      <c r="D44" s="20">
        <f>D42*D43</f>
        <v>3255.1066666666666</v>
      </c>
      <c r="E44" s="20">
        <f>E42*E43</f>
        <v>1331.0133333333333</v>
      </c>
      <c r="F44" s="24">
        <f>D44+E44</f>
        <v>4586.12</v>
      </c>
      <c r="H44" s="20"/>
      <c r="L44" t="s">
        <v>3</v>
      </c>
      <c r="M44">
        <v>600</v>
      </c>
      <c r="N44">
        <f>COUNTIFS(Table284[Item Description],L44,Table284[Purchase Length],M44)</f>
        <v>0</v>
      </c>
      <c r="O44">
        <f t="shared" si="0"/>
        <v>0</v>
      </c>
    </row>
    <row r="45" spans="1:15" x14ac:dyDescent="0.3">
      <c r="C45" t="s">
        <v>39</v>
      </c>
      <c r="D45">
        <f>Summary!D3</f>
        <v>18</v>
      </c>
      <c r="E45">
        <f>Summary!D3</f>
        <v>18</v>
      </c>
      <c r="F45" s="23"/>
      <c r="L45" t="s">
        <v>3</v>
      </c>
      <c r="M45">
        <v>460</v>
      </c>
      <c r="N45">
        <f>COUNTIFS(Table284[Item Description],L45,Table284[Purchase Length],M45)</f>
        <v>0</v>
      </c>
      <c r="O45">
        <f t="shared" si="0"/>
        <v>0</v>
      </c>
    </row>
    <row r="46" spans="1:15" x14ac:dyDescent="0.3">
      <c r="C46" t="s">
        <v>40</v>
      </c>
      <c r="D46" s="20">
        <f>D45*D44</f>
        <v>58591.92</v>
      </c>
      <c r="E46" s="20">
        <f>E45*E44</f>
        <v>23958.239999999998</v>
      </c>
      <c r="F46" s="24">
        <f>D46+E46</f>
        <v>82550.16</v>
      </c>
      <c r="H46" s="20"/>
      <c r="L46" t="s">
        <v>19</v>
      </c>
      <c r="M46">
        <v>564</v>
      </c>
      <c r="N46">
        <f>COUNTIFS(Table284[Item Description],L46,Table284[Purchase Length],M46)</f>
        <v>0</v>
      </c>
      <c r="O46">
        <f t="shared" si="0"/>
        <v>0</v>
      </c>
    </row>
    <row r="47" spans="1:15" x14ac:dyDescent="0.3">
      <c r="L47" t="s">
        <v>19</v>
      </c>
      <c r="M47">
        <v>420</v>
      </c>
      <c r="N47">
        <f>COUNTIFS(Table284[Item Description],L47,Table284[Purchase Length],M47)</f>
        <v>0</v>
      </c>
      <c r="O47">
        <f t="shared" si="0"/>
        <v>0</v>
      </c>
    </row>
    <row r="48" spans="1:15" x14ac:dyDescent="0.3">
      <c r="L48" t="s">
        <v>1</v>
      </c>
      <c r="M48">
        <v>612</v>
      </c>
      <c r="N48">
        <f>COUNTIFS(Table284[Item Description],L48,Table284[Purchase Length],M48)</f>
        <v>0</v>
      </c>
      <c r="O48">
        <f t="shared" si="0"/>
        <v>0</v>
      </c>
    </row>
    <row r="49" spans="1:17" x14ac:dyDescent="0.3">
      <c r="L49" t="s">
        <v>1</v>
      </c>
      <c r="M49">
        <v>600</v>
      </c>
      <c r="N49">
        <f>COUNTIFS(Table284[Item Description],L49,Table284[Purchase Length],M49)</f>
        <v>0</v>
      </c>
      <c r="O49">
        <f t="shared" si="0"/>
        <v>0</v>
      </c>
    </row>
    <row r="50" spans="1:17" x14ac:dyDescent="0.3">
      <c r="L50" t="s">
        <v>1</v>
      </c>
      <c r="M50">
        <v>460</v>
      </c>
      <c r="N50">
        <f>COUNTIFS(Table284[Item Description],L50,Table284[Purchase Length],M50)</f>
        <v>0</v>
      </c>
      <c r="O50">
        <f t="shared" si="0"/>
        <v>0</v>
      </c>
    </row>
    <row r="52" spans="1:17" x14ac:dyDescent="0.3">
      <c r="K52" s="51" t="s">
        <v>64</v>
      </c>
      <c r="L52" s="51"/>
    </row>
    <row r="53" spans="1:17" ht="29.4" customHeight="1" x14ac:dyDescent="0.3">
      <c r="A53" t="s">
        <v>17</v>
      </c>
      <c r="B53" t="s">
        <v>16</v>
      </c>
      <c r="C53" t="s">
        <v>15</v>
      </c>
      <c r="D53" t="s">
        <v>14</v>
      </c>
      <c r="E53" t="s">
        <v>13</v>
      </c>
      <c r="F53" t="s">
        <v>12</v>
      </c>
      <c r="G53" t="s">
        <v>11</v>
      </c>
      <c r="H53" t="s">
        <v>10</v>
      </c>
      <c r="I53" t="s">
        <v>5</v>
      </c>
      <c r="J53" t="s">
        <v>4</v>
      </c>
      <c r="K53" s="39" t="s">
        <v>62</v>
      </c>
      <c r="L53" s="40" t="s">
        <v>63</v>
      </c>
    </row>
    <row r="54" spans="1:17" x14ac:dyDescent="0.3">
      <c r="A54" t="s">
        <v>3</v>
      </c>
      <c r="B54" t="s">
        <v>2</v>
      </c>
      <c r="C54">
        <v>756</v>
      </c>
      <c r="D54">
        <v>150.5</v>
      </c>
      <c r="E54">
        <v>150.5</v>
      </c>
      <c r="F54">
        <v>150.5</v>
      </c>
      <c r="G54">
        <v>150.5</v>
      </c>
      <c r="H54">
        <v>150.5</v>
      </c>
      <c r="I54">
        <f>SUM(Table2842527[[#This Row],[Cut Length1]:[Cut Length5]])</f>
        <v>752.5</v>
      </c>
      <c r="J54">
        <f>Table2842527[[#This Row],[Purchase Length]]-Table2842527[[#This Row],[Total Cut Length]]</f>
        <v>3.5</v>
      </c>
      <c r="K54">
        <f>(COUNTA(Table2842527[[#This Row],[Cut Length1]:[Cut Length5]])-1)*0.1875+2</f>
        <v>2.75</v>
      </c>
      <c r="L54">
        <f>Table2842527[[#This Row],[Total Waste]]-K54</f>
        <v>0.75</v>
      </c>
    </row>
    <row r="55" spans="1:17" x14ac:dyDescent="0.3">
      <c r="A55" t="s">
        <v>3</v>
      </c>
      <c r="B55" t="s">
        <v>2</v>
      </c>
      <c r="C55" s="29">
        <v>732</v>
      </c>
      <c r="D55">
        <v>576.75</v>
      </c>
      <c r="E55" s="29">
        <v>150.5</v>
      </c>
      <c r="I55">
        <f>SUM(Table2842527[[#This Row],[Cut Length1]:[Cut Length5]])</f>
        <v>727.25</v>
      </c>
      <c r="J55">
        <f>Table2842527[[#This Row],[Purchase Length]]-Table2842527[[#This Row],[Total Cut Length]]</f>
        <v>4.75</v>
      </c>
      <c r="K55">
        <f>(COUNTA(Table2842527[[#This Row],[Cut Length1]:[Cut Length5]])-1)*0.1875+2</f>
        <v>2.1875</v>
      </c>
      <c r="L55">
        <f>Table2842527[[#This Row],[Total Waste]]-K55</f>
        <v>2.5625</v>
      </c>
    </row>
    <row r="56" spans="1:17" x14ac:dyDescent="0.3">
      <c r="A56" t="s">
        <v>3</v>
      </c>
      <c r="B56" t="s">
        <v>2</v>
      </c>
      <c r="C56">
        <v>580</v>
      </c>
      <c r="D56">
        <v>576.75</v>
      </c>
      <c r="I56">
        <f>SUM(Table2842527[[#This Row],[Cut Length1]:[Cut Length5]])</f>
        <v>576.75</v>
      </c>
      <c r="J56">
        <f>Table2842527[[#This Row],[Purchase Length]]-Table2842527[[#This Row],[Total Cut Length]]</f>
        <v>3.25</v>
      </c>
      <c r="K56">
        <f>(COUNTA(Table2842527[[#This Row],[Cut Length1]:[Cut Length5]])-1)*0.1875+2</f>
        <v>2</v>
      </c>
      <c r="L56">
        <f>Table2842527[[#This Row],[Total Waste]]-K56</f>
        <v>1.25</v>
      </c>
    </row>
    <row r="57" spans="1:17" x14ac:dyDescent="0.3">
      <c r="A57" t="s">
        <v>1</v>
      </c>
      <c r="B57" t="s">
        <v>0</v>
      </c>
      <c r="C57" s="29">
        <v>764</v>
      </c>
      <c r="D57" s="29">
        <v>150.5</v>
      </c>
      <c r="E57" s="29">
        <v>150.5</v>
      </c>
      <c r="F57" s="29">
        <v>150.5</v>
      </c>
      <c r="G57" s="29">
        <v>150.5</v>
      </c>
      <c r="H57" s="29">
        <v>150.5</v>
      </c>
      <c r="I57">
        <f>SUM(Table2842527[[#This Row],[Cut Length1]:[Cut Length5]])</f>
        <v>752.5</v>
      </c>
      <c r="J57">
        <f>Table2842527[[#This Row],[Purchase Length]]-Table2842527[[#This Row],[Total Cut Length]]</f>
        <v>11.5</v>
      </c>
      <c r="K57">
        <f>(COUNTA(Table2842527[[#This Row],[Cut Length1]:[Cut Length5]])-1)*0.1875+2</f>
        <v>2.75</v>
      </c>
      <c r="L57">
        <f>Table2842527[[#This Row],[Total Waste]]-K57</f>
        <v>8.75</v>
      </c>
      <c r="M57" s="35"/>
      <c r="N57" s="35"/>
      <c r="O57" s="35"/>
      <c r="P57" s="35"/>
      <c r="Q57" s="35"/>
    </row>
    <row r="58" spans="1:17" x14ac:dyDescent="0.3">
      <c r="A58" t="s">
        <v>1</v>
      </c>
      <c r="B58" t="s">
        <v>0</v>
      </c>
      <c r="C58" s="29">
        <v>764</v>
      </c>
      <c r="D58" s="29">
        <v>150.5</v>
      </c>
      <c r="E58" s="29">
        <v>150.5</v>
      </c>
      <c r="F58" s="29">
        <v>150.5</v>
      </c>
      <c r="G58" s="29">
        <v>150.5</v>
      </c>
      <c r="H58" s="29">
        <v>150.5</v>
      </c>
      <c r="I58">
        <f>SUM(Table2842527[[#This Row],[Cut Length1]:[Cut Length5]])</f>
        <v>752.5</v>
      </c>
      <c r="J58">
        <f>Table2842527[[#This Row],[Purchase Length]]-Table2842527[[#This Row],[Total Cut Length]]</f>
        <v>11.5</v>
      </c>
      <c r="K58">
        <f>(COUNTA(Table2842527[[#This Row],[Cut Length1]:[Cut Length5]])-1)*0.1875+2</f>
        <v>2.75</v>
      </c>
      <c r="L58">
        <f>Table2842527[[#This Row],[Total Waste]]-K58</f>
        <v>8.75</v>
      </c>
      <c r="M58" s="35"/>
      <c r="N58" s="35"/>
      <c r="O58" s="35"/>
      <c r="P58" s="35"/>
      <c r="Q58" s="35"/>
    </row>
    <row r="59" spans="1:17" x14ac:dyDescent="0.3">
      <c r="A59" t="s">
        <v>1</v>
      </c>
      <c r="B59" t="s">
        <v>0</v>
      </c>
      <c r="C59" s="29">
        <v>308</v>
      </c>
      <c r="D59" s="29">
        <v>150.5</v>
      </c>
      <c r="E59" s="29">
        <v>150.5</v>
      </c>
      <c r="F59" s="29"/>
      <c r="G59" s="29"/>
      <c r="H59" s="29"/>
      <c r="I59">
        <f>SUM(Table2842527[[#This Row],[Cut Length1]:[Cut Length5]])</f>
        <v>301</v>
      </c>
      <c r="J59">
        <f>Table2842527[[#This Row],[Purchase Length]]-Table2842527[[#This Row],[Total Cut Length]]</f>
        <v>7</v>
      </c>
      <c r="K59">
        <f>(COUNTA(Table2842527[[#This Row],[Cut Length1]:[Cut Length5]])-1)*0.1875+2</f>
        <v>2.1875</v>
      </c>
      <c r="L59">
        <f>Table2842527[[#This Row],[Total Waste]]-K59</f>
        <v>4.8125</v>
      </c>
      <c r="M59" s="35"/>
      <c r="N59" s="35"/>
      <c r="O59" s="35"/>
      <c r="P59" s="35"/>
      <c r="Q59" s="35"/>
    </row>
    <row r="60" spans="1:17" x14ac:dyDescent="0.3">
      <c r="A60" t="s">
        <v>1</v>
      </c>
      <c r="B60" t="s">
        <v>0</v>
      </c>
      <c r="C60" s="29">
        <v>308</v>
      </c>
      <c r="D60" s="29">
        <v>150.5</v>
      </c>
      <c r="E60" s="29">
        <v>150.5</v>
      </c>
      <c r="F60" s="29"/>
      <c r="I60">
        <f>SUM(Table2842527[[#This Row],[Cut Length1]:[Cut Length5]])</f>
        <v>301</v>
      </c>
      <c r="J60">
        <f>Table2842527[[#This Row],[Purchase Length]]-Table2842527[[#This Row],[Total Cut Length]]</f>
        <v>7</v>
      </c>
      <c r="K60">
        <f>(COUNTA(Table2842527[[#This Row],[Cut Length1]:[Cut Length5]])-1)*0.1875+2</f>
        <v>2.1875</v>
      </c>
      <c r="L60">
        <f>Table2842527[[#This Row],[Total Waste]]-K60</f>
        <v>4.8125</v>
      </c>
    </row>
    <row r="61" spans="1:17" x14ac:dyDescent="0.3">
      <c r="A61" t="s">
        <v>1</v>
      </c>
      <c r="B61" t="s">
        <v>0</v>
      </c>
      <c r="C61" s="29">
        <v>332</v>
      </c>
      <c r="D61" s="29">
        <v>150.5</v>
      </c>
      <c r="E61" s="29">
        <v>150.5</v>
      </c>
      <c r="F61" s="29">
        <v>27.125</v>
      </c>
      <c r="I61">
        <f>SUM(Table2842527[[#This Row],[Cut Length1]:[Cut Length5]])</f>
        <v>328.125</v>
      </c>
      <c r="J61">
        <f>Table2842527[[#This Row],[Purchase Length]]-Table2842527[[#This Row],[Total Cut Length]]</f>
        <v>3.875</v>
      </c>
      <c r="K61">
        <f>(COUNTA(Table2842527[[#This Row],[Cut Length1]:[Cut Length5]])-1)*0.1875+2</f>
        <v>2.375</v>
      </c>
      <c r="L61">
        <f>Table2842527[[#This Row],[Total Waste]]-K61</f>
        <v>1.5</v>
      </c>
    </row>
    <row r="63" spans="1:17" x14ac:dyDescent="0.3">
      <c r="C63">
        <f>SUM(Table2842527[Purchase Length])</f>
        <v>4544</v>
      </c>
      <c r="H63">
        <f>SUM(Table2842527[Total Cut Length])</f>
        <v>4491.625</v>
      </c>
      <c r="I63">
        <f>SUM(Table2842527[Total Waste])</f>
        <v>52.375</v>
      </c>
    </row>
    <row r="64" spans="1:17" x14ac:dyDescent="0.3">
      <c r="I64" s="1">
        <f>I63/C63</f>
        <v>1.152618838028169E-2</v>
      </c>
    </row>
    <row r="65" spans="2:9" x14ac:dyDescent="0.3">
      <c r="B65" s="49" t="s">
        <v>61</v>
      </c>
      <c r="C65" s="50"/>
      <c r="D65" s="50"/>
      <c r="E65" s="50"/>
      <c r="F65" s="50"/>
      <c r="G65" s="50"/>
      <c r="H65" s="50"/>
      <c r="I65" s="50"/>
    </row>
    <row r="66" spans="2:9" x14ac:dyDescent="0.3">
      <c r="B66" s="50"/>
      <c r="C66" s="50"/>
      <c r="D66" s="50"/>
      <c r="E66" s="50"/>
      <c r="F66" s="50"/>
      <c r="G66" s="50"/>
      <c r="H66" s="50"/>
      <c r="I66" s="50"/>
    </row>
    <row r="67" spans="2:9" x14ac:dyDescent="0.3">
      <c r="B67" s="50"/>
      <c r="C67" s="50"/>
      <c r="D67" s="50"/>
      <c r="E67" s="50"/>
      <c r="F67" s="50"/>
      <c r="G67" s="50"/>
      <c r="H67" s="50"/>
      <c r="I67" s="50"/>
    </row>
    <row r="68" spans="2:9" x14ac:dyDescent="0.3">
      <c r="B68" s="50"/>
      <c r="C68" s="50"/>
      <c r="D68" s="50"/>
      <c r="E68" s="50"/>
      <c r="F68" s="50"/>
      <c r="G68" s="50"/>
      <c r="H68" s="50"/>
      <c r="I68" s="50"/>
    </row>
    <row r="69" spans="2:9" x14ac:dyDescent="0.3">
      <c r="B69" s="50"/>
      <c r="C69" s="50"/>
      <c r="D69" s="50"/>
      <c r="E69" s="50"/>
      <c r="F69" s="50"/>
      <c r="G69" s="50"/>
      <c r="H69" s="50"/>
      <c r="I69" s="50"/>
    </row>
  </sheetData>
  <mergeCells count="5">
    <mergeCell ref="B65:I69"/>
    <mergeCell ref="K52:L52"/>
    <mergeCell ref="A1:I1"/>
    <mergeCell ref="A20:I20"/>
    <mergeCell ref="B42:C42"/>
  </mergeCells>
  <phoneticPr fontId="4" type="noConversion"/>
  <pageMargins left="0.7" right="0.7" top="0.75" bottom="0.75" header="0.3" footer="0.3"/>
  <pageSetup paperSize="3" scale="79" orientation="landscape" horizontalDpi="1200" verticalDpi="120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B75B-97D1-4414-9FBF-862E07789775}">
  <sheetPr>
    <pageSetUpPr fitToPage="1"/>
  </sheetPr>
  <dimension ref="A1:Q56"/>
  <sheetViews>
    <sheetView topLeftCell="A37" workbookViewId="0">
      <selection activeCell="M42" sqref="M42"/>
    </sheetView>
  </sheetViews>
  <sheetFormatPr defaultRowHeight="14.4" x14ac:dyDescent="0.3"/>
  <cols>
    <col min="1" max="1" width="17.109375" bestFit="1" customWidth="1"/>
    <col min="2" max="2" width="14.33203125" bestFit="1" customWidth="1"/>
    <col min="3" max="3" width="17.33203125" bestFit="1" customWidth="1"/>
    <col min="4" max="10" width="13.33203125" bestFit="1" customWidth="1"/>
    <col min="11" max="11" width="17.109375" bestFit="1" customWidth="1"/>
    <col min="12" max="12" width="13.109375" bestFit="1" customWidth="1"/>
    <col min="13" max="13" width="14.109375" customWidth="1"/>
    <col min="14" max="14" width="16.33203125" customWidth="1"/>
  </cols>
  <sheetData>
    <row r="1" spans="1:12" x14ac:dyDescent="0.3">
      <c r="A1" s="52" t="s">
        <v>34</v>
      </c>
      <c r="B1" s="52"/>
      <c r="C1" s="52"/>
      <c r="D1" s="52"/>
      <c r="E1" s="52"/>
      <c r="F1" s="52"/>
      <c r="G1" s="52"/>
      <c r="H1" s="52"/>
      <c r="I1" s="52"/>
      <c r="J1" s="52"/>
      <c r="K1" s="52"/>
      <c r="L1" s="52"/>
    </row>
    <row r="2" spans="1:12" x14ac:dyDescent="0.3">
      <c r="A2" s="3" t="s">
        <v>17</v>
      </c>
      <c r="B2" s="7" t="s">
        <v>16</v>
      </c>
      <c r="C2" s="7" t="s">
        <v>15</v>
      </c>
      <c r="D2" s="7" t="s">
        <v>14</v>
      </c>
      <c r="E2" s="7" t="s">
        <v>13</v>
      </c>
      <c r="F2" s="7" t="s">
        <v>12</v>
      </c>
      <c r="G2" s="7" t="s">
        <v>11</v>
      </c>
      <c r="H2" s="7" t="s">
        <v>10</v>
      </c>
      <c r="I2" s="7" t="s">
        <v>9</v>
      </c>
      <c r="J2" s="7" t="s">
        <v>8</v>
      </c>
      <c r="K2" s="7" t="s">
        <v>5</v>
      </c>
      <c r="L2" s="2" t="s">
        <v>4</v>
      </c>
    </row>
    <row r="3" spans="1:12" x14ac:dyDescent="0.3">
      <c r="A3" s="6" t="s">
        <v>3</v>
      </c>
      <c r="B3" s="5" t="s">
        <v>2</v>
      </c>
      <c r="C3" s="5">
        <v>720</v>
      </c>
      <c r="D3" s="5">
        <v>563.75</v>
      </c>
      <c r="E3" s="5">
        <v>145.5</v>
      </c>
      <c r="F3" s="5"/>
      <c r="G3" s="5"/>
      <c r="H3" s="5"/>
      <c r="I3" s="5"/>
      <c r="J3" s="5"/>
      <c r="K3" s="5">
        <f>SUM(Table221[[#This Row],[Cut Length1]:[Cut Length7]])</f>
        <v>709.25</v>
      </c>
      <c r="L3" s="4">
        <f>Table221[[#This Row],[Purchase Length]]-Table221[[#This Row],[Total Cut Length]]</f>
        <v>10.75</v>
      </c>
    </row>
    <row r="4" spans="1:12" x14ac:dyDescent="0.3">
      <c r="A4" s="6" t="s">
        <v>3</v>
      </c>
      <c r="B4" s="5" t="s">
        <v>2</v>
      </c>
      <c r="C4" s="5">
        <v>720</v>
      </c>
      <c r="D4" s="5">
        <v>563.75</v>
      </c>
      <c r="E4" s="5">
        <v>145.5</v>
      </c>
      <c r="F4" s="5"/>
      <c r="G4" s="5"/>
      <c r="H4" s="5"/>
      <c r="I4" s="5"/>
      <c r="J4" s="5"/>
      <c r="K4" s="5">
        <f>SUM(Table221[[#This Row],[Cut Length1]:[Cut Length7]])</f>
        <v>709.25</v>
      </c>
      <c r="L4" s="4">
        <f>Table221[[#This Row],[Purchase Length]]-Table221[[#This Row],[Total Cut Length]]</f>
        <v>10.75</v>
      </c>
    </row>
    <row r="5" spans="1:12" x14ac:dyDescent="0.3">
      <c r="A5" s="6" t="s">
        <v>3</v>
      </c>
      <c r="B5" s="5" t="s">
        <v>2</v>
      </c>
      <c r="C5" s="5">
        <v>720</v>
      </c>
      <c r="D5" s="5">
        <v>145.5</v>
      </c>
      <c r="E5" s="5">
        <v>145.5</v>
      </c>
      <c r="F5" s="5">
        <v>145.5</v>
      </c>
      <c r="G5" s="5">
        <v>145.5</v>
      </c>
      <c r="H5" s="5"/>
      <c r="I5" s="5"/>
      <c r="J5" s="5"/>
      <c r="K5" s="5">
        <f>SUM(Table221[[#This Row],[Cut Length1]:[Cut Length7]])</f>
        <v>582</v>
      </c>
      <c r="L5" s="4">
        <f>Table221[[#This Row],[Purchase Length]]-Table221[[#This Row],[Total Cut Length]]</f>
        <v>138</v>
      </c>
    </row>
    <row r="6" spans="1:12" x14ac:dyDescent="0.3">
      <c r="A6" s="6" t="s">
        <v>1</v>
      </c>
      <c r="B6" s="5" t="s">
        <v>0</v>
      </c>
      <c r="C6" s="5">
        <v>600</v>
      </c>
      <c r="D6" s="5">
        <v>145.5</v>
      </c>
      <c r="E6" s="5">
        <v>145.5</v>
      </c>
      <c r="F6" s="5">
        <v>115.5</v>
      </c>
      <c r="G6" s="5">
        <v>82</v>
      </c>
      <c r="H6" s="5">
        <v>35.25</v>
      </c>
      <c r="I6" s="5">
        <v>35.25</v>
      </c>
      <c r="J6" s="5">
        <v>35.25</v>
      </c>
      <c r="K6" s="5">
        <f>SUM(Table221[[#This Row],[Cut Length1]:[Cut Length7]])</f>
        <v>594.25</v>
      </c>
      <c r="L6" s="4">
        <f>Table221[[#This Row],[Purchase Length]]-Table221[[#This Row],[Total Cut Length]]</f>
        <v>5.75</v>
      </c>
    </row>
    <row r="7" spans="1:12" x14ac:dyDescent="0.3">
      <c r="A7" s="6" t="s">
        <v>1</v>
      </c>
      <c r="B7" s="5" t="s">
        <v>0</v>
      </c>
      <c r="C7" s="5">
        <v>600</v>
      </c>
      <c r="D7" s="5">
        <v>26.5</v>
      </c>
      <c r="E7" s="5">
        <v>145.5</v>
      </c>
      <c r="F7" s="5">
        <v>145.5</v>
      </c>
      <c r="G7" s="5">
        <v>145.5</v>
      </c>
      <c r="H7" s="5"/>
      <c r="I7" s="5"/>
      <c r="J7" s="5"/>
      <c r="K7" s="5">
        <f>SUM(Table221[[#This Row],[Cut Length1]:[Cut Length7]])</f>
        <v>463</v>
      </c>
      <c r="L7" s="4">
        <f>Table221[[#This Row],[Purchase Length]]-Table221[[#This Row],[Total Cut Length]]</f>
        <v>137</v>
      </c>
    </row>
    <row r="9" spans="1:12" x14ac:dyDescent="0.3">
      <c r="C9">
        <f>SUM(Table221[Purchase Length])</f>
        <v>3360</v>
      </c>
      <c r="K9">
        <f>SUM(Table221[Total Cut Length])</f>
        <v>3057.75</v>
      </c>
      <c r="L9">
        <f>SUM(Table221[Total Waste])</f>
        <v>302.25</v>
      </c>
    </row>
    <row r="10" spans="1:12" x14ac:dyDescent="0.3">
      <c r="L10" s="1">
        <f>L9/C9</f>
        <v>8.9955357142857142E-2</v>
      </c>
    </row>
    <row r="11" spans="1:12" x14ac:dyDescent="0.3">
      <c r="A11" t="s">
        <v>26</v>
      </c>
    </row>
    <row r="12" spans="1:12" x14ac:dyDescent="0.3">
      <c r="D12" t="s">
        <v>20</v>
      </c>
      <c r="E12" t="s">
        <v>16</v>
      </c>
      <c r="F12" t="s">
        <v>5</v>
      </c>
      <c r="G12" t="s">
        <v>4</v>
      </c>
    </row>
    <row r="13" spans="1:12" x14ac:dyDescent="0.3">
      <c r="D13" t="str" cm="1">
        <f t="array" ref="D13:D14">_xlfn.UNIQUE(Table221[Item Description])</f>
        <v>W18x50</v>
      </c>
      <c r="E13" t="str" cm="1">
        <f t="array" ref="E13:E14">_xlfn.UNIQUE(Table221[Raw Material])</f>
        <v>804-15017</v>
      </c>
      <c r="F13">
        <f>ROUNDUP(SUMIF(Table221[Raw Material],E13,Table221[Total Cut Length])/12,0)</f>
        <v>167</v>
      </c>
      <c r="G13">
        <f>ROUNDUP(SUMIF(Table221[Raw Material],E13,Table221[Total Waste])/12,0)</f>
        <v>14</v>
      </c>
    </row>
    <row r="14" spans="1:12" x14ac:dyDescent="0.3">
      <c r="D14" t="str">
        <v>W10x17</v>
      </c>
      <c r="E14" t="str">
        <v>804-15022</v>
      </c>
      <c r="F14">
        <f>ROUNDUP(SUMIF(Table221[Raw Material],E14,Table221[Total Cut Length])/12,0)</f>
        <v>89</v>
      </c>
      <c r="G14">
        <f>ROUNDUP(SUMIF(Table221[Raw Material],E14,Table221[Total Waste])/12,0)</f>
        <v>12</v>
      </c>
    </row>
    <row r="18" spans="1:17" x14ac:dyDescent="0.3">
      <c r="A18" s="52" t="s">
        <v>35</v>
      </c>
      <c r="B18" s="52"/>
      <c r="C18" s="52"/>
      <c r="D18" s="52"/>
      <c r="E18" s="52"/>
      <c r="F18" s="52"/>
      <c r="G18" s="52"/>
      <c r="H18" s="52"/>
      <c r="I18" s="52"/>
      <c r="J18" s="52"/>
      <c r="K18" s="52"/>
      <c r="L18" s="52"/>
    </row>
    <row r="19" spans="1:17" x14ac:dyDescent="0.3">
      <c r="A19" s="3" t="s">
        <v>17</v>
      </c>
      <c r="B19" s="7" t="s">
        <v>16</v>
      </c>
      <c r="C19" s="7" t="s">
        <v>15</v>
      </c>
      <c r="D19" s="7" t="s">
        <v>14</v>
      </c>
      <c r="E19" s="7" t="s">
        <v>13</v>
      </c>
      <c r="F19" s="7" t="s">
        <v>12</v>
      </c>
      <c r="G19" s="7" t="s">
        <v>11</v>
      </c>
      <c r="H19" s="7" t="s">
        <v>10</v>
      </c>
      <c r="I19" s="7" t="s">
        <v>9</v>
      </c>
      <c r="J19" s="7" t="s">
        <v>8</v>
      </c>
      <c r="K19" s="7" t="s">
        <v>5</v>
      </c>
      <c r="L19" s="2" t="s">
        <v>4</v>
      </c>
    </row>
    <row r="20" spans="1:17" x14ac:dyDescent="0.3">
      <c r="A20" s="6" t="s">
        <v>3</v>
      </c>
      <c r="B20" s="5" t="s">
        <v>2</v>
      </c>
      <c r="C20" s="5">
        <v>580</v>
      </c>
      <c r="D20" s="5">
        <v>563.75</v>
      </c>
      <c r="E20" s="5"/>
      <c r="F20" s="5"/>
      <c r="G20" s="5"/>
      <c r="H20" s="5"/>
      <c r="I20" s="5"/>
      <c r="J20" s="5"/>
      <c r="K20" s="5">
        <f>SUM(Table2219[[#This Row],[Cut Length1]:[Cut Length7]])</f>
        <v>563.75</v>
      </c>
      <c r="L20" s="4">
        <f>Table2219[[#This Row],[Purchase Length]]-Table2219[[#This Row],[Total Cut Length]]</f>
        <v>16.25</v>
      </c>
    </row>
    <row r="21" spans="1:17" x14ac:dyDescent="0.3">
      <c r="A21" s="6" t="s">
        <v>3</v>
      </c>
      <c r="B21" s="5" t="s">
        <v>2</v>
      </c>
      <c r="C21" s="5">
        <v>580</v>
      </c>
      <c r="D21" s="5">
        <v>563.75</v>
      </c>
      <c r="E21" s="5"/>
      <c r="F21" s="5"/>
      <c r="G21" s="5"/>
      <c r="H21" s="5"/>
      <c r="I21" s="5"/>
      <c r="J21" s="5"/>
      <c r="K21" s="5">
        <f>SUM(Table2219[[#This Row],[Cut Length1]:[Cut Length7]])</f>
        <v>563.75</v>
      </c>
      <c r="L21" s="4">
        <f>Table2219[[#This Row],[Purchase Length]]-Table2219[[#This Row],[Total Cut Length]]</f>
        <v>16.25</v>
      </c>
    </row>
    <row r="22" spans="1:17" x14ac:dyDescent="0.3">
      <c r="A22" s="6" t="s">
        <v>3</v>
      </c>
      <c r="B22" s="5" t="s">
        <v>2</v>
      </c>
      <c r="C22" s="5">
        <v>440</v>
      </c>
      <c r="D22" s="5">
        <v>145.5</v>
      </c>
      <c r="E22" s="5">
        <v>145.5</v>
      </c>
      <c r="F22" s="5">
        <v>145.5</v>
      </c>
      <c r="G22" s="5"/>
      <c r="H22" s="5"/>
      <c r="I22" s="5"/>
      <c r="J22" s="5"/>
      <c r="K22" s="5">
        <f>SUM(Table2219[[#This Row],[Cut Length1]:[Cut Length7]])</f>
        <v>436.5</v>
      </c>
      <c r="L22" s="4">
        <f>Table2219[[#This Row],[Purchase Length]]-Table2219[[#This Row],[Total Cut Length]]</f>
        <v>3.5</v>
      </c>
    </row>
    <row r="23" spans="1:17" x14ac:dyDescent="0.3">
      <c r="A23" s="6" t="s">
        <v>3</v>
      </c>
      <c r="B23" s="5" t="s">
        <v>2</v>
      </c>
      <c r="C23" s="5">
        <v>440</v>
      </c>
      <c r="D23" s="5">
        <v>145.5</v>
      </c>
      <c r="E23" s="5">
        <v>145.5</v>
      </c>
      <c r="F23" s="5">
        <v>145.5</v>
      </c>
      <c r="G23" s="5"/>
      <c r="H23" s="5"/>
      <c r="I23" s="5"/>
      <c r="J23" s="5"/>
      <c r="K23" s="5">
        <f>SUM(Table2219[[#This Row],[Cut Length1]:[Cut Length7]])</f>
        <v>436.5</v>
      </c>
      <c r="L23" s="4">
        <f>Table2219[[#This Row],[Purchase Length]]-Table2219[[#This Row],[Total Cut Length]]</f>
        <v>3.5</v>
      </c>
    </row>
    <row r="24" spans="1:17" x14ac:dyDescent="0.3">
      <c r="A24" s="6" t="s">
        <v>1</v>
      </c>
      <c r="B24" s="5" t="s">
        <v>0</v>
      </c>
      <c r="C24" s="5">
        <v>732</v>
      </c>
      <c r="D24" s="5">
        <v>145.5</v>
      </c>
      <c r="E24" s="5">
        <v>145.5</v>
      </c>
      <c r="F24" s="5">
        <v>145.5</v>
      </c>
      <c r="G24" s="5">
        <v>145.5</v>
      </c>
      <c r="H24" s="5">
        <v>145.5</v>
      </c>
      <c r="I24" s="5"/>
      <c r="J24" s="5"/>
      <c r="K24" s="5">
        <f>SUM(Table2219[[#This Row],[Cut Length1]:[Cut Length7]])</f>
        <v>727.5</v>
      </c>
      <c r="L24" s="4">
        <f>Table2219[[#This Row],[Purchase Length]]-Table2219[[#This Row],[Total Cut Length]]</f>
        <v>4.5</v>
      </c>
    </row>
    <row r="25" spans="1:17" x14ac:dyDescent="0.3">
      <c r="A25" s="6" t="s">
        <v>1</v>
      </c>
      <c r="B25" s="5" t="s">
        <v>0</v>
      </c>
      <c r="C25" s="5">
        <v>332</v>
      </c>
      <c r="D25" s="5">
        <v>115.5</v>
      </c>
      <c r="E25" s="5">
        <v>82</v>
      </c>
      <c r="F25" s="5">
        <v>35.25</v>
      </c>
      <c r="G25" s="5">
        <v>35.25</v>
      </c>
      <c r="H25" s="5">
        <v>35.25</v>
      </c>
      <c r="I25" s="5">
        <v>26.5</v>
      </c>
      <c r="J25" s="5"/>
      <c r="K25" s="5">
        <f>SUM(Table2219[[#This Row],[Cut Length1]:[Cut Length7]])</f>
        <v>329.75</v>
      </c>
      <c r="L25" s="4">
        <f>Table2219[[#This Row],[Purchase Length]]-Table2219[[#This Row],[Total Cut Length]]</f>
        <v>2.25</v>
      </c>
    </row>
    <row r="26" spans="1:17" x14ac:dyDescent="0.3">
      <c r="N26" t="s">
        <v>3</v>
      </c>
      <c r="O26">
        <v>780</v>
      </c>
      <c r="P26">
        <f>COUNTIFS(Table2219[Item Description],N26,Table2219[Purchase Length],O26)</f>
        <v>0</v>
      </c>
      <c r="Q26">
        <f>P26*$D$38</f>
        <v>0</v>
      </c>
    </row>
    <row r="27" spans="1:17" x14ac:dyDescent="0.3">
      <c r="C27">
        <f>SUM(Table2219[Purchase Length])</f>
        <v>3104</v>
      </c>
      <c r="K27">
        <f>SUM(Table2219[Total Cut Length])</f>
        <v>3057.75</v>
      </c>
      <c r="L27">
        <f>SUM(Table2219[Total Waste])</f>
        <v>46.25</v>
      </c>
      <c r="N27" t="s">
        <v>3</v>
      </c>
      <c r="O27">
        <v>720</v>
      </c>
      <c r="P27">
        <f>COUNTIFS(Table2219[Item Description],N27,Table2219[Purchase Length],O27)</f>
        <v>0</v>
      </c>
      <c r="Q27">
        <f t="shared" ref="Q27:Q36" si="0">P27*$D$38</f>
        <v>0</v>
      </c>
    </row>
    <row r="28" spans="1:17" x14ac:dyDescent="0.3">
      <c r="L28" s="1">
        <f>L27/C27</f>
        <v>1.4900128865979382E-2</v>
      </c>
      <c r="N28" t="s">
        <v>3</v>
      </c>
      <c r="O28">
        <v>690</v>
      </c>
      <c r="P28">
        <f>COUNTIFS(Table2219[Item Description],N28,Table2219[Purchase Length],O28)</f>
        <v>0</v>
      </c>
      <c r="Q28">
        <f t="shared" si="0"/>
        <v>0</v>
      </c>
    </row>
    <row r="29" spans="1:17" x14ac:dyDescent="0.3">
      <c r="A29" t="s">
        <v>26</v>
      </c>
      <c r="N29" t="s">
        <v>3</v>
      </c>
      <c r="O29">
        <v>612</v>
      </c>
      <c r="P29">
        <f>COUNTIFS(Table2219[Item Description],N29,Table2219[Purchase Length],O29)</f>
        <v>0</v>
      </c>
      <c r="Q29">
        <f t="shared" si="0"/>
        <v>0</v>
      </c>
    </row>
    <row r="30" spans="1:17" x14ac:dyDescent="0.3">
      <c r="D30" t="s">
        <v>20</v>
      </c>
      <c r="E30" t="s">
        <v>16</v>
      </c>
      <c r="F30" t="s">
        <v>5</v>
      </c>
      <c r="G30" t="s">
        <v>4</v>
      </c>
      <c r="N30" t="s">
        <v>3</v>
      </c>
      <c r="O30">
        <v>600</v>
      </c>
      <c r="P30">
        <f>COUNTIFS(Table2219[Item Description],N30,Table2219[Purchase Length],O30)</f>
        <v>0</v>
      </c>
      <c r="Q30">
        <f t="shared" si="0"/>
        <v>0</v>
      </c>
    </row>
    <row r="31" spans="1:17" x14ac:dyDescent="0.3">
      <c r="D31" t="str" cm="1">
        <f t="array" ref="D31:D32">_xlfn.UNIQUE(Table2219[Item Description])</f>
        <v>W18x50</v>
      </c>
      <c r="E31" t="str" cm="1">
        <f t="array" ref="E31:E32">_xlfn.UNIQUE(Table2219[Raw Material])</f>
        <v>804-15017</v>
      </c>
      <c r="F31">
        <f>ROUNDUP(SUMIF(Table2219[Raw Material],E31,Table2219[Total Cut Length])/12,0)</f>
        <v>167</v>
      </c>
      <c r="G31">
        <f>ROUNDUP(SUMIF(Table2219[Raw Material],E31,Table2219[Total Waste])/12,0)</f>
        <v>4</v>
      </c>
      <c r="N31" t="s">
        <v>3</v>
      </c>
      <c r="O31">
        <v>460</v>
      </c>
      <c r="P31">
        <f>COUNTIFS(Table2219[Item Description],N31,Table2219[Purchase Length],O31)</f>
        <v>0</v>
      </c>
      <c r="Q31">
        <f t="shared" si="0"/>
        <v>0</v>
      </c>
    </row>
    <row r="32" spans="1:17" x14ac:dyDescent="0.3">
      <c r="D32" t="str">
        <v>W10x17</v>
      </c>
      <c r="E32" t="str">
        <v>804-15022</v>
      </c>
      <c r="F32">
        <f>ROUNDUP(SUMIF(Table2219[Raw Material],E32,Table2219[Total Cut Length])/12,0)</f>
        <v>89</v>
      </c>
      <c r="G32">
        <f>ROUNDUP(SUMIF(Table2219[Raw Material],E32,Table2219[Total Waste])/12,0)</f>
        <v>1</v>
      </c>
      <c r="N32" t="s">
        <v>19</v>
      </c>
      <c r="O32">
        <v>564</v>
      </c>
      <c r="P32">
        <f>COUNTIFS(Table2219[Item Description],N32,Table2219[Purchase Length],O32)</f>
        <v>0</v>
      </c>
      <c r="Q32">
        <f t="shared" si="0"/>
        <v>0</v>
      </c>
    </row>
    <row r="33" spans="1:17" x14ac:dyDescent="0.3">
      <c r="N33" t="s">
        <v>19</v>
      </c>
      <c r="O33">
        <v>420</v>
      </c>
      <c r="P33">
        <f>COUNTIFS(Table2219[Item Description],N33,Table2219[Purchase Length],O33)</f>
        <v>0</v>
      </c>
      <c r="Q33">
        <f t="shared" si="0"/>
        <v>0</v>
      </c>
    </row>
    <row r="34" spans="1:17" x14ac:dyDescent="0.3">
      <c r="D34" t="s">
        <v>37</v>
      </c>
      <c r="E34" t="s">
        <v>42</v>
      </c>
      <c r="F34" s="23" t="s">
        <v>43</v>
      </c>
      <c r="N34" t="s">
        <v>1</v>
      </c>
      <c r="O34">
        <v>612</v>
      </c>
      <c r="P34">
        <f>COUNTIFS(Table2219[Item Description],N34,Table2219[Purchase Length],O34)</f>
        <v>0</v>
      </c>
      <c r="Q34">
        <f t="shared" si="0"/>
        <v>0</v>
      </c>
    </row>
    <row r="35" spans="1:17" x14ac:dyDescent="0.3">
      <c r="B35" s="53" t="s">
        <v>36</v>
      </c>
      <c r="C35" s="53"/>
      <c r="D35" s="21">
        <f>(SUM(C3:C5)-SUM(C20:C23))/12</f>
        <v>10</v>
      </c>
      <c r="E35" s="21">
        <f>(SUM(C6:C7)-SUM(C24:C25))/12</f>
        <v>11.333333333333334</v>
      </c>
      <c r="F35" s="23"/>
      <c r="J35">
        <v>764</v>
      </c>
      <c r="N35" t="s">
        <v>1</v>
      </c>
      <c r="O35">
        <v>600</v>
      </c>
      <c r="P35">
        <f>COUNTIFS(Table2219[Item Description],N35,Table2219[Purchase Length],O35)</f>
        <v>0</v>
      </c>
      <c r="Q35">
        <f t="shared" si="0"/>
        <v>0</v>
      </c>
    </row>
    <row r="36" spans="1:17" x14ac:dyDescent="0.3">
      <c r="C36" t="s">
        <v>38</v>
      </c>
      <c r="D36" s="20">
        <v>40.520000000000003</v>
      </c>
      <c r="E36" s="20">
        <v>13.49</v>
      </c>
      <c r="F36" s="23"/>
      <c r="N36" t="s">
        <v>1</v>
      </c>
      <c r="O36">
        <v>460</v>
      </c>
      <c r="P36">
        <f>COUNTIFS(Table2219[Item Description],N36,Table2219[Purchase Length],O36)</f>
        <v>0</v>
      </c>
      <c r="Q36">
        <f t="shared" si="0"/>
        <v>0</v>
      </c>
    </row>
    <row r="37" spans="1:17" x14ac:dyDescent="0.3">
      <c r="C37" t="s">
        <v>41</v>
      </c>
      <c r="D37" s="20">
        <f>D35*D36</f>
        <v>405.20000000000005</v>
      </c>
      <c r="E37" s="20">
        <f>E35*E36</f>
        <v>152.88666666666668</v>
      </c>
      <c r="F37" s="24">
        <f>D37+E37</f>
        <v>558.0866666666667</v>
      </c>
    </row>
    <row r="38" spans="1:17" x14ac:dyDescent="0.3">
      <c r="C38" t="s">
        <v>39</v>
      </c>
      <c r="D38">
        <f>Summary!D5</f>
        <v>54</v>
      </c>
      <c r="E38">
        <f>Summary!D5</f>
        <v>54</v>
      </c>
      <c r="F38" s="23"/>
    </row>
    <row r="39" spans="1:17" x14ac:dyDescent="0.3">
      <c r="C39" t="s">
        <v>40</v>
      </c>
      <c r="D39" s="20">
        <f>D38*D37</f>
        <v>21880.800000000003</v>
      </c>
      <c r="E39" s="20">
        <f>E38*E37</f>
        <v>8255.880000000001</v>
      </c>
      <c r="F39" s="24">
        <f>D39+E39</f>
        <v>30136.680000000004</v>
      </c>
    </row>
    <row r="40" spans="1:17" x14ac:dyDescent="0.3">
      <c r="M40" s="51" t="s">
        <v>64</v>
      </c>
      <c r="N40" s="51"/>
    </row>
    <row r="41" spans="1:17" ht="43.2" x14ac:dyDescent="0.3">
      <c r="A41" s="3" t="s">
        <v>17</v>
      </c>
      <c r="B41" s="7" t="s">
        <v>16</v>
      </c>
      <c r="C41" s="7" t="s">
        <v>15</v>
      </c>
      <c r="D41" s="7" t="s">
        <v>14</v>
      </c>
      <c r="E41" s="7" t="s">
        <v>13</v>
      </c>
      <c r="F41" s="7" t="s">
        <v>12</v>
      </c>
      <c r="G41" s="7" t="s">
        <v>11</v>
      </c>
      <c r="H41" s="7" t="s">
        <v>10</v>
      </c>
      <c r="I41" s="7" t="s">
        <v>9</v>
      </c>
      <c r="J41" s="7" t="s">
        <v>8</v>
      </c>
      <c r="K41" s="7" t="s">
        <v>5</v>
      </c>
      <c r="L41" s="2" t="s">
        <v>4</v>
      </c>
      <c r="M41" s="43" t="s">
        <v>62</v>
      </c>
      <c r="N41" s="41" t="s">
        <v>63</v>
      </c>
    </row>
    <row r="42" spans="1:17" x14ac:dyDescent="0.3">
      <c r="A42" s="6" t="s">
        <v>3</v>
      </c>
      <c r="B42" s="5" t="s">
        <v>2</v>
      </c>
      <c r="C42" s="5">
        <v>580</v>
      </c>
      <c r="D42" s="5">
        <v>563.75</v>
      </c>
      <c r="E42" s="5"/>
      <c r="F42" s="5"/>
      <c r="G42" s="5"/>
      <c r="H42" s="5"/>
      <c r="I42" s="5"/>
      <c r="J42" s="5"/>
      <c r="K42" s="5">
        <f>SUM(Table221928[[#This Row],[Cut Length1]:[Cut Length7]])</f>
        <v>563.75</v>
      </c>
      <c r="L42" s="4">
        <f>Table221928[[#This Row],[Purchase Length]]-Table221928[[#This Row],[Total Cut Length]]</f>
        <v>16.25</v>
      </c>
      <c r="M42">
        <f>(COUNTA(Table221928[[#This Row],[Cut Length1]:[Cut Length7]])-1)*0.1875+2</f>
        <v>2</v>
      </c>
      <c r="N42">
        <f>Table221928[[#This Row],[Total Waste]]-M42</f>
        <v>14.25</v>
      </c>
    </row>
    <row r="43" spans="1:17" x14ac:dyDescent="0.3">
      <c r="A43" s="6" t="s">
        <v>3</v>
      </c>
      <c r="B43" s="5" t="s">
        <v>2</v>
      </c>
      <c r="C43" s="5">
        <v>580</v>
      </c>
      <c r="D43" s="5">
        <v>563.75</v>
      </c>
      <c r="E43" s="5"/>
      <c r="F43" s="5"/>
      <c r="G43" s="5"/>
      <c r="H43" s="5"/>
      <c r="I43" s="5"/>
      <c r="J43" s="5"/>
      <c r="K43" s="5">
        <f>SUM(Table221928[[#This Row],[Cut Length1]:[Cut Length7]])</f>
        <v>563.75</v>
      </c>
      <c r="L43" s="4">
        <f>Table221928[[#This Row],[Purchase Length]]-Table221928[[#This Row],[Total Cut Length]]</f>
        <v>16.25</v>
      </c>
      <c r="M43">
        <f>(COUNTA(Table221928[[#This Row],[Cut Length1]:[Cut Length7]])-1)*0.1875+2</f>
        <v>2</v>
      </c>
      <c r="N43">
        <f>Table221928[[#This Row],[Total Waste]]-M43</f>
        <v>14.25</v>
      </c>
    </row>
    <row r="44" spans="1:17" x14ac:dyDescent="0.3">
      <c r="A44" s="6" t="s">
        <v>3</v>
      </c>
      <c r="B44" s="5" t="s">
        <v>2</v>
      </c>
      <c r="C44" s="5">
        <v>440</v>
      </c>
      <c r="D44" s="5">
        <v>145.5</v>
      </c>
      <c r="E44" s="5">
        <v>145.5</v>
      </c>
      <c r="F44" s="5">
        <v>145.5</v>
      </c>
      <c r="G44" s="5"/>
      <c r="H44" s="5"/>
      <c r="I44" s="5"/>
      <c r="J44" s="5"/>
      <c r="K44" s="5">
        <f>SUM(Table221928[[#This Row],[Cut Length1]:[Cut Length7]])</f>
        <v>436.5</v>
      </c>
      <c r="L44" s="4">
        <f>Table221928[[#This Row],[Purchase Length]]-Table221928[[#This Row],[Total Cut Length]]</f>
        <v>3.5</v>
      </c>
      <c r="M44">
        <f>(COUNTA(Table221928[[#This Row],[Cut Length1]:[Cut Length7]])-1)*0.1875+2</f>
        <v>2.375</v>
      </c>
      <c r="N44">
        <f>Table221928[[#This Row],[Total Waste]]-M44</f>
        <v>1.125</v>
      </c>
    </row>
    <row r="45" spans="1:17" x14ac:dyDescent="0.3">
      <c r="A45" s="6" t="s">
        <v>3</v>
      </c>
      <c r="B45" s="5" t="s">
        <v>2</v>
      </c>
      <c r="C45" s="5">
        <v>440</v>
      </c>
      <c r="D45" s="5">
        <v>145.5</v>
      </c>
      <c r="E45" s="5">
        <v>145.5</v>
      </c>
      <c r="F45" s="5">
        <v>145.5</v>
      </c>
      <c r="G45" s="5"/>
      <c r="H45" s="5"/>
      <c r="I45" s="5"/>
      <c r="J45" s="5"/>
      <c r="K45" s="5">
        <f>SUM(Table221928[[#This Row],[Cut Length1]:[Cut Length7]])</f>
        <v>436.5</v>
      </c>
      <c r="L45" s="4">
        <f>Table221928[[#This Row],[Purchase Length]]-Table221928[[#This Row],[Total Cut Length]]</f>
        <v>3.5</v>
      </c>
      <c r="M45">
        <f>(COUNTA(Table221928[[#This Row],[Cut Length1]:[Cut Length7]])-1)*0.1875+2</f>
        <v>2.375</v>
      </c>
      <c r="N45">
        <f>Table221928[[#This Row],[Total Waste]]-M45</f>
        <v>1.125</v>
      </c>
    </row>
    <row r="46" spans="1:17" x14ac:dyDescent="0.3">
      <c r="A46" s="6" t="s">
        <v>1</v>
      </c>
      <c r="B46" s="5" t="s">
        <v>0</v>
      </c>
      <c r="C46" s="30">
        <v>728</v>
      </c>
      <c r="D46" s="5">
        <v>145.5</v>
      </c>
      <c r="E46" s="5">
        <v>145.5</v>
      </c>
      <c r="F46" s="5">
        <v>145.5</v>
      </c>
      <c r="G46" s="5">
        <v>145.5</v>
      </c>
      <c r="H46" s="30">
        <v>115.5</v>
      </c>
      <c r="I46" s="30">
        <v>26.5</v>
      </c>
      <c r="J46" s="5"/>
      <c r="K46" s="5">
        <f>SUM(Table221928[[#This Row],[Cut Length1]:[Cut Length7]])</f>
        <v>724</v>
      </c>
      <c r="L46" s="4">
        <f>Table221928[[#This Row],[Purchase Length]]-Table221928[[#This Row],[Total Cut Length]]</f>
        <v>4</v>
      </c>
      <c r="M46">
        <f>(COUNTA(Table221928[[#This Row],[Cut Length1]:[Cut Length7]])-1)*0.1875+2</f>
        <v>2.9375</v>
      </c>
      <c r="N46">
        <f>Table221928[[#This Row],[Total Waste]]-M46</f>
        <v>1.0625</v>
      </c>
    </row>
    <row r="47" spans="1:17" x14ac:dyDescent="0.3">
      <c r="A47" s="6" t="s">
        <v>1</v>
      </c>
      <c r="B47" s="5" t="s">
        <v>0</v>
      </c>
      <c r="C47" s="30">
        <v>340</v>
      </c>
      <c r="D47" s="30">
        <v>145.5</v>
      </c>
      <c r="E47" s="5">
        <v>82</v>
      </c>
      <c r="F47" s="5">
        <v>35.25</v>
      </c>
      <c r="G47" s="5">
        <v>35.25</v>
      </c>
      <c r="H47" s="5">
        <v>35.25</v>
      </c>
      <c r="I47" s="5"/>
      <c r="J47" s="5"/>
      <c r="K47" s="5">
        <f>SUM(Table221928[[#This Row],[Cut Length1]:[Cut Length7]])</f>
        <v>333.25</v>
      </c>
      <c r="L47" s="4">
        <f>Table221928[[#This Row],[Purchase Length]]-Table221928[[#This Row],[Total Cut Length]]</f>
        <v>6.75</v>
      </c>
      <c r="M47">
        <f>(COUNTA(Table221928[[#This Row],[Cut Length1]:[Cut Length7]])-1)*0.1875+2</f>
        <v>2.75</v>
      </c>
      <c r="N47">
        <f>Table221928[[#This Row],[Total Waste]]-M47</f>
        <v>4</v>
      </c>
    </row>
    <row r="49" spans="3:12" x14ac:dyDescent="0.3">
      <c r="C49">
        <f>SUM(Table221928[Purchase Length])</f>
        <v>3108</v>
      </c>
      <c r="K49">
        <f>SUM(Table221928[Total Cut Length])</f>
        <v>3057.75</v>
      </c>
      <c r="L49">
        <f>SUM(Table221928[Total Waste])</f>
        <v>50.25</v>
      </c>
    </row>
    <row r="50" spans="3:12" x14ac:dyDescent="0.3">
      <c r="L50" s="1">
        <f>L49/C49</f>
        <v>1.6167953667953667E-2</v>
      </c>
    </row>
    <row r="52" spans="3:12" x14ac:dyDescent="0.3">
      <c r="C52" s="49" t="s">
        <v>60</v>
      </c>
      <c r="D52" s="50"/>
      <c r="E52" s="50"/>
      <c r="F52" s="50"/>
      <c r="G52" s="50"/>
      <c r="H52" s="50"/>
      <c r="I52" s="50"/>
      <c r="J52" s="50"/>
    </row>
    <row r="53" spans="3:12" x14ac:dyDescent="0.3">
      <c r="C53" s="50"/>
      <c r="D53" s="50"/>
      <c r="E53" s="50"/>
      <c r="F53" s="50"/>
      <c r="G53" s="50"/>
      <c r="H53" s="50"/>
      <c r="I53" s="50"/>
      <c r="J53" s="50"/>
    </row>
    <row r="54" spans="3:12" x14ac:dyDescent="0.3">
      <c r="C54" s="50"/>
      <c r="D54" s="50"/>
      <c r="E54" s="50"/>
      <c r="F54" s="50"/>
      <c r="G54" s="50"/>
      <c r="H54" s="50"/>
      <c r="I54" s="50"/>
      <c r="J54" s="50"/>
    </row>
    <row r="55" spans="3:12" x14ac:dyDescent="0.3">
      <c r="C55" s="50"/>
      <c r="D55" s="50"/>
      <c r="E55" s="50"/>
      <c r="F55" s="50"/>
      <c r="G55" s="50"/>
      <c r="H55" s="50"/>
      <c r="I55" s="50"/>
      <c r="J55" s="50"/>
    </row>
    <row r="56" spans="3:12" x14ac:dyDescent="0.3">
      <c r="C56" s="50"/>
      <c r="D56" s="50"/>
      <c r="E56" s="50"/>
      <c r="F56" s="50"/>
      <c r="G56" s="50"/>
      <c r="H56" s="50"/>
      <c r="I56" s="50"/>
      <c r="J56" s="50"/>
    </row>
  </sheetData>
  <mergeCells count="5">
    <mergeCell ref="C52:J56"/>
    <mergeCell ref="M40:N40"/>
    <mergeCell ref="A1:L1"/>
    <mergeCell ref="A18:L18"/>
    <mergeCell ref="B35:C35"/>
  </mergeCells>
  <phoneticPr fontId="4" type="noConversion"/>
  <pageMargins left="0.7" right="0.7" top="0.75" bottom="0.75" header="0.3" footer="0.3"/>
  <pageSetup paperSize="3" scale="79" orientation="landscape" horizontalDpi="1200" verticalDpi="1200"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8E153-EF88-4975-BFF2-0F44CD2C9F6E}">
  <sheetPr>
    <pageSetUpPr fitToPage="1"/>
  </sheetPr>
  <dimension ref="A1:O74"/>
  <sheetViews>
    <sheetView topLeftCell="A59" workbookViewId="0">
      <selection activeCell="K60" sqref="K60"/>
    </sheetView>
  </sheetViews>
  <sheetFormatPr defaultRowHeight="14.4" x14ac:dyDescent="0.3"/>
  <cols>
    <col min="1" max="1" width="17.109375" bestFit="1" customWidth="1"/>
    <col min="2" max="2" width="14.33203125" bestFit="1" customWidth="1"/>
    <col min="3" max="3" width="20.5546875" customWidth="1"/>
    <col min="4" max="7" width="13.33203125" bestFit="1" customWidth="1"/>
    <col min="8" max="8" width="17.109375" bestFit="1" customWidth="1"/>
    <col min="9" max="9" width="13.109375" bestFit="1" customWidth="1"/>
    <col min="11" max="11" width="12.109375" customWidth="1"/>
    <col min="12" max="12" width="16.6640625" customWidth="1"/>
  </cols>
  <sheetData>
    <row r="1" spans="1:9" x14ac:dyDescent="0.3">
      <c r="A1" s="52" t="s">
        <v>34</v>
      </c>
      <c r="B1" s="52"/>
      <c r="C1" s="52"/>
      <c r="D1" s="52"/>
      <c r="E1" s="52"/>
      <c r="F1" s="52"/>
      <c r="G1" s="52"/>
      <c r="H1" s="52"/>
      <c r="I1" s="52"/>
    </row>
    <row r="2" spans="1:9" x14ac:dyDescent="0.3">
      <c r="A2" t="s">
        <v>17</v>
      </c>
      <c r="B2" t="s">
        <v>16</v>
      </c>
      <c r="C2" t="s">
        <v>15</v>
      </c>
      <c r="D2" t="s">
        <v>14</v>
      </c>
      <c r="E2" t="s">
        <v>13</v>
      </c>
      <c r="F2" t="s">
        <v>12</v>
      </c>
      <c r="G2" t="s">
        <v>11</v>
      </c>
      <c r="H2" t="s">
        <v>5</v>
      </c>
      <c r="I2" t="s">
        <v>4</v>
      </c>
    </row>
    <row r="3" spans="1:9" x14ac:dyDescent="0.3">
      <c r="A3" t="s">
        <v>3</v>
      </c>
      <c r="B3" t="s">
        <v>2</v>
      </c>
      <c r="C3">
        <v>720</v>
      </c>
      <c r="D3">
        <v>152</v>
      </c>
      <c r="E3">
        <v>152</v>
      </c>
      <c r="F3">
        <v>152</v>
      </c>
      <c r="G3">
        <v>152</v>
      </c>
      <c r="H3">
        <f>SUM(Table211[[#This Row],[Cut Length1]:[Cut Length4]])</f>
        <v>608</v>
      </c>
      <c r="I3">
        <f>Table211[[#This Row],[Purchase Length]]-Table211[[#This Row],[Total Cut Length]]</f>
        <v>112</v>
      </c>
    </row>
    <row r="4" spans="1:9" x14ac:dyDescent="0.3">
      <c r="A4" t="s">
        <v>3</v>
      </c>
      <c r="B4" t="s">
        <v>2</v>
      </c>
      <c r="C4">
        <v>720</v>
      </c>
      <c r="D4">
        <v>577</v>
      </c>
      <c r="H4">
        <f>SUM(Table211[[#This Row],[Cut Length1]:[Cut Length4]])</f>
        <v>577</v>
      </c>
      <c r="I4">
        <f>Table211[[#This Row],[Purchase Length]]-Table211[[#This Row],[Total Cut Length]]</f>
        <v>143</v>
      </c>
    </row>
    <row r="5" spans="1:9" x14ac:dyDescent="0.3">
      <c r="A5" t="s">
        <v>3</v>
      </c>
      <c r="B5" t="s">
        <v>2</v>
      </c>
      <c r="C5">
        <v>720</v>
      </c>
      <c r="D5">
        <v>577</v>
      </c>
      <c r="H5">
        <f>SUM(Table211[[#This Row],[Cut Length1]:[Cut Length4]])</f>
        <v>577</v>
      </c>
      <c r="I5">
        <f>Table211[[#This Row],[Purchase Length]]-Table211[[#This Row],[Total Cut Length]]</f>
        <v>143</v>
      </c>
    </row>
    <row r="6" spans="1:9" x14ac:dyDescent="0.3">
      <c r="A6" t="s">
        <v>3</v>
      </c>
      <c r="B6" t="s">
        <v>2</v>
      </c>
      <c r="C6">
        <v>720</v>
      </c>
      <c r="D6">
        <v>152</v>
      </c>
      <c r="E6">
        <v>152</v>
      </c>
      <c r="H6">
        <f>SUM(Table211[[#This Row],[Cut Length1]:[Cut Length4]])</f>
        <v>304</v>
      </c>
      <c r="I6">
        <f>Table211[[#This Row],[Purchase Length]]-Table211[[#This Row],[Total Cut Length]]</f>
        <v>416</v>
      </c>
    </row>
    <row r="7" spans="1:9" x14ac:dyDescent="0.3">
      <c r="A7" t="s">
        <v>1</v>
      </c>
      <c r="B7" t="s">
        <v>0</v>
      </c>
      <c r="C7">
        <v>600</v>
      </c>
      <c r="D7">
        <v>152</v>
      </c>
      <c r="E7">
        <v>152</v>
      </c>
      <c r="F7">
        <v>152</v>
      </c>
      <c r="G7">
        <v>27</v>
      </c>
      <c r="H7">
        <f>SUM(Table211[[#This Row],[Cut Length1]:[Cut Length4]])</f>
        <v>483</v>
      </c>
      <c r="I7">
        <f>Table211[[#This Row],[Purchase Length]]-Table211[[#This Row],[Total Cut Length]]</f>
        <v>117</v>
      </c>
    </row>
    <row r="8" spans="1:9" x14ac:dyDescent="0.3">
      <c r="A8" t="s">
        <v>1</v>
      </c>
      <c r="B8" t="s">
        <v>0</v>
      </c>
      <c r="C8">
        <v>600</v>
      </c>
      <c r="D8">
        <v>152</v>
      </c>
      <c r="E8">
        <v>152</v>
      </c>
      <c r="F8">
        <v>152</v>
      </c>
      <c r="H8">
        <f>SUM(Table211[[#This Row],[Cut Length1]:[Cut Length4]])</f>
        <v>456</v>
      </c>
      <c r="I8">
        <f>Table211[[#This Row],[Purchase Length]]-Table211[[#This Row],[Total Cut Length]]</f>
        <v>144</v>
      </c>
    </row>
    <row r="9" spans="1:9" x14ac:dyDescent="0.3">
      <c r="A9" t="s">
        <v>1</v>
      </c>
      <c r="B9" t="s">
        <v>0</v>
      </c>
      <c r="C9">
        <v>600</v>
      </c>
      <c r="D9">
        <v>152</v>
      </c>
      <c r="E9">
        <v>152</v>
      </c>
      <c r="F9">
        <v>152</v>
      </c>
      <c r="H9">
        <f>SUM(Table211[[#This Row],[Cut Length1]:[Cut Length4]])</f>
        <v>456</v>
      </c>
      <c r="I9">
        <f>Table211[[#This Row],[Purchase Length]]-Table211[[#This Row],[Total Cut Length]]</f>
        <v>144</v>
      </c>
    </row>
    <row r="10" spans="1:9" x14ac:dyDescent="0.3">
      <c r="A10" t="s">
        <v>1</v>
      </c>
      <c r="B10" t="s">
        <v>0</v>
      </c>
      <c r="C10">
        <v>600</v>
      </c>
      <c r="D10">
        <v>152</v>
      </c>
      <c r="E10">
        <v>152</v>
      </c>
      <c r="F10">
        <v>152</v>
      </c>
      <c r="H10">
        <f>SUM(Table211[[#This Row],[Cut Length1]:[Cut Length4]])</f>
        <v>456</v>
      </c>
      <c r="I10">
        <f>Table211[[#This Row],[Purchase Length]]-Table211[[#This Row],[Total Cut Length]]</f>
        <v>144</v>
      </c>
    </row>
    <row r="11" spans="1:9" x14ac:dyDescent="0.3">
      <c r="A11" t="s">
        <v>1</v>
      </c>
      <c r="B11" t="s">
        <v>0</v>
      </c>
      <c r="C11">
        <v>600</v>
      </c>
      <c r="D11">
        <v>152</v>
      </c>
      <c r="E11">
        <v>152</v>
      </c>
      <c r="H11">
        <f>SUM(Table211[[#This Row],[Cut Length1]:[Cut Length4]])</f>
        <v>304</v>
      </c>
      <c r="I11">
        <f>Table211[[#This Row],[Purchase Length]]-Table211[[#This Row],[Total Cut Length]]</f>
        <v>296</v>
      </c>
    </row>
    <row r="13" spans="1:9" x14ac:dyDescent="0.3">
      <c r="C13">
        <f>SUM(Table211[Purchase Length])</f>
        <v>5880</v>
      </c>
      <c r="H13">
        <f>SUM(Table211[Total Cut Length])</f>
        <v>4221</v>
      </c>
      <c r="I13">
        <f>SUM(Table211[Total Waste])</f>
        <v>1659</v>
      </c>
    </row>
    <row r="14" spans="1:9" x14ac:dyDescent="0.3">
      <c r="I14" s="1">
        <f>I13/C13</f>
        <v>0.28214285714285714</v>
      </c>
    </row>
    <row r="17" spans="1:10" x14ac:dyDescent="0.3">
      <c r="A17" t="s">
        <v>29</v>
      </c>
    </row>
    <row r="18" spans="1:10" x14ac:dyDescent="0.3">
      <c r="A18" t="s">
        <v>30</v>
      </c>
    </row>
    <row r="19" spans="1:10" x14ac:dyDescent="0.3">
      <c r="D19" t="s">
        <v>20</v>
      </c>
      <c r="E19" t="s">
        <v>16</v>
      </c>
      <c r="F19" t="s">
        <v>5</v>
      </c>
      <c r="G19" t="s">
        <v>4</v>
      </c>
    </row>
    <row r="20" spans="1:10" x14ac:dyDescent="0.3">
      <c r="D20" t="str" cm="1">
        <f t="array" ref="D20:D21">_xlfn.UNIQUE(Table211[Item Description])</f>
        <v>W18x50</v>
      </c>
      <c r="E20" t="str" cm="1">
        <f t="array" ref="E20:E21">_xlfn.UNIQUE(Table211[Raw Material])</f>
        <v>804-15017</v>
      </c>
      <c r="F20">
        <f>ROUNDUP(SUMIF(Table211[Raw Material],E20,Table211[Total Cut Length])/12,0)</f>
        <v>173</v>
      </c>
      <c r="G20">
        <f>ROUNDUP(SUMIF(Table211[Raw Material],E20,Table211[Total Waste])/12,0)</f>
        <v>68</v>
      </c>
    </row>
    <row r="21" spans="1:10" x14ac:dyDescent="0.3">
      <c r="D21" t="str">
        <v>W10x17</v>
      </c>
      <c r="E21" t="str">
        <v>804-15022</v>
      </c>
      <c r="F21">
        <f>ROUNDUP(SUMIF(Table211[Raw Material],E21,Table211[Total Cut Length])/12,0)</f>
        <v>180</v>
      </c>
      <c r="G21">
        <f>ROUNDUP(SUMIF(Table211[Raw Material],E21,Table211[Total Waste])/12,0)</f>
        <v>71</v>
      </c>
    </row>
    <row r="24" spans="1:10" x14ac:dyDescent="0.3">
      <c r="A24" s="52" t="s">
        <v>35</v>
      </c>
      <c r="B24" s="52"/>
      <c r="C24" s="52"/>
      <c r="D24" s="52"/>
      <c r="E24" s="52"/>
      <c r="F24" s="52"/>
      <c r="G24" s="52"/>
      <c r="H24" s="52"/>
      <c r="I24" s="52"/>
    </row>
    <row r="25" spans="1:10" x14ac:dyDescent="0.3">
      <c r="A25" t="s">
        <v>17</v>
      </c>
      <c r="B25" t="s">
        <v>16</v>
      </c>
      <c r="C25" t="s">
        <v>15</v>
      </c>
      <c r="D25" t="s">
        <v>14</v>
      </c>
      <c r="E25" t="s">
        <v>13</v>
      </c>
      <c r="F25" t="s">
        <v>12</v>
      </c>
      <c r="G25" t="s">
        <v>11</v>
      </c>
      <c r="H25" t="s">
        <v>10</v>
      </c>
      <c r="I25" t="s">
        <v>5</v>
      </c>
      <c r="J25" t="s">
        <v>4</v>
      </c>
    </row>
    <row r="26" spans="1:10" x14ac:dyDescent="0.3">
      <c r="A26" t="s">
        <v>3</v>
      </c>
      <c r="B26" t="s">
        <v>2</v>
      </c>
      <c r="C26">
        <v>580</v>
      </c>
      <c r="D26">
        <v>577</v>
      </c>
      <c r="I26">
        <f>SUM(Table21112[[#This Row],[Cut Length1]:[Cut Length5]])</f>
        <v>577</v>
      </c>
      <c r="J26">
        <f>Table21112[[#This Row],[Purchase Length]]-Table21112[[#This Row],[Total Cut Length]]</f>
        <v>3</v>
      </c>
    </row>
    <row r="27" spans="1:10" x14ac:dyDescent="0.3">
      <c r="A27" t="s">
        <v>3</v>
      </c>
      <c r="B27" t="s">
        <v>2</v>
      </c>
      <c r="C27">
        <v>580</v>
      </c>
      <c r="D27">
        <v>577</v>
      </c>
      <c r="I27">
        <f>SUM(Table21112[[#This Row],[Cut Length1]:[Cut Length5]])</f>
        <v>577</v>
      </c>
      <c r="J27">
        <f>Table21112[[#This Row],[Purchase Length]]-Table21112[[#This Row],[Total Cut Length]]</f>
        <v>3</v>
      </c>
    </row>
    <row r="28" spans="1:10" x14ac:dyDescent="0.3">
      <c r="A28" t="s">
        <v>3</v>
      </c>
      <c r="B28" t="s">
        <v>2</v>
      </c>
      <c r="C28">
        <v>460</v>
      </c>
      <c r="D28">
        <v>152</v>
      </c>
      <c r="E28">
        <v>152</v>
      </c>
      <c r="F28">
        <v>152</v>
      </c>
      <c r="I28">
        <f>SUM(Table21112[[#This Row],[Cut Length1]:[Cut Length5]])</f>
        <v>456</v>
      </c>
      <c r="J28">
        <f>Table21112[[#This Row],[Purchase Length]]-Table21112[[#This Row],[Total Cut Length]]</f>
        <v>4</v>
      </c>
    </row>
    <row r="29" spans="1:10" x14ac:dyDescent="0.3">
      <c r="A29" t="s">
        <v>3</v>
      </c>
      <c r="B29" t="s">
        <v>2</v>
      </c>
      <c r="C29">
        <v>460</v>
      </c>
      <c r="D29">
        <v>152</v>
      </c>
      <c r="E29">
        <v>152</v>
      </c>
      <c r="F29">
        <v>152</v>
      </c>
      <c r="I29">
        <f>SUM(Table21112[[#This Row],[Cut Length1]:[Cut Length5]])</f>
        <v>456</v>
      </c>
      <c r="J29">
        <f>Table21112[[#This Row],[Purchase Length]]-Table21112[[#This Row],[Total Cut Length]]</f>
        <v>4</v>
      </c>
    </row>
    <row r="30" spans="1:10" x14ac:dyDescent="0.3">
      <c r="A30" t="s">
        <v>1</v>
      </c>
      <c r="B30" t="s">
        <v>0</v>
      </c>
      <c r="C30">
        <v>308</v>
      </c>
      <c r="D30">
        <v>152</v>
      </c>
      <c r="E30">
        <v>152</v>
      </c>
      <c r="I30">
        <f>SUM(Table21112[[#This Row],[Cut Length1]:[Cut Length5]])</f>
        <v>304</v>
      </c>
      <c r="J30">
        <f>Table21112[[#This Row],[Purchase Length]]-Table21112[[#This Row],[Total Cut Length]]</f>
        <v>4</v>
      </c>
    </row>
    <row r="31" spans="1:10" x14ac:dyDescent="0.3">
      <c r="A31" t="s">
        <v>1</v>
      </c>
      <c r="B31" t="s">
        <v>0</v>
      </c>
      <c r="C31">
        <v>308</v>
      </c>
      <c r="D31">
        <v>152</v>
      </c>
      <c r="E31">
        <v>152</v>
      </c>
      <c r="I31">
        <f>SUM(Table21112[[#This Row],[Cut Length1]:[Cut Length5]])</f>
        <v>304</v>
      </c>
      <c r="J31">
        <f>Table21112[[#This Row],[Purchase Length]]-Table21112[[#This Row],[Total Cut Length]]</f>
        <v>4</v>
      </c>
    </row>
    <row r="32" spans="1:10" x14ac:dyDescent="0.3">
      <c r="A32" t="s">
        <v>1</v>
      </c>
      <c r="B32" t="s">
        <v>0</v>
      </c>
      <c r="C32">
        <v>308</v>
      </c>
      <c r="D32">
        <v>152</v>
      </c>
      <c r="E32">
        <v>152</v>
      </c>
      <c r="I32">
        <f>SUM(Table21112[[#This Row],[Cut Length1]:[Cut Length5]])</f>
        <v>304</v>
      </c>
      <c r="J32">
        <f>Table21112[[#This Row],[Purchase Length]]-Table21112[[#This Row],[Total Cut Length]]</f>
        <v>4</v>
      </c>
    </row>
    <row r="33" spans="1:15" x14ac:dyDescent="0.3">
      <c r="A33" t="s">
        <v>1</v>
      </c>
      <c r="B33" t="s">
        <v>0</v>
      </c>
      <c r="C33">
        <v>308</v>
      </c>
      <c r="D33">
        <v>152</v>
      </c>
      <c r="E33">
        <v>152</v>
      </c>
      <c r="I33">
        <f>SUM(Table21112[[#This Row],[Cut Length1]:[Cut Length5]])</f>
        <v>304</v>
      </c>
      <c r="J33">
        <f>Table21112[[#This Row],[Purchase Length]]-Table21112[[#This Row],[Total Cut Length]]</f>
        <v>4</v>
      </c>
    </row>
    <row r="34" spans="1:15" x14ac:dyDescent="0.3">
      <c r="A34" t="s">
        <v>1</v>
      </c>
      <c r="B34" t="s">
        <v>0</v>
      </c>
      <c r="C34">
        <v>308</v>
      </c>
      <c r="D34">
        <v>152</v>
      </c>
      <c r="E34">
        <v>152</v>
      </c>
      <c r="I34">
        <f>SUM(Table21112[[#This Row],[Cut Length1]:[Cut Length5]])</f>
        <v>304</v>
      </c>
      <c r="J34">
        <f>Table21112[[#This Row],[Purchase Length]]-Table21112[[#This Row],[Total Cut Length]]</f>
        <v>4</v>
      </c>
    </row>
    <row r="35" spans="1:15" x14ac:dyDescent="0.3">
      <c r="A35" t="s">
        <v>1</v>
      </c>
      <c r="B35" t="s">
        <v>0</v>
      </c>
      <c r="C35">
        <v>308</v>
      </c>
      <c r="D35">
        <v>152</v>
      </c>
      <c r="E35">
        <v>152</v>
      </c>
      <c r="I35">
        <f>SUM(Table21112[[#This Row],[Cut Length1]:[Cut Length5]])</f>
        <v>304</v>
      </c>
      <c r="J35">
        <f>Table21112[[#This Row],[Purchase Length]]-Table21112[[#This Row],[Total Cut Length]]</f>
        <v>4</v>
      </c>
    </row>
    <row r="36" spans="1:15" x14ac:dyDescent="0.3">
      <c r="A36" t="s">
        <v>1</v>
      </c>
      <c r="B36" t="s">
        <v>0</v>
      </c>
      <c r="C36">
        <v>308</v>
      </c>
      <c r="D36">
        <v>152</v>
      </c>
      <c r="E36">
        <v>152</v>
      </c>
      <c r="I36">
        <f>SUM(Table21112[[#This Row],[Cut Length1]:[Cut Length5]])</f>
        <v>304</v>
      </c>
      <c r="J36">
        <f>Table21112[[#This Row],[Purchase Length]]-Table21112[[#This Row],[Total Cut Length]]</f>
        <v>4</v>
      </c>
    </row>
    <row r="37" spans="1:15" x14ac:dyDescent="0.3">
      <c r="A37" t="s">
        <v>1</v>
      </c>
      <c r="B37" t="s">
        <v>0</v>
      </c>
      <c r="C37">
        <v>308</v>
      </c>
      <c r="D37">
        <v>27</v>
      </c>
      <c r="I37">
        <f>SUM(Table21112[[#This Row],[Cut Length1]:[Cut Length5]])</f>
        <v>27</v>
      </c>
      <c r="J37">
        <f>Table21112[[#This Row],[Purchase Length]]-Table21112[[#This Row],[Total Cut Length]]</f>
        <v>281</v>
      </c>
    </row>
    <row r="39" spans="1:15" x14ac:dyDescent="0.3">
      <c r="C39">
        <f>SUM(Table21112[Purchase Length])</f>
        <v>4544</v>
      </c>
      <c r="H39">
        <f>SUM(Table21112[Total Cut Length])</f>
        <v>4221</v>
      </c>
      <c r="I39">
        <f>SUM(Table21112[Total Waste])</f>
        <v>323</v>
      </c>
    </row>
    <row r="40" spans="1:15" x14ac:dyDescent="0.3">
      <c r="I40" s="1">
        <f>I39/C39</f>
        <v>7.1082746478873235E-2</v>
      </c>
    </row>
    <row r="43" spans="1:15" x14ac:dyDescent="0.3">
      <c r="A43" s="31" t="s">
        <v>29</v>
      </c>
      <c r="B43" s="38"/>
      <c r="C43" s="38"/>
    </row>
    <row r="44" spans="1:15" x14ac:dyDescent="0.3">
      <c r="A44" t="s">
        <v>30</v>
      </c>
    </row>
    <row r="45" spans="1:15" x14ac:dyDescent="0.3">
      <c r="D45" t="s">
        <v>20</v>
      </c>
      <c r="E45" t="s">
        <v>16</v>
      </c>
      <c r="F45" t="s">
        <v>5</v>
      </c>
      <c r="G45" t="s">
        <v>4</v>
      </c>
      <c r="L45" t="s">
        <v>3</v>
      </c>
      <c r="M45">
        <v>780</v>
      </c>
      <c r="N45">
        <f>COUNTIFS(Table21112[Item Description],L45,Table21112[Purchase Length],M45)</f>
        <v>0</v>
      </c>
      <c r="O45">
        <f>N45*$D$54</f>
        <v>0</v>
      </c>
    </row>
    <row r="46" spans="1:15" x14ac:dyDescent="0.3">
      <c r="D46" t="str" cm="1">
        <f t="array" ref="D46:D47">_xlfn.UNIQUE(Table21112[Item Description])</f>
        <v>W18x50</v>
      </c>
      <c r="E46" t="str" cm="1">
        <f t="array" ref="E46:E47">_xlfn.UNIQUE(Table21112[Raw Material])</f>
        <v>804-15017</v>
      </c>
      <c r="F46">
        <f>ROUNDUP(SUMIF(Table21112[Raw Material],E46,Table21112[Total Cut Length])/12,0)</f>
        <v>173</v>
      </c>
      <c r="G46">
        <f>ROUNDUP(SUMIF(Table21112[Raw Material],E46,Table21112[Total Waste])/12,0)</f>
        <v>2</v>
      </c>
      <c r="L46" t="s">
        <v>3</v>
      </c>
      <c r="M46">
        <v>720</v>
      </c>
      <c r="N46">
        <f>COUNTIFS(Table21112[Item Description],L46,Table21112[Purchase Length],M46)</f>
        <v>0</v>
      </c>
      <c r="O46">
        <f t="shared" ref="O46:O55" si="0">N46*$D$54</f>
        <v>0</v>
      </c>
    </row>
    <row r="47" spans="1:15" x14ac:dyDescent="0.3">
      <c r="D47" t="str">
        <v>W10x17</v>
      </c>
      <c r="E47" t="str">
        <v>804-15022</v>
      </c>
      <c r="F47">
        <f>ROUNDUP(SUMIF(Table21112[Raw Material],E47,Table21112[Total Cut Length])/12,0)</f>
        <v>180</v>
      </c>
      <c r="G47">
        <f>ROUNDUP(SUMIF(Table21112[Raw Material],E47,Table21112[Total Waste])/12,0)</f>
        <v>26</v>
      </c>
      <c r="L47" t="s">
        <v>3</v>
      </c>
      <c r="M47">
        <v>690</v>
      </c>
      <c r="N47">
        <f>COUNTIFS(Table21112[Item Description],L47,Table21112[Purchase Length],M47)</f>
        <v>0</v>
      </c>
      <c r="O47">
        <f t="shared" si="0"/>
        <v>0</v>
      </c>
    </row>
    <row r="48" spans="1:15" x14ac:dyDescent="0.3">
      <c r="L48" t="s">
        <v>3</v>
      </c>
      <c r="M48">
        <v>612</v>
      </c>
      <c r="N48">
        <f>COUNTIFS(Table21112[Item Description],L48,Table21112[Purchase Length],M48)</f>
        <v>0</v>
      </c>
      <c r="O48">
        <f t="shared" si="0"/>
        <v>0</v>
      </c>
    </row>
    <row r="49" spans="1:15" x14ac:dyDescent="0.3">
      <c r="L49" t="s">
        <v>3</v>
      </c>
      <c r="M49">
        <v>600</v>
      </c>
      <c r="N49">
        <f>COUNTIFS(Table21112[Item Description],L49,Table21112[Purchase Length],M49)</f>
        <v>0</v>
      </c>
      <c r="O49">
        <f t="shared" si="0"/>
        <v>0</v>
      </c>
    </row>
    <row r="50" spans="1:15" x14ac:dyDescent="0.3">
      <c r="D50" t="s">
        <v>37</v>
      </c>
      <c r="E50" t="s">
        <v>42</v>
      </c>
      <c r="F50" s="23" t="s">
        <v>43</v>
      </c>
      <c r="L50" t="s">
        <v>3</v>
      </c>
      <c r="M50">
        <v>460</v>
      </c>
      <c r="N50">
        <f>COUNTIFS(Table21112[Item Description],L50,Table21112[Purchase Length],M50)</f>
        <v>2</v>
      </c>
      <c r="O50">
        <f t="shared" si="0"/>
        <v>138</v>
      </c>
    </row>
    <row r="51" spans="1:15" x14ac:dyDescent="0.3">
      <c r="B51" s="53" t="s">
        <v>36</v>
      </c>
      <c r="C51" s="53"/>
      <c r="D51" s="21">
        <f>(SUM(C3:C6)-SUM(C26:C29))/12</f>
        <v>66.666666666666671</v>
      </c>
      <c r="E51" s="21">
        <f>(SUM(C7:C11)-SUM(C30:C37))/12</f>
        <v>44.666666666666664</v>
      </c>
      <c r="F51" s="23"/>
      <c r="L51" t="s">
        <v>19</v>
      </c>
      <c r="M51">
        <v>564</v>
      </c>
      <c r="N51">
        <f>COUNTIFS(Table21112[Item Description],L51,Table21112[Purchase Length],M51)</f>
        <v>0</v>
      </c>
      <c r="O51">
        <f t="shared" si="0"/>
        <v>0</v>
      </c>
    </row>
    <row r="52" spans="1:15" x14ac:dyDescent="0.3">
      <c r="C52" t="s">
        <v>38</v>
      </c>
      <c r="D52" s="20">
        <v>40.520000000000003</v>
      </c>
      <c r="E52" s="20">
        <v>13.49</v>
      </c>
      <c r="F52" s="23"/>
      <c r="L52" t="s">
        <v>19</v>
      </c>
      <c r="M52">
        <v>420</v>
      </c>
      <c r="N52">
        <f>COUNTIFS(Table21112[Item Description],L52,Table21112[Purchase Length],M52)</f>
        <v>0</v>
      </c>
      <c r="O52">
        <f t="shared" si="0"/>
        <v>0</v>
      </c>
    </row>
    <row r="53" spans="1:15" x14ac:dyDescent="0.3">
      <c r="C53" t="s">
        <v>41</v>
      </c>
      <c r="D53" s="20">
        <f>D51*D52</f>
        <v>2701.3333333333339</v>
      </c>
      <c r="E53" s="20">
        <f>E51*E52</f>
        <v>602.55333333333328</v>
      </c>
      <c r="F53" s="24">
        <f>D53+E53</f>
        <v>3303.8866666666672</v>
      </c>
      <c r="L53" t="s">
        <v>1</v>
      </c>
      <c r="M53">
        <v>612</v>
      </c>
      <c r="N53">
        <f>COUNTIFS(Table21112[Item Description],L53,Table21112[Purchase Length],M53)</f>
        <v>0</v>
      </c>
      <c r="O53">
        <f t="shared" si="0"/>
        <v>0</v>
      </c>
    </row>
    <row r="54" spans="1:15" x14ac:dyDescent="0.3">
      <c r="C54" t="s">
        <v>39</v>
      </c>
      <c r="D54">
        <f>Summary!D7</f>
        <v>69</v>
      </c>
      <c r="E54">
        <f>Summary!D7</f>
        <v>69</v>
      </c>
      <c r="F54" s="23"/>
      <c r="L54" t="s">
        <v>1</v>
      </c>
      <c r="M54">
        <v>600</v>
      </c>
      <c r="N54">
        <f>COUNTIFS(Table21112[Item Description],L54,Table21112[Purchase Length],M54)</f>
        <v>0</v>
      </c>
      <c r="O54">
        <f t="shared" si="0"/>
        <v>0</v>
      </c>
    </row>
    <row r="55" spans="1:15" x14ac:dyDescent="0.3">
      <c r="C55" t="s">
        <v>40</v>
      </c>
      <c r="D55" s="20">
        <f>D54*D53</f>
        <v>186392.00000000003</v>
      </c>
      <c r="E55" s="20">
        <f>E54*E53</f>
        <v>41576.179999999993</v>
      </c>
      <c r="F55" s="24">
        <f>D55+E55</f>
        <v>227968.18000000002</v>
      </c>
      <c r="L55" t="s">
        <v>1</v>
      </c>
      <c r="M55">
        <v>460</v>
      </c>
      <c r="N55">
        <f>COUNTIFS(Table21112[Item Description],L55,Table21112[Purchase Length],M55)</f>
        <v>0</v>
      </c>
      <c r="O55">
        <f t="shared" si="0"/>
        <v>0</v>
      </c>
    </row>
    <row r="58" spans="1:15" x14ac:dyDescent="0.3">
      <c r="A58" s="52" t="s">
        <v>35</v>
      </c>
      <c r="B58" s="52"/>
      <c r="C58" s="52"/>
      <c r="D58" s="52"/>
      <c r="E58" s="52"/>
      <c r="F58" s="52"/>
      <c r="G58" s="52"/>
      <c r="H58" s="52"/>
      <c r="I58" s="52"/>
      <c r="K58" s="51" t="s">
        <v>64</v>
      </c>
      <c r="L58" s="51"/>
    </row>
    <row r="59" spans="1:15" ht="43.2" x14ac:dyDescent="0.3">
      <c r="A59" t="s">
        <v>17</v>
      </c>
      <c r="B59" t="s">
        <v>16</v>
      </c>
      <c r="C59" t="s">
        <v>15</v>
      </c>
      <c r="D59" t="s">
        <v>14</v>
      </c>
      <c r="E59" t="s">
        <v>13</v>
      </c>
      <c r="F59" t="s">
        <v>12</v>
      </c>
      <c r="G59" t="s">
        <v>11</v>
      </c>
      <c r="H59" t="s">
        <v>10</v>
      </c>
      <c r="I59" t="s">
        <v>5</v>
      </c>
      <c r="J59" t="s">
        <v>4</v>
      </c>
      <c r="K59" s="44" t="s">
        <v>62</v>
      </c>
      <c r="L59" s="45" t="s">
        <v>63</v>
      </c>
    </row>
    <row r="60" spans="1:15" x14ac:dyDescent="0.3">
      <c r="A60" t="s">
        <v>3</v>
      </c>
      <c r="B60" t="s">
        <v>2</v>
      </c>
      <c r="C60">
        <v>580</v>
      </c>
      <c r="D60">
        <v>577</v>
      </c>
      <c r="I60">
        <f>SUM(Table211123133[[#This Row],[Cut Length1]:[Cut Length5]])</f>
        <v>577</v>
      </c>
      <c r="J60">
        <f>Table211123133[[#This Row],[Purchase Length]]-Table211123133[[#This Row],[Total Cut Length]]</f>
        <v>3</v>
      </c>
      <c r="K60">
        <f>(COUNTA(Table211123133[[#This Row],[Cut Length1]:[Cut Length5]])-1)*0.1875+2</f>
        <v>2</v>
      </c>
      <c r="L60">
        <f>Table211123133[[#This Row],[Total Waste]]-K60</f>
        <v>1</v>
      </c>
    </row>
    <row r="61" spans="1:15" x14ac:dyDescent="0.3">
      <c r="A61" t="s">
        <v>3</v>
      </c>
      <c r="B61" t="s">
        <v>2</v>
      </c>
      <c r="C61">
        <v>580</v>
      </c>
      <c r="D61">
        <v>577</v>
      </c>
      <c r="I61">
        <f>SUM(Table211123133[[#This Row],[Cut Length1]:[Cut Length5]])</f>
        <v>577</v>
      </c>
      <c r="J61">
        <f>Table211123133[[#This Row],[Purchase Length]]-Table211123133[[#This Row],[Total Cut Length]]</f>
        <v>3</v>
      </c>
      <c r="K61">
        <f>(COUNTA(Table211123133[[#This Row],[Cut Length1]:[Cut Length5]])-1)*0.1875+2</f>
        <v>2</v>
      </c>
      <c r="L61">
        <f>Table211123133[[#This Row],[Total Waste]]-K61</f>
        <v>1</v>
      </c>
    </row>
    <row r="62" spans="1:15" x14ac:dyDescent="0.3">
      <c r="A62" t="s">
        <v>3</v>
      </c>
      <c r="B62" t="s">
        <v>2</v>
      </c>
      <c r="C62">
        <v>460</v>
      </c>
      <c r="D62">
        <v>152</v>
      </c>
      <c r="E62">
        <v>152</v>
      </c>
      <c r="F62">
        <v>152</v>
      </c>
      <c r="I62">
        <f>SUM(Table211123133[[#This Row],[Cut Length1]:[Cut Length5]])</f>
        <v>456</v>
      </c>
      <c r="J62">
        <f>Table211123133[[#This Row],[Purchase Length]]-Table211123133[[#This Row],[Total Cut Length]]</f>
        <v>4</v>
      </c>
      <c r="K62">
        <f>(COUNTA(Table211123133[[#This Row],[Cut Length1]:[Cut Length5]])-1)*0.1875+2</f>
        <v>2.375</v>
      </c>
      <c r="L62">
        <f>Table211123133[[#This Row],[Total Waste]]-K62</f>
        <v>1.625</v>
      </c>
    </row>
    <row r="63" spans="1:15" x14ac:dyDescent="0.3">
      <c r="A63" t="s">
        <v>3</v>
      </c>
      <c r="B63" t="s">
        <v>2</v>
      </c>
      <c r="C63">
        <v>460</v>
      </c>
      <c r="D63">
        <v>152</v>
      </c>
      <c r="E63">
        <v>152</v>
      </c>
      <c r="F63">
        <v>152</v>
      </c>
      <c r="I63">
        <f>SUM(Table211123133[[#This Row],[Cut Length1]:[Cut Length5]])</f>
        <v>456</v>
      </c>
      <c r="J63">
        <f>Table211123133[[#This Row],[Purchase Length]]-Table211123133[[#This Row],[Total Cut Length]]</f>
        <v>4</v>
      </c>
      <c r="K63">
        <f>(COUNTA(Table211123133[[#This Row],[Cut Length1]:[Cut Length5]])-1)*0.1875+2</f>
        <v>2.375</v>
      </c>
      <c r="L63">
        <f>Table211123133[[#This Row],[Total Waste]]-K63</f>
        <v>1.625</v>
      </c>
    </row>
    <row r="64" spans="1:15" x14ac:dyDescent="0.3">
      <c r="A64" t="s">
        <v>1</v>
      </c>
      <c r="B64" t="s">
        <v>0</v>
      </c>
      <c r="C64" s="29">
        <v>764</v>
      </c>
      <c r="D64">
        <v>152</v>
      </c>
      <c r="E64">
        <v>152</v>
      </c>
      <c r="F64" s="29">
        <v>152</v>
      </c>
      <c r="G64" s="29">
        <v>152</v>
      </c>
      <c r="H64" s="29">
        <v>152</v>
      </c>
      <c r="I64">
        <f>SUM(Table211123133[[#This Row],[Cut Length1]:[Cut Length5]])</f>
        <v>760</v>
      </c>
      <c r="J64">
        <f>Table211123133[[#This Row],[Purchase Length]]-Table211123133[[#This Row],[Total Cut Length]]</f>
        <v>4</v>
      </c>
      <c r="K64">
        <f>(COUNTA(Table211123133[[#This Row],[Cut Length1]:[Cut Length5]])-1)*0.1875+2</f>
        <v>2.75</v>
      </c>
      <c r="L64">
        <f>Table211123133[[#This Row],[Total Waste]]-K64</f>
        <v>1.25</v>
      </c>
    </row>
    <row r="65" spans="1:12" x14ac:dyDescent="0.3">
      <c r="A65" t="s">
        <v>1</v>
      </c>
      <c r="B65" t="s">
        <v>0</v>
      </c>
      <c r="C65" s="29">
        <v>764</v>
      </c>
      <c r="D65">
        <v>152</v>
      </c>
      <c r="E65">
        <v>152</v>
      </c>
      <c r="F65" s="29">
        <v>152</v>
      </c>
      <c r="G65" s="29">
        <v>152</v>
      </c>
      <c r="H65" s="29">
        <v>152</v>
      </c>
      <c r="I65">
        <f>SUM(Table211123133[[#This Row],[Cut Length1]:[Cut Length5]])</f>
        <v>760</v>
      </c>
      <c r="J65">
        <f>Table211123133[[#This Row],[Purchase Length]]-Table211123133[[#This Row],[Total Cut Length]]</f>
        <v>4</v>
      </c>
      <c r="K65">
        <f>(COUNTA(Table211123133[[#This Row],[Cut Length1]:[Cut Length5]])-1)*0.1875+2</f>
        <v>2.75</v>
      </c>
      <c r="L65">
        <f>Table211123133[[#This Row],[Total Waste]]-K65</f>
        <v>1.25</v>
      </c>
    </row>
    <row r="66" spans="1:12" x14ac:dyDescent="0.3">
      <c r="A66" t="s">
        <v>1</v>
      </c>
      <c r="B66" t="s">
        <v>0</v>
      </c>
      <c r="C66">
        <v>688</v>
      </c>
      <c r="D66">
        <v>152</v>
      </c>
      <c r="E66">
        <v>152</v>
      </c>
      <c r="F66">
        <v>152</v>
      </c>
      <c r="G66">
        <v>152</v>
      </c>
      <c r="H66" s="29">
        <v>27</v>
      </c>
      <c r="I66">
        <f>SUM(Table211123133[[#This Row],[Cut Length1]:[Cut Length5]])</f>
        <v>635</v>
      </c>
      <c r="J66">
        <f>Table211123133[[#This Row],[Purchase Length]]-Table211123133[[#This Row],[Total Cut Length]]</f>
        <v>53</v>
      </c>
      <c r="K66">
        <f>(COUNTA(Table211123133[[#This Row],[Cut Length1]:[Cut Length5]])-1)*0.1875+2</f>
        <v>2.75</v>
      </c>
      <c r="L66">
        <f>Table211123133[[#This Row],[Total Waste]]-K66</f>
        <v>50.25</v>
      </c>
    </row>
    <row r="68" spans="1:12" x14ac:dyDescent="0.3">
      <c r="C68">
        <f>SUM(Table211123133[Purchase Length])</f>
        <v>4296</v>
      </c>
      <c r="H68">
        <f>SUM(Table211123133[Total Cut Length])</f>
        <v>4221</v>
      </c>
      <c r="I68">
        <f>SUM(Table211123133[Total Waste])</f>
        <v>75</v>
      </c>
    </row>
    <row r="69" spans="1:12" x14ac:dyDescent="0.3">
      <c r="I69" s="1">
        <f>I68/C68</f>
        <v>1.7458100558659217E-2</v>
      </c>
    </row>
    <row r="70" spans="1:12" x14ac:dyDescent="0.3">
      <c r="B70" s="49" t="s">
        <v>66</v>
      </c>
      <c r="C70" s="50"/>
      <c r="D70" s="50"/>
      <c r="E70" s="50"/>
      <c r="F70" s="50"/>
      <c r="G70" s="50"/>
      <c r="H70" s="50"/>
      <c r="I70" s="50"/>
    </row>
    <row r="71" spans="1:12" x14ac:dyDescent="0.3">
      <c r="B71" s="50"/>
      <c r="C71" s="50"/>
      <c r="D71" s="50"/>
      <c r="E71" s="50"/>
      <c r="F71" s="50"/>
      <c r="G71" s="50"/>
      <c r="H71" s="50"/>
      <c r="I71" s="50"/>
    </row>
    <row r="72" spans="1:12" x14ac:dyDescent="0.3">
      <c r="B72" s="50"/>
      <c r="C72" s="50"/>
      <c r="D72" s="50"/>
      <c r="E72" s="50"/>
      <c r="F72" s="50"/>
      <c r="G72" s="50"/>
      <c r="H72" s="50"/>
      <c r="I72" s="50"/>
    </row>
    <row r="73" spans="1:12" x14ac:dyDescent="0.3">
      <c r="B73" s="50"/>
      <c r="C73" s="50"/>
      <c r="D73" s="50"/>
      <c r="E73" s="50"/>
      <c r="F73" s="50"/>
      <c r="G73" s="50"/>
      <c r="H73" s="50"/>
      <c r="I73" s="50"/>
    </row>
    <row r="74" spans="1:12" x14ac:dyDescent="0.3">
      <c r="B74" s="50"/>
      <c r="C74" s="50"/>
      <c r="D74" s="50"/>
      <c r="E74" s="50"/>
      <c r="F74" s="50"/>
      <c r="G74" s="50"/>
      <c r="H74" s="50"/>
      <c r="I74" s="50"/>
    </row>
  </sheetData>
  <mergeCells count="6">
    <mergeCell ref="B70:I74"/>
    <mergeCell ref="K58:L58"/>
    <mergeCell ref="A1:I1"/>
    <mergeCell ref="A24:I24"/>
    <mergeCell ref="B51:C51"/>
    <mergeCell ref="A58:I58"/>
  </mergeCells>
  <phoneticPr fontId="4" type="noConversion"/>
  <pageMargins left="0.7" right="0.7" top="0.75" bottom="0.75" header="0.3" footer="0.3"/>
  <pageSetup paperSize="3" scale="79" orientation="landscape" horizontalDpi="1200" verticalDpi="120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26DF-545B-4524-8FFE-9DD209CBDDBE}">
  <dimension ref="A1:R62"/>
  <sheetViews>
    <sheetView topLeftCell="B40" workbookViewId="0">
      <selection activeCell="Q48" sqref="Q48"/>
    </sheetView>
  </sheetViews>
  <sheetFormatPr defaultColWidth="11.77734375" defaultRowHeight="14.4" x14ac:dyDescent="0.3"/>
  <cols>
    <col min="11" max="11" width="8.109375" customWidth="1"/>
    <col min="12" max="12" width="10" customWidth="1"/>
    <col min="13" max="13" width="9" customWidth="1"/>
    <col min="14" max="14" width="7.5546875" customWidth="1"/>
    <col min="17" max="17" width="15" customWidth="1"/>
    <col min="18" max="18" width="17.6640625" customWidth="1"/>
  </cols>
  <sheetData>
    <row r="1" spans="1:13" x14ac:dyDescent="0.3">
      <c r="A1" s="52" t="s">
        <v>34</v>
      </c>
      <c r="B1" s="52"/>
      <c r="C1" s="52"/>
      <c r="D1" s="52"/>
      <c r="E1" s="52"/>
      <c r="F1" s="52"/>
      <c r="G1" s="52"/>
      <c r="H1" s="52"/>
      <c r="I1" s="52"/>
      <c r="J1" s="52"/>
      <c r="K1" s="52"/>
      <c r="L1" s="52"/>
      <c r="M1" s="52"/>
    </row>
    <row r="2" spans="1:13" x14ac:dyDescent="0.3">
      <c r="A2" s="8" t="s">
        <v>17</v>
      </c>
      <c r="B2" s="9" t="s">
        <v>16</v>
      </c>
      <c r="C2" s="10" t="s">
        <v>15</v>
      </c>
      <c r="D2" s="10" t="s">
        <v>14</v>
      </c>
      <c r="E2" s="10" t="s">
        <v>13</v>
      </c>
      <c r="F2" s="10" t="s">
        <v>12</v>
      </c>
      <c r="G2" s="10" t="s">
        <v>11</v>
      </c>
      <c r="H2" s="10" t="s">
        <v>10</v>
      </c>
      <c r="I2" s="10" t="s">
        <v>9</v>
      </c>
      <c r="J2" s="10" t="s">
        <v>8</v>
      </c>
      <c r="K2" s="10" t="s">
        <v>7</v>
      </c>
      <c r="L2" s="10" t="s">
        <v>5</v>
      </c>
      <c r="M2" s="11" t="s">
        <v>4</v>
      </c>
    </row>
    <row r="3" spans="1:13" x14ac:dyDescent="0.3">
      <c r="A3" s="12" t="s">
        <v>3</v>
      </c>
      <c r="B3" s="13" t="s">
        <v>2</v>
      </c>
      <c r="C3" s="14">
        <v>720</v>
      </c>
      <c r="D3" s="14">
        <v>419.5</v>
      </c>
      <c r="E3" s="14">
        <v>145.5</v>
      </c>
      <c r="F3" s="14">
        <v>145.5</v>
      </c>
      <c r="G3" s="14"/>
      <c r="H3" s="14"/>
      <c r="I3" s="14"/>
      <c r="J3" s="14"/>
      <c r="K3" s="14"/>
      <c r="L3" s="14">
        <f>SUM(Table223[[#This Row],[Cut Length1]:[Cut Length8]])</f>
        <v>710.5</v>
      </c>
      <c r="M3" s="15">
        <f t="shared" ref="M3:M8" si="0">C3-L3</f>
        <v>9.5</v>
      </c>
    </row>
    <row r="4" spans="1:13" x14ac:dyDescent="0.3">
      <c r="A4" s="12" t="s">
        <v>3</v>
      </c>
      <c r="B4" s="13" t="s">
        <v>2</v>
      </c>
      <c r="C4" s="14">
        <v>720</v>
      </c>
      <c r="D4" s="14">
        <v>419.5</v>
      </c>
      <c r="E4" s="14">
        <v>145.5</v>
      </c>
      <c r="F4" s="14">
        <v>145.5</v>
      </c>
      <c r="G4" s="14"/>
      <c r="H4" s="14"/>
      <c r="I4" s="14"/>
      <c r="J4" s="14"/>
      <c r="K4" s="14"/>
      <c r="L4" s="14">
        <f>SUM(Table223[[#This Row],[Cut Length1]:[Cut Length8]])</f>
        <v>710.5</v>
      </c>
      <c r="M4" s="15">
        <f t="shared" si="0"/>
        <v>9.5</v>
      </c>
    </row>
    <row r="5" spans="1:13" x14ac:dyDescent="0.3">
      <c r="A5" s="12" t="s">
        <v>3</v>
      </c>
      <c r="B5" s="13" t="s">
        <v>2</v>
      </c>
      <c r="C5" s="14">
        <v>720</v>
      </c>
      <c r="D5" s="14">
        <v>73.5</v>
      </c>
      <c r="E5" s="14">
        <v>145.5</v>
      </c>
      <c r="F5" s="14"/>
      <c r="G5" s="14"/>
      <c r="H5" s="14"/>
      <c r="I5" s="14"/>
      <c r="J5" s="14"/>
      <c r="K5" s="14"/>
      <c r="L5" s="14">
        <f>SUM(Table223[[#This Row],[Cut Length1]:[Cut Length8]])</f>
        <v>219</v>
      </c>
      <c r="M5" s="15">
        <f t="shared" si="0"/>
        <v>501</v>
      </c>
    </row>
    <row r="6" spans="1:13" x14ac:dyDescent="0.3">
      <c r="A6" s="12" t="s">
        <v>1</v>
      </c>
      <c r="B6" s="13" t="s">
        <v>0</v>
      </c>
      <c r="C6" s="14">
        <v>600</v>
      </c>
      <c r="D6" s="14">
        <v>145.5</v>
      </c>
      <c r="E6" s="14">
        <v>145.5</v>
      </c>
      <c r="F6" s="14">
        <v>107</v>
      </c>
      <c r="G6" s="14">
        <v>99.25</v>
      </c>
      <c r="H6" s="14">
        <v>99.25</v>
      </c>
      <c r="I6" s="14"/>
      <c r="J6" s="14"/>
      <c r="K6" s="14"/>
      <c r="L6" s="14">
        <f>SUM(Table223[[#This Row],[Cut Length1]:[Cut Length8]])</f>
        <v>596.5</v>
      </c>
      <c r="M6" s="15">
        <f t="shared" si="0"/>
        <v>3.5</v>
      </c>
    </row>
    <row r="7" spans="1:13" x14ac:dyDescent="0.3">
      <c r="A7" s="12" t="s">
        <v>1</v>
      </c>
      <c r="B7" s="13" t="s">
        <v>0</v>
      </c>
      <c r="C7" s="14">
        <v>600</v>
      </c>
      <c r="D7" s="14">
        <v>145.5</v>
      </c>
      <c r="E7" s="14">
        <v>145.5</v>
      </c>
      <c r="F7" s="14">
        <v>145.5</v>
      </c>
      <c r="G7" s="14">
        <v>145.5</v>
      </c>
      <c r="H7" s="14"/>
      <c r="I7" s="14"/>
      <c r="J7" s="14"/>
      <c r="K7" s="14"/>
      <c r="L7" s="14">
        <f>SUM(Table223[[#This Row],[Cut Length1]:[Cut Length8]])</f>
        <v>582</v>
      </c>
      <c r="M7" s="15">
        <f t="shared" si="0"/>
        <v>18</v>
      </c>
    </row>
    <row r="8" spans="1:13" x14ac:dyDescent="0.3">
      <c r="A8" s="12" t="s">
        <v>1</v>
      </c>
      <c r="B8" s="13" t="s">
        <v>0</v>
      </c>
      <c r="C8" s="14">
        <v>600</v>
      </c>
      <c r="D8" s="14">
        <v>24.75</v>
      </c>
      <c r="E8" s="14">
        <v>24.75</v>
      </c>
      <c r="F8" s="14">
        <v>24.75</v>
      </c>
      <c r="G8" s="14">
        <v>25.5</v>
      </c>
      <c r="H8" s="14">
        <v>25.5</v>
      </c>
      <c r="I8" s="14">
        <v>35.25</v>
      </c>
      <c r="J8" s="14">
        <v>55.875</v>
      </c>
      <c r="K8" s="14"/>
      <c r="L8" s="14">
        <f>SUM(Table223[[#This Row],[Cut Length1]:[Cut Length8]])</f>
        <v>216.375</v>
      </c>
      <c r="M8" s="15">
        <f t="shared" si="0"/>
        <v>383.625</v>
      </c>
    </row>
    <row r="9" spans="1:13" x14ac:dyDescent="0.3">
      <c r="A9" s="16"/>
      <c r="B9" s="17"/>
      <c r="C9" s="16"/>
      <c r="D9" s="16"/>
      <c r="E9" s="16"/>
      <c r="F9" s="16"/>
      <c r="G9" s="16"/>
      <c r="H9" s="16"/>
      <c r="I9" s="16"/>
      <c r="J9" s="16"/>
      <c r="K9" s="16"/>
      <c r="L9" s="16"/>
      <c r="M9" s="16"/>
    </row>
    <row r="10" spans="1:13" x14ac:dyDescent="0.3">
      <c r="A10" s="16"/>
      <c r="B10" s="17"/>
      <c r="C10" s="16">
        <f>SUM(Table223[Purchase Length])</f>
        <v>3960</v>
      </c>
      <c r="D10" s="16"/>
      <c r="E10" s="16"/>
      <c r="F10" s="16"/>
      <c r="G10" s="16"/>
      <c r="H10" s="16"/>
      <c r="I10" s="16"/>
      <c r="J10" s="16"/>
      <c r="K10" s="16"/>
      <c r="L10" s="16">
        <f>SUM(Table223[Total Cut Length])</f>
        <v>3034.875</v>
      </c>
      <c r="M10" s="16">
        <f>SUM(Table223[Total Waste])</f>
        <v>925.125</v>
      </c>
    </row>
    <row r="11" spans="1:13" x14ac:dyDescent="0.3">
      <c r="A11" s="16"/>
      <c r="B11" s="17"/>
      <c r="C11" s="16"/>
      <c r="D11" s="16"/>
      <c r="E11" s="16"/>
      <c r="F11" s="16"/>
      <c r="G11" s="16"/>
      <c r="H11" s="16"/>
      <c r="I11" s="16"/>
      <c r="J11" s="16"/>
      <c r="K11" s="16"/>
      <c r="L11" s="16"/>
      <c r="M11" s="18">
        <f>M10/C10</f>
        <v>0.23361742424242424</v>
      </c>
    </row>
    <row r="14" spans="1:13" x14ac:dyDescent="0.3">
      <c r="A14" t="s">
        <v>33</v>
      </c>
      <c r="D14" t="s">
        <v>20</v>
      </c>
      <c r="E14" t="s">
        <v>16</v>
      </c>
      <c r="F14" t="s">
        <v>5</v>
      </c>
      <c r="G14" t="s">
        <v>4</v>
      </c>
    </row>
    <row r="15" spans="1:13" x14ac:dyDescent="0.3">
      <c r="D15" t="str" cm="1">
        <f t="array" ref="D15:D16">_xlfn.UNIQUE(Table223[Item Description])</f>
        <v>W18x50</v>
      </c>
      <c r="E15" t="str" cm="1">
        <f t="array" ref="E15:E16">_xlfn.UNIQUE(Table223[Raw Material])</f>
        <v>804-15017</v>
      </c>
      <c r="F15">
        <f>ROUNDUP(SUMIF(Table223[Raw Material],E15,Table223[Total Cut Length])/12,0)</f>
        <v>137</v>
      </c>
      <c r="G15">
        <f>ROUNDUP(SUMIF(Table223[Raw Material],E15,Table223[Total Waste])/12,0)</f>
        <v>44</v>
      </c>
    </row>
    <row r="16" spans="1:13" x14ac:dyDescent="0.3">
      <c r="D16" t="str">
        <v>W10x17</v>
      </c>
      <c r="E16" t="str">
        <v>804-15022</v>
      </c>
      <c r="F16">
        <f>ROUNDUP(SUMIF(Table223[Raw Material],E16,Table223[Total Cut Length])/12,0)</f>
        <v>117</v>
      </c>
      <c r="G16">
        <f>ROUNDUP(SUMIF(Table223[Raw Material],E16,Table223[Total Waste])/12,0)</f>
        <v>34</v>
      </c>
    </row>
    <row r="19" spans="1:16" x14ac:dyDescent="0.3">
      <c r="A19" s="52" t="s">
        <v>35</v>
      </c>
      <c r="B19" s="52"/>
      <c r="C19" s="52"/>
      <c r="D19" s="52"/>
      <c r="E19" s="52"/>
      <c r="F19" s="52"/>
      <c r="G19" s="52"/>
      <c r="H19" s="52"/>
      <c r="I19" s="52"/>
      <c r="J19" s="52"/>
      <c r="K19" s="52"/>
      <c r="L19" s="52"/>
      <c r="M19" s="52"/>
    </row>
    <row r="20" spans="1:16" x14ac:dyDescent="0.3">
      <c r="A20" s="8" t="s">
        <v>17</v>
      </c>
      <c r="B20" s="9" t="s">
        <v>16</v>
      </c>
      <c r="C20" s="10" t="s">
        <v>15</v>
      </c>
      <c r="D20" s="10" t="s">
        <v>14</v>
      </c>
      <c r="E20" s="10" t="s">
        <v>13</v>
      </c>
      <c r="F20" s="10" t="s">
        <v>12</v>
      </c>
      <c r="G20" s="10" t="s">
        <v>11</v>
      </c>
      <c r="H20" s="10" t="s">
        <v>10</v>
      </c>
      <c r="I20" s="10" t="s">
        <v>9</v>
      </c>
      <c r="J20" s="10" t="s">
        <v>8</v>
      </c>
      <c r="K20" s="10" t="s">
        <v>7</v>
      </c>
      <c r="L20" s="10" t="s">
        <v>6</v>
      </c>
      <c r="M20" s="10" t="s">
        <v>55</v>
      </c>
      <c r="N20" s="10" t="s">
        <v>56</v>
      </c>
      <c r="O20" s="10" t="s">
        <v>5</v>
      </c>
      <c r="P20" s="11" t="s">
        <v>4</v>
      </c>
    </row>
    <row r="21" spans="1:16" x14ac:dyDescent="0.3">
      <c r="A21" s="12" t="s">
        <v>3</v>
      </c>
      <c r="B21" s="13" t="s">
        <v>2</v>
      </c>
      <c r="C21" s="14">
        <v>424</v>
      </c>
      <c r="D21" s="14">
        <v>419.5</v>
      </c>
      <c r="E21" s="14"/>
      <c r="F21" s="14"/>
      <c r="G21" s="14"/>
      <c r="H21" s="14"/>
      <c r="I21" s="14"/>
      <c r="J21" s="14"/>
      <c r="K21" s="14"/>
      <c r="L21" s="14"/>
      <c r="M21" s="14"/>
      <c r="N21" s="14"/>
      <c r="O21" s="14">
        <f>SUM(Table22320[[#This Row],[Cut Length1]:[Cut Length11]])</f>
        <v>419.5</v>
      </c>
      <c r="P21" s="15">
        <f t="shared" ref="P21:P26" si="1">C21-O21</f>
        <v>4.5</v>
      </c>
    </row>
    <row r="22" spans="1:16" x14ac:dyDescent="0.3">
      <c r="A22" s="12" t="s">
        <v>3</v>
      </c>
      <c r="B22" s="13" t="s">
        <v>2</v>
      </c>
      <c r="C22" s="14">
        <v>424</v>
      </c>
      <c r="D22" s="14">
        <v>419.5</v>
      </c>
      <c r="E22" s="14"/>
      <c r="F22" s="14"/>
      <c r="G22" s="14"/>
      <c r="H22" s="14"/>
      <c r="I22" s="14"/>
      <c r="J22" s="14"/>
      <c r="K22" s="14"/>
      <c r="L22" s="14"/>
      <c r="M22" s="14"/>
      <c r="N22" s="14"/>
      <c r="O22" s="14">
        <f>SUM(Table22320[[#This Row],[Cut Length1]:[Cut Length11]])</f>
        <v>419.5</v>
      </c>
      <c r="P22" s="15">
        <f t="shared" si="1"/>
        <v>4.5</v>
      </c>
    </row>
    <row r="23" spans="1:16" x14ac:dyDescent="0.3">
      <c r="A23" s="12" t="s">
        <v>3</v>
      </c>
      <c r="B23" s="13" t="s">
        <v>2</v>
      </c>
      <c r="C23" s="14">
        <v>804</v>
      </c>
      <c r="D23" s="14">
        <v>145.5</v>
      </c>
      <c r="E23" s="14">
        <v>145.5</v>
      </c>
      <c r="F23" s="14">
        <v>145.5</v>
      </c>
      <c r="G23" s="14">
        <v>145.5</v>
      </c>
      <c r="H23" s="14">
        <v>145.5</v>
      </c>
      <c r="I23" s="14">
        <v>73.5</v>
      </c>
      <c r="J23" s="14"/>
      <c r="K23" s="14"/>
      <c r="L23" s="14"/>
      <c r="M23" s="14"/>
      <c r="N23" s="14"/>
      <c r="O23" s="14">
        <f>SUM(Table22320[[#This Row],[Cut Length1]:[Cut Length11]])</f>
        <v>801</v>
      </c>
      <c r="P23" s="15">
        <f t="shared" si="1"/>
        <v>3</v>
      </c>
    </row>
    <row r="24" spans="1:16" x14ac:dyDescent="0.3">
      <c r="A24" s="12" t="s">
        <v>1</v>
      </c>
      <c r="B24" s="13" t="s">
        <v>0</v>
      </c>
      <c r="C24" s="14">
        <v>732</v>
      </c>
      <c r="D24" s="14">
        <v>145.5</v>
      </c>
      <c r="E24" s="14">
        <v>145.5</v>
      </c>
      <c r="F24" s="14">
        <v>145.5</v>
      </c>
      <c r="G24" s="14">
        <v>145.5</v>
      </c>
      <c r="H24" s="14">
        <v>145.5</v>
      </c>
      <c r="I24" s="14"/>
      <c r="J24" s="14"/>
      <c r="K24" s="14"/>
      <c r="L24" s="14"/>
      <c r="M24" s="14"/>
      <c r="N24" s="14"/>
      <c r="O24" s="14">
        <f>SUM(Table22320[[#This Row],[Cut Length1]:[Cut Length11]])</f>
        <v>727.5</v>
      </c>
      <c r="P24" s="15">
        <f t="shared" si="1"/>
        <v>4.5</v>
      </c>
    </row>
    <row r="25" spans="1:16" x14ac:dyDescent="0.3">
      <c r="A25" s="12" t="s">
        <v>1</v>
      </c>
      <c r="B25" s="13" t="s">
        <v>0</v>
      </c>
      <c r="C25" s="34">
        <v>332</v>
      </c>
      <c r="D25" s="14">
        <v>107</v>
      </c>
      <c r="E25" s="14">
        <v>99.25</v>
      </c>
      <c r="F25" s="14">
        <v>99.25</v>
      </c>
      <c r="G25" s="14">
        <v>25.5</v>
      </c>
      <c r="H25" s="14"/>
      <c r="I25" s="14"/>
      <c r="J25" s="14"/>
      <c r="K25" s="14"/>
      <c r="L25" s="14"/>
      <c r="M25" s="14"/>
      <c r="N25" s="14"/>
      <c r="O25" s="14">
        <f>SUM(Table22320[[#This Row],[Cut Length1]:[Cut Length11]])</f>
        <v>331</v>
      </c>
      <c r="P25" s="47">
        <f t="shared" si="1"/>
        <v>1</v>
      </c>
    </row>
    <row r="26" spans="1:16" x14ac:dyDescent="0.3">
      <c r="A26" s="12" t="s">
        <v>1</v>
      </c>
      <c r="B26" s="13" t="s">
        <v>0</v>
      </c>
      <c r="C26" s="14">
        <v>340</v>
      </c>
      <c r="D26" s="14">
        <v>24.75</v>
      </c>
      <c r="E26" s="14">
        <v>24.75</v>
      </c>
      <c r="F26" s="14">
        <v>24.75</v>
      </c>
      <c r="G26" s="14"/>
      <c r="H26" s="14">
        <v>25.5</v>
      </c>
      <c r="I26" s="14">
        <v>35.25</v>
      </c>
      <c r="J26" s="14">
        <v>55.875</v>
      </c>
      <c r="K26" s="14">
        <v>145.5</v>
      </c>
      <c r="L26" s="14"/>
      <c r="M26" s="14"/>
      <c r="N26" s="14"/>
      <c r="O26" s="14">
        <f>SUM(Table22320[[#This Row],[Cut Length1]:[Cut Length11]])</f>
        <v>336.375</v>
      </c>
      <c r="P26" s="15">
        <f t="shared" si="1"/>
        <v>3.625</v>
      </c>
    </row>
    <row r="27" spans="1:16" x14ac:dyDescent="0.3">
      <c r="A27" s="16"/>
      <c r="B27" s="17"/>
      <c r="C27" s="16"/>
      <c r="D27" s="16"/>
      <c r="E27" s="16"/>
      <c r="F27" s="16"/>
      <c r="G27" s="16"/>
      <c r="H27" s="16"/>
      <c r="I27" s="16"/>
      <c r="J27" s="16"/>
      <c r="K27" s="16"/>
      <c r="L27" s="16"/>
      <c r="M27" s="16"/>
    </row>
    <row r="28" spans="1:16" x14ac:dyDescent="0.3">
      <c r="A28" s="16"/>
      <c r="B28" s="17"/>
      <c r="C28" s="16">
        <f>SUM(Table22320[Purchase Length])</f>
        <v>3056</v>
      </c>
      <c r="D28" s="16"/>
      <c r="E28" s="16"/>
      <c r="F28" s="16"/>
      <c r="G28" s="16"/>
      <c r="H28" s="16"/>
      <c r="I28" s="16"/>
      <c r="J28" s="16"/>
      <c r="K28" s="16"/>
      <c r="L28" s="16">
        <f>SUM(Table22320[Total Cut Length])</f>
        <v>3034.875</v>
      </c>
      <c r="M28" s="16">
        <f>SUM(Table22320[Total Waste])</f>
        <v>21.125</v>
      </c>
    </row>
    <row r="29" spans="1:16" x14ac:dyDescent="0.3">
      <c r="A29" s="16"/>
      <c r="B29" s="17"/>
      <c r="C29" s="16"/>
      <c r="D29" s="16"/>
      <c r="E29" s="16"/>
      <c r="F29" s="16"/>
      <c r="G29" s="16"/>
      <c r="H29" s="16"/>
      <c r="I29" s="16"/>
      <c r="J29" s="16"/>
      <c r="K29" s="16"/>
      <c r="L29" s="16"/>
      <c r="M29" s="18">
        <f>M28/C28</f>
        <v>6.9126308900523559E-3</v>
      </c>
    </row>
    <row r="32" spans="1:16" x14ac:dyDescent="0.3">
      <c r="A32" t="s">
        <v>33</v>
      </c>
      <c r="D32" t="s">
        <v>20</v>
      </c>
      <c r="E32" t="s">
        <v>16</v>
      </c>
      <c r="F32" t="s">
        <v>5</v>
      </c>
      <c r="G32" t="s">
        <v>4</v>
      </c>
    </row>
    <row r="33" spans="1:18" x14ac:dyDescent="0.3">
      <c r="D33" t="str" cm="1">
        <f t="array" ref="D33:D34">_xlfn.UNIQUE(Table22320[Item Description])</f>
        <v>W18x50</v>
      </c>
      <c r="E33" t="str" cm="1">
        <f t="array" ref="E33:E34">_xlfn.UNIQUE(Table22320[Raw Material])</f>
        <v>804-15017</v>
      </c>
      <c r="F33">
        <f>ROUNDUP(SUMIF(Table22320[Raw Material],E33,Table22320[Total Cut Length])/12,0)</f>
        <v>137</v>
      </c>
      <c r="G33">
        <f>ROUNDUP(SUMIF(Table22320[Raw Material],E33,Table22320[Total Waste])/12,0)</f>
        <v>1</v>
      </c>
      <c r="L33" t="s">
        <v>3</v>
      </c>
      <c r="M33">
        <v>780</v>
      </c>
      <c r="N33">
        <f>COUNTIFS(Table22320[Item Description],L33,Table22320[Purchase Length],M33)</f>
        <v>0</v>
      </c>
      <c r="O33">
        <f>N33*$D$40</f>
        <v>0</v>
      </c>
    </row>
    <row r="34" spans="1:18" x14ac:dyDescent="0.3">
      <c r="D34" t="str">
        <v>W10x17</v>
      </c>
      <c r="E34" t="str">
        <v>804-15022</v>
      </c>
      <c r="F34">
        <f>ROUNDUP(SUMIF(Table22320[Raw Material],E34,Table22320[Total Cut Length])/12,0)</f>
        <v>117</v>
      </c>
      <c r="G34">
        <f>ROUNDUP(SUMIF(Table22320[Raw Material],E34,Table22320[Total Waste])/12,0)</f>
        <v>1</v>
      </c>
      <c r="L34" t="s">
        <v>3</v>
      </c>
      <c r="M34">
        <v>720</v>
      </c>
      <c r="N34">
        <f>COUNTIFS(Table22320[Item Description],L34,Table22320[Purchase Length],M34)</f>
        <v>0</v>
      </c>
      <c r="O34">
        <f t="shared" ref="O34:O43" si="2">N34*$D$40</f>
        <v>0</v>
      </c>
    </row>
    <row r="35" spans="1:18" x14ac:dyDescent="0.3">
      <c r="L35" t="s">
        <v>3</v>
      </c>
      <c r="M35">
        <v>690</v>
      </c>
      <c r="N35">
        <f>COUNTIFS(Table22320[Item Description],L35,Table22320[Purchase Length],M35)</f>
        <v>0</v>
      </c>
      <c r="O35">
        <f t="shared" si="2"/>
        <v>0</v>
      </c>
    </row>
    <row r="36" spans="1:18" x14ac:dyDescent="0.3">
      <c r="D36" t="s">
        <v>37</v>
      </c>
      <c r="E36" t="s">
        <v>42</v>
      </c>
      <c r="F36" s="23" t="s">
        <v>43</v>
      </c>
      <c r="L36" t="s">
        <v>3</v>
      </c>
      <c r="M36">
        <v>612</v>
      </c>
      <c r="N36">
        <f>COUNTIFS(Table22320[Item Description],L36,Table22320[Purchase Length],M36)</f>
        <v>0</v>
      </c>
      <c r="O36">
        <f t="shared" si="2"/>
        <v>0</v>
      </c>
    </row>
    <row r="37" spans="1:18" x14ac:dyDescent="0.3">
      <c r="B37" s="53" t="s">
        <v>36</v>
      </c>
      <c r="C37" s="53"/>
      <c r="D37" s="21">
        <f>(SUM(C3:C5)-SUM(C21:C23))/12</f>
        <v>42.333333333333336</v>
      </c>
      <c r="E37" s="21">
        <f>(SUM(C6:C8)-SUM(C24:C26))/12</f>
        <v>33</v>
      </c>
      <c r="F37" s="23"/>
      <c r="L37" t="s">
        <v>3</v>
      </c>
      <c r="M37">
        <v>600</v>
      </c>
      <c r="N37">
        <f>COUNTIFS(Table22320[Item Description],L37,Table22320[Purchase Length],M37)</f>
        <v>0</v>
      </c>
      <c r="O37">
        <f t="shared" si="2"/>
        <v>0</v>
      </c>
    </row>
    <row r="38" spans="1:18" x14ac:dyDescent="0.3">
      <c r="C38" t="s">
        <v>38</v>
      </c>
      <c r="D38" s="20">
        <v>40.520000000000003</v>
      </c>
      <c r="E38" s="20">
        <v>13.49</v>
      </c>
      <c r="F38" s="23"/>
      <c r="L38" t="s">
        <v>3</v>
      </c>
      <c r="M38">
        <v>460</v>
      </c>
      <c r="N38">
        <f>COUNTIFS(Table22320[Item Description],L38,Table22320[Purchase Length],M38)</f>
        <v>0</v>
      </c>
      <c r="O38">
        <f t="shared" si="2"/>
        <v>0</v>
      </c>
    </row>
    <row r="39" spans="1:18" x14ac:dyDescent="0.3">
      <c r="C39" t="s">
        <v>41</v>
      </c>
      <c r="D39" s="20">
        <f>D37*D38</f>
        <v>1715.3466666666668</v>
      </c>
      <c r="E39" s="20">
        <f>E37*E38</f>
        <v>445.17</v>
      </c>
      <c r="F39" s="24">
        <f>D39+E39</f>
        <v>2160.5166666666669</v>
      </c>
      <c r="L39" t="s">
        <v>19</v>
      </c>
      <c r="M39">
        <v>564</v>
      </c>
      <c r="N39">
        <f>COUNTIFS(Table22320[Item Description],L39,Table22320[Purchase Length],M39)</f>
        <v>0</v>
      </c>
      <c r="O39">
        <f t="shared" si="2"/>
        <v>0</v>
      </c>
    </row>
    <row r="40" spans="1:18" x14ac:dyDescent="0.3">
      <c r="C40" t="s">
        <v>39</v>
      </c>
      <c r="D40">
        <f>Summary!D12</f>
        <v>40</v>
      </c>
      <c r="E40">
        <f>Summary!D12</f>
        <v>40</v>
      </c>
      <c r="F40" s="23"/>
      <c r="L40" t="s">
        <v>19</v>
      </c>
      <c r="M40">
        <v>420</v>
      </c>
      <c r="N40">
        <f>COUNTIFS(Table22320[Item Description],L40,Table22320[Purchase Length],M40)</f>
        <v>0</v>
      </c>
      <c r="O40">
        <f t="shared" si="2"/>
        <v>0</v>
      </c>
    </row>
    <row r="41" spans="1:18" x14ac:dyDescent="0.3">
      <c r="C41" t="s">
        <v>40</v>
      </c>
      <c r="D41" s="20">
        <f>D40*D39</f>
        <v>68613.866666666669</v>
      </c>
      <c r="E41" s="20">
        <f>E40*E39</f>
        <v>17806.8</v>
      </c>
      <c r="F41" s="24">
        <f>D41+E41</f>
        <v>86420.666666666672</v>
      </c>
      <c r="L41" t="s">
        <v>1</v>
      </c>
      <c r="M41">
        <v>612</v>
      </c>
      <c r="N41">
        <f>COUNTIFS(Table22320[Item Description],L41,Table22320[Purchase Length],M41)</f>
        <v>0</v>
      </c>
      <c r="O41">
        <f t="shared" si="2"/>
        <v>0</v>
      </c>
    </row>
    <row r="42" spans="1:18" x14ac:dyDescent="0.3">
      <c r="L42" t="s">
        <v>1</v>
      </c>
      <c r="M42">
        <v>600</v>
      </c>
      <c r="N42">
        <f>COUNTIFS(Table22320[Item Description],L42,Table22320[Purchase Length],M42)</f>
        <v>0</v>
      </c>
      <c r="O42">
        <f t="shared" si="2"/>
        <v>0</v>
      </c>
    </row>
    <row r="43" spans="1:18" x14ac:dyDescent="0.3">
      <c r="L43" t="s">
        <v>1</v>
      </c>
      <c r="M43">
        <v>460</v>
      </c>
      <c r="N43">
        <f>COUNTIFS(Table22320[Item Description],L43,Table22320[Purchase Length],M43)</f>
        <v>0</v>
      </c>
      <c r="O43">
        <f t="shared" si="2"/>
        <v>0</v>
      </c>
    </row>
    <row r="46" spans="1:18" x14ac:dyDescent="0.3">
      <c r="A46" s="52" t="s">
        <v>35</v>
      </c>
      <c r="B46" s="52"/>
      <c r="C46" s="52"/>
      <c r="D46" s="52"/>
      <c r="E46" s="52"/>
      <c r="F46" s="52"/>
      <c r="G46" s="52"/>
      <c r="H46" s="52"/>
      <c r="I46" s="52"/>
      <c r="J46" s="52"/>
      <c r="K46" s="52"/>
      <c r="L46" s="52"/>
      <c r="M46" s="52"/>
      <c r="Q46" s="51" t="s">
        <v>64</v>
      </c>
      <c r="R46" s="51"/>
    </row>
    <row r="47" spans="1:18" ht="57.6" x14ac:dyDescent="0.3">
      <c r="A47" s="8" t="s">
        <v>17</v>
      </c>
      <c r="B47" s="9" t="s">
        <v>16</v>
      </c>
      <c r="C47" s="10" t="s">
        <v>15</v>
      </c>
      <c r="D47" s="10" t="s">
        <v>14</v>
      </c>
      <c r="E47" s="10" t="s">
        <v>13</v>
      </c>
      <c r="F47" s="10" t="s">
        <v>12</v>
      </c>
      <c r="G47" s="10" t="s">
        <v>11</v>
      </c>
      <c r="H47" s="10" t="s">
        <v>10</v>
      </c>
      <c r="I47" s="10" t="s">
        <v>9</v>
      </c>
      <c r="J47" s="10" t="s">
        <v>8</v>
      </c>
      <c r="K47" s="10" t="s">
        <v>7</v>
      </c>
      <c r="L47" s="10" t="s">
        <v>6</v>
      </c>
      <c r="M47" s="10" t="s">
        <v>55</v>
      </c>
      <c r="N47" s="10" t="s">
        <v>56</v>
      </c>
      <c r="O47" s="10" t="s">
        <v>5</v>
      </c>
      <c r="P47" s="11" t="s">
        <v>4</v>
      </c>
      <c r="Q47" s="43" t="s">
        <v>62</v>
      </c>
      <c r="R47" s="41" t="s">
        <v>63</v>
      </c>
    </row>
    <row r="48" spans="1:18" x14ac:dyDescent="0.3">
      <c r="A48" s="12" t="s">
        <v>3</v>
      </c>
      <c r="B48" s="13" t="s">
        <v>2</v>
      </c>
      <c r="C48" s="14">
        <v>424</v>
      </c>
      <c r="D48" s="14">
        <v>419.5</v>
      </c>
      <c r="E48" s="14"/>
      <c r="F48" s="14"/>
      <c r="G48" s="14"/>
      <c r="H48" s="14"/>
      <c r="I48" s="14"/>
      <c r="J48" s="14"/>
      <c r="K48" s="14"/>
      <c r="L48" s="14"/>
      <c r="M48" s="14"/>
      <c r="N48" s="14"/>
      <c r="O48" s="14">
        <f>SUM(Table223203435[[#This Row],[Cut Length1]:[Cut Length11]])</f>
        <v>419.5</v>
      </c>
      <c r="P48" s="15">
        <f t="shared" ref="P48:P53" si="3">C48-O48</f>
        <v>4.5</v>
      </c>
      <c r="Q48">
        <f>(COUNTA(Table223203435[[#This Row],[Cut Length1]:[Cut Length11]])-1)*0.1875+2</f>
        <v>2</v>
      </c>
      <c r="R48">
        <f>Table223203435[[#This Row],[Total Waste]]-Q48</f>
        <v>2.5</v>
      </c>
    </row>
    <row r="49" spans="1:18" x14ac:dyDescent="0.3">
      <c r="A49" s="12" t="s">
        <v>3</v>
      </c>
      <c r="B49" s="13" t="s">
        <v>2</v>
      </c>
      <c r="C49" s="14">
        <v>424</v>
      </c>
      <c r="D49" s="14">
        <v>419.5</v>
      </c>
      <c r="E49" s="14"/>
      <c r="F49" s="14"/>
      <c r="G49" s="14"/>
      <c r="H49" s="14"/>
      <c r="I49" s="14"/>
      <c r="J49" s="14"/>
      <c r="K49" s="14"/>
      <c r="L49" s="14"/>
      <c r="M49" s="14"/>
      <c r="N49" s="14"/>
      <c r="O49" s="14">
        <f>SUM(Table223203435[[#This Row],[Cut Length1]:[Cut Length11]])</f>
        <v>419.5</v>
      </c>
      <c r="P49" s="15">
        <f t="shared" si="3"/>
        <v>4.5</v>
      </c>
      <c r="Q49">
        <f>(COUNTA(Table223203435[[#This Row],[Cut Length1]:[Cut Length11]])-1)*0.1875+2</f>
        <v>2</v>
      </c>
      <c r="R49">
        <f>Table223203435[[#This Row],[Total Waste]]-Q49</f>
        <v>2.5</v>
      </c>
    </row>
    <row r="50" spans="1:18" x14ac:dyDescent="0.3">
      <c r="A50" s="12" t="s">
        <v>3</v>
      </c>
      <c r="B50" s="13" t="s">
        <v>2</v>
      </c>
      <c r="C50" s="14">
        <v>804</v>
      </c>
      <c r="D50" s="14">
        <v>145.5</v>
      </c>
      <c r="E50" s="14">
        <v>145.5</v>
      </c>
      <c r="F50" s="14">
        <v>145.5</v>
      </c>
      <c r="G50" s="14">
        <v>145.5</v>
      </c>
      <c r="H50" s="14">
        <v>145.5</v>
      </c>
      <c r="I50" s="14">
        <v>73.5</v>
      </c>
      <c r="J50" s="14"/>
      <c r="K50" s="14"/>
      <c r="L50" s="14"/>
      <c r="M50" s="14"/>
      <c r="N50" s="14"/>
      <c r="O50" s="14">
        <f>SUM(Table223203435[[#This Row],[Cut Length1]:[Cut Length11]])</f>
        <v>801</v>
      </c>
      <c r="P50" s="15">
        <f t="shared" si="3"/>
        <v>3</v>
      </c>
      <c r="Q50">
        <f>(COUNTA(Table223203435[[#This Row],[Cut Length1]:[Cut Length11]])-1)*0.1875+2</f>
        <v>2.9375</v>
      </c>
      <c r="R50">
        <f>Table223203435[[#This Row],[Total Waste]]-Q50</f>
        <v>6.25E-2</v>
      </c>
    </row>
    <row r="51" spans="1:18" x14ac:dyDescent="0.3">
      <c r="A51" s="12" t="s">
        <v>1</v>
      </c>
      <c r="B51" s="13" t="s">
        <v>0</v>
      </c>
      <c r="C51" s="33">
        <v>764</v>
      </c>
      <c r="D51" s="14">
        <v>145.5</v>
      </c>
      <c r="E51" s="14">
        <v>145.5</v>
      </c>
      <c r="F51" s="14">
        <v>145.5</v>
      </c>
      <c r="G51" s="14">
        <v>145.5</v>
      </c>
      <c r="H51" s="14">
        <v>145.5</v>
      </c>
      <c r="I51" s="33">
        <v>25.5</v>
      </c>
      <c r="J51" s="14"/>
      <c r="K51" s="14"/>
      <c r="L51" s="14"/>
      <c r="M51" s="14"/>
      <c r="N51" s="14"/>
      <c r="O51" s="14">
        <f>SUM(Table223203435[[#This Row],[Cut Length1]:[Cut Length11]])</f>
        <v>753</v>
      </c>
      <c r="P51" s="15">
        <f t="shared" si="3"/>
        <v>11</v>
      </c>
      <c r="Q51">
        <f>(COUNTA(Table223203435[[#This Row],[Cut Length1]:[Cut Length11]])-1)*0.1875+2</f>
        <v>2.9375</v>
      </c>
      <c r="R51">
        <f>Table223203435[[#This Row],[Total Waste]]-Q51</f>
        <v>8.0625</v>
      </c>
    </row>
    <row r="52" spans="1:18" x14ac:dyDescent="0.3">
      <c r="A52" s="12" t="s">
        <v>1</v>
      </c>
      <c r="B52" s="13" t="s">
        <v>0</v>
      </c>
      <c r="C52" s="33">
        <v>308</v>
      </c>
      <c r="D52" s="14">
        <v>107</v>
      </c>
      <c r="E52" s="14">
        <v>99.25</v>
      </c>
      <c r="F52" s="14">
        <v>99.25</v>
      </c>
      <c r="G52" s="14"/>
      <c r="H52" s="14"/>
      <c r="I52" s="14"/>
      <c r="J52" s="14"/>
      <c r="K52" s="14"/>
      <c r="L52" s="14"/>
      <c r="M52" s="14"/>
      <c r="N52" s="14"/>
      <c r="O52" s="14">
        <f>SUM(Table223203435[[#This Row],[Cut Length1]:[Cut Length11]])</f>
        <v>305.5</v>
      </c>
      <c r="P52" s="15">
        <f t="shared" si="3"/>
        <v>2.5</v>
      </c>
      <c r="Q52">
        <f>(COUNTA(Table223203435[[#This Row],[Cut Length1]:[Cut Length11]])-1)*0.1875+2</f>
        <v>2.375</v>
      </c>
      <c r="R52">
        <f>Table223203435[[#This Row],[Total Waste]]-Q52</f>
        <v>0.125</v>
      </c>
    </row>
    <row r="53" spans="1:18" x14ac:dyDescent="0.3">
      <c r="A53" s="12" t="s">
        <v>1</v>
      </c>
      <c r="B53" s="13" t="s">
        <v>0</v>
      </c>
      <c r="C53" s="14">
        <v>340</v>
      </c>
      <c r="D53" s="14">
        <v>24.75</v>
      </c>
      <c r="E53" s="14">
        <v>24.75</v>
      </c>
      <c r="F53" s="14">
        <v>24.75</v>
      </c>
      <c r="G53" s="14">
        <v>25.5</v>
      </c>
      <c r="H53" s="32">
        <v>35.25</v>
      </c>
      <c r="I53" s="32">
        <v>55.875</v>
      </c>
      <c r="J53" s="32">
        <v>145.5</v>
      </c>
      <c r="K53" s="32"/>
      <c r="L53" s="14"/>
      <c r="M53" s="14"/>
      <c r="N53" s="14"/>
      <c r="O53" s="14">
        <f>SUM(Table223203435[[#This Row],[Cut Length1]:[Cut Length11]])</f>
        <v>336.375</v>
      </c>
      <c r="P53" s="15">
        <f t="shared" si="3"/>
        <v>3.625</v>
      </c>
      <c r="Q53">
        <f>(COUNTA(Table223203435[[#This Row],[Cut Length1]:[Cut Length11]])-1)*0.1875+2</f>
        <v>3.125</v>
      </c>
      <c r="R53">
        <f>Table223203435[[#This Row],[Total Waste]]-Q53</f>
        <v>0.5</v>
      </c>
    </row>
    <row r="54" spans="1:18" x14ac:dyDescent="0.3">
      <c r="A54" s="16"/>
      <c r="B54" s="17"/>
      <c r="C54" s="16"/>
      <c r="D54" s="16"/>
      <c r="E54" s="16"/>
      <c r="F54" s="16"/>
      <c r="G54" s="16"/>
      <c r="H54" s="16"/>
      <c r="I54" s="16"/>
      <c r="J54" s="16"/>
      <c r="K54" s="16"/>
      <c r="L54" s="16"/>
      <c r="M54" s="16"/>
    </row>
    <row r="55" spans="1:18" x14ac:dyDescent="0.3">
      <c r="A55" s="16"/>
      <c r="B55" s="17"/>
      <c r="C55" s="16">
        <f>SUM(Table223203435[Purchase Length])</f>
        <v>3064</v>
      </c>
      <c r="D55" s="16"/>
      <c r="E55" s="16"/>
      <c r="F55" s="16"/>
      <c r="G55" s="16"/>
      <c r="H55" s="16"/>
      <c r="I55" s="16"/>
      <c r="J55" s="16"/>
      <c r="K55" s="16"/>
      <c r="L55" s="16">
        <f>SUM(Table223203435[Total Cut Length])</f>
        <v>3034.875</v>
      </c>
      <c r="M55" s="16">
        <f>SUM(Table223203435[Total Waste])</f>
        <v>29.125</v>
      </c>
    </row>
    <row r="56" spans="1:18" x14ac:dyDescent="0.3">
      <c r="A56" s="16"/>
      <c r="B56" s="17"/>
      <c r="C56" s="16"/>
      <c r="D56" s="16"/>
      <c r="E56" s="16"/>
      <c r="F56" s="16"/>
      <c r="G56" s="16"/>
      <c r="H56" s="16"/>
      <c r="I56" s="16"/>
      <c r="J56" s="16"/>
      <c r="K56" s="16"/>
      <c r="L56" s="16"/>
      <c r="M56" s="18">
        <f>M55/C55</f>
        <v>9.5055483028720633E-3</v>
      </c>
    </row>
    <row r="58" spans="1:18" ht="14.4" customHeight="1" x14ac:dyDescent="0.3">
      <c r="C58" s="49" t="s">
        <v>65</v>
      </c>
      <c r="D58" s="50"/>
      <c r="E58" s="50"/>
      <c r="F58" s="50"/>
      <c r="G58" s="50"/>
      <c r="H58" s="50"/>
      <c r="I58" s="50"/>
      <c r="J58" s="50"/>
    </row>
    <row r="59" spans="1:18" x14ac:dyDescent="0.3">
      <c r="C59" s="50"/>
      <c r="D59" s="50"/>
      <c r="E59" s="50"/>
      <c r="F59" s="50"/>
      <c r="G59" s="50"/>
      <c r="H59" s="50"/>
      <c r="I59" s="50"/>
      <c r="J59" s="50"/>
    </row>
    <row r="60" spans="1:18" x14ac:dyDescent="0.3">
      <c r="C60" s="50"/>
      <c r="D60" s="50"/>
      <c r="E60" s="50"/>
      <c r="F60" s="50"/>
      <c r="G60" s="50"/>
      <c r="H60" s="50"/>
      <c r="I60" s="50"/>
      <c r="J60" s="50"/>
    </row>
    <row r="61" spans="1:18" x14ac:dyDescent="0.3">
      <c r="C61" s="50"/>
      <c r="D61" s="50"/>
      <c r="E61" s="50"/>
      <c r="F61" s="50"/>
      <c r="G61" s="50"/>
      <c r="H61" s="50"/>
      <c r="I61" s="50"/>
      <c r="J61" s="50"/>
    </row>
    <row r="62" spans="1:18" x14ac:dyDescent="0.3">
      <c r="C62" s="50"/>
      <c r="D62" s="50"/>
      <c r="E62" s="50"/>
      <c r="F62" s="50"/>
      <c r="G62" s="50"/>
      <c r="H62" s="50"/>
      <c r="I62" s="50"/>
      <c r="J62" s="50"/>
    </row>
  </sheetData>
  <mergeCells count="6">
    <mergeCell ref="C58:J62"/>
    <mergeCell ref="Q46:R46"/>
    <mergeCell ref="A1:M1"/>
    <mergeCell ref="A19:M19"/>
    <mergeCell ref="B37:C37"/>
    <mergeCell ref="A46:M46"/>
  </mergeCells>
  <phoneticPr fontId="4" type="noConversion"/>
  <pageMargins left="0.7" right="0.7" top="0.75" bottom="0.75" header="0.3" footer="0.3"/>
  <pageSetup paperSize="3" orientation="landscape" horizontalDpi="1200" verticalDpi="1200"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465D5-D134-40B7-9D6A-B121C6400558}">
  <sheetPr>
    <pageSetUpPr fitToPage="1"/>
  </sheetPr>
  <dimension ref="A1:P65"/>
  <sheetViews>
    <sheetView topLeftCell="A37" workbookViewId="0">
      <selection activeCell="L54" sqref="L54"/>
    </sheetView>
  </sheetViews>
  <sheetFormatPr defaultRowHeight="14.4" x14ac:dyDescent="0.3"/>
  <cols>
    <col min="1" max="1" width="14.44140625" customWidth="1"/>
    <col min="2" max="2" width="15" bestFit="1" customWidth="1"/>
    <col min="3" max="3" width="12.44140625" customWidth="1"/>
    <col min="4" max="7" width="13.6640625" bestFit="1" customWidth="1"/>
    <col min="8" max="8" width="17.6640625" bestFit="1" customWidth="1"/>
    <col min="9" max="9" width="13.88671875" bestFit="1" customWidth="1"/>
    <col min="14" max="14" width="13.44140625" customWidth="1"/>
    <col min="15" max="15" width="17.21875" customWidth="1"/>
  </cols>
  <sheetData>
    <row r="1" spans="1:9" x14ac:dyDescent="0.3">
      <c r="A1" s="52" t="s">
        <v>34</v>
      </c>
      <c r="B1" s="52"/>
      <c r="C1" s="52"/>
      <c r="D1" s="52"/>
      <c r="E1" s="52"/>
      <c r="F1" s="52"/>
      <c r="G1" s="52"/>
      <c r="H1" s="52"/>
      <c r="I1" s="52"/>
    </row>
    <row r="2" spans="1:9" x14ac:dyDescent="0.3">
      <c r="A2" t="s">
        <v>17</v>
      </c>
      <c r="B2" t="s">
        <v>16</v>
      </c>
      <c r="C2" t="s">
        <v>15</v>
      </c>
      <c r="D2" t="s">
        <v>14</v>
      </c>
      <c r="E2" t="s">
        <v>13</v>
      </c>
      <c r="F2" t="s">
        <v>12</v>
      </c>
      <c r="G2" t="s">
        <v>11</v>
      </c>
      <c r="H2" t="s">
        <v>5</v>
      </c>
      <c r="I2" t="s">
        <v>4</v>
      </c>
    </row>
    <row r="3" spans="1:9" x14ac:dyDescent="0.3">
      <c r="A3" t="s">
        <v>3</v>
      </c>
      <c r="B3" t="s">
        <v>2</v>
      </c>
      <c r="C3">
        <v>720</v>
      </c>
      <c r="D3">
        <v>563.75</v>
      </c>
      <c r="E3">
        <v>145.5</v>
      </c>
      <c r="H3">
        <f>SUM(Table218[[#This Row],[Cut Length1]:[Cut Length4]])</f>
        <v>709.25</v>
      </c>
      <c r="I3">
        <f>Table218[[#This Row],[Purchase Length]]-Table218[[#This Row],[Total Cut Length]]</f>
        <v>10.75</v>
      </c>
    </row>
    <row r="4" spans="1:9" x14ac:dyDescent="0.3">
      <c r="A4" t="s">
        <v>3</v>
      </c>
      <c r="B4" t="s">
        <v>2</v>
      </c>
      <c r="C4">
        <v>720</v>
      </c>
      <c r="D4">
        <v>563.75</v>
      </c>
      <c r="E4">
        <v>145.5</v>
      </c>
      <c r="H4">
        <f>SUM(Table218[[#This Row],[Cut Length1]:[Cut Length4]])</f>
        <v>709.25</v>
      </c>
      <c r="I4">
        <f>Table218[[#This Row],[Purchase Length]]-Table218[[#This Row],[Total Cut Length]]</f>
        <v>10.75</v>
      </c>
    </row>
    <row r="5" spans="1:9" x14ac:dyDescent="0.3">
      <c r="A5" t="s">
        <v>3</v>
      </c>
      <c r="B5" t="s">
        <v>2</v>
      </c>
      <c r="C5">
        <v>720</v>
      </c>
      <c r="D5">
        <v>145.5</v>
      </c>
      <c r="E5">
        <v>145.5</v>
      </c>
      <c r="F5">
        <v>145.5</v>
      </c>
      <c r="H5">
        <f>SUM(Table218[[#This Row],[Cut Length1]:[Cut Length4]])</f>
        <v>436.5</v>
      </c>
      <c r="I5">
        <f>Table218[[#This Row],[Purchase Length]]-Table218[[#This Row],[Total Cut Length]]</f>
        <v>283.5</v>
      </c>
    </row>
    <row r="6" spans="1:9" x14ac:dyDescent="0.3">
      <c r="A6" t="s">
        <v>1</v>
      </c>
      <c r="B6" t="s">
        <v>0</v>
      </c>
      <c r="C6">
        <v>600</v>
      </c>
      <c r="D6" s="27">
        <v>145.5</v>
      </c>
      <c r="E6" s="27">
        <v>145.5</v>
      </c>
      <c r="F6" s="27">
        <v>145.5</v>
      </c>
      <c r="G6" s="27">
        <v>145.5</v>
      </c>
      <c r="H6">
        <f>SUM(Table218[[#This Row],[Cut Length1]:[Cut Length4]])</f>
        <v>582</v>
      </c>
      <c r="I6">
        <f>Table218[[#This Row],[Purchase Length]]-Table218[[#This Row],[Total Cut Length]]</f>
        <v>18</v>
      </c>
    </row>
    <row r="7" spans="1:9" x14ac:dyDescent="0.3">
      <c r="A7" t="s">
        <v>1</v>
      </c>
      <c r="B7" t="s">
        <v>0</v>
      </c>
      <c r="C7">
        <v>600</v>
      </c>
      <c r="D7" s="27">
        <v>118.25</v>
      </c>
      <c r="E7" s="27">
        <v>35.25</v>
      </c>
      <c r="F7" s="26">
        <v>27.375</v>
      </c>
      <c r="G7" s="27"/>
      <c r="H7">
        <f>SUM(Table218[[#This Row],[Cut Length1]:[Cut Length4]])</f>
        <v>180.875</v>
      </c>
      <c r="I7">
        <f>Table218[[#This Row],[Purchase Length]]-Table218[[#This Row],[Total Cut Length]]</f>
        <v>419.125</v>
      </c>
    </row>
    <row r="9" spans="1:9" x14ac:dyDescent="0.3">
      <c r="C9">
        <f>SUM(Table218[Purchase Length])</f>
        <v>3360</v>
      </c>
      <c r="H9">
        <f>SUM(Table218[Total Cut Length])</f>
        <v>2617.875</v>
      </c>
      <c r="I9">
        <f>SUM(Table218[Total Waste])</f>
        <v>742.125</v>
      </c>
    </row>
    <row r="10" spans="1:9" x14ac:dyDescent="0.3">
      <c r="I10" s="1">
        <f>I9/C9</f>
        <v>0.22087053571428572</v>
      </c>
    </row>
    <row r="13" spans="1:9" x14ac:dyDescent="0.3">
      <c r="A13" t="s">
        <v>24</v>
      </c>
    </row>
    <row r="14" spans="1:9" x14ac:dyDescent="0.3">
      <c r="A14" t="s">
        <v>25</v>
      </c>
      <c r="D14" t="s">
        <v>20</v>
      </c>
      <c r="E14" t="s">
        <v>16</v>
      </c>
      <c r="F14" t="s">
        <v>5</v>
      </c>
      <c r="G14" t="s">
        <v>4</v>
      </c>
    </row>
    <row r="15" spans="1:9" x14ac:dyDescent="0.3">
      <c r="D15" t="str" cm="1">
        <f t="array" ref="D15:D16">_xlfn.UNIQUE(Table218[Item Description])</f>
        <v>W18x50</v>
      </c>
      <c r="E15" t="str" cm="1">
        <f t="array" ref="E15:E16">_xlfn.UNIQUE(Table218[Raw Material])</f>
        <v>804-15017</v>
      </c>
      <c r="F15">
        <f>ROUNDUP(SUMIF(Table218[Raw Material],E15,Table218[Total Cut Length])/12,0)</f>
        <v>155</v>
      </c>
      <c r="G15">
        <f>ROUNDUP(SUMIF(Table218[Raw Material],E15,Table218[Total Waste])/12,0)</f>
        <v>26</v>
      </c>
    </row>
    <row r="16" spans="1:9" x14ac:dyDescent="0.3">
      <c r="D16" t="str">
        <v>W10x17</v>
      </c>
      <c r="E16" t="str">
        <v>804-15022</v>
      </c>
      <c r="F16">
        <f>ROUNDUP(SUMIF(Table218[Raw Material],E16,Table218[Total Cut Length])/12,0)</f>
        <v>64</v>
      </c>
      <c r="G16">
        <f>ROUNDUP(SUMIF(Table218[Raw Material],E16,Table218[Total Waste])/12,0)</f>
        <v>37</v>
      </c>
    </row>
    <row r="19" spans="1:16" x14ac:dyDescent="0.3">
      <c r="A19" s="52" t="s">
        <v>35</v>
      </c>
      <c r="B19" s="52"/>
      <c r="C19" s="52"/>
      <c r="D19" s="52"/>
      <c r="E19" s="52"/>
      <c r="F19" s="52"/>
      <c r="G19" s="52"/>
      <c r="H19" s="52"/>
      <c r="I19" s="52"/>
    </row>
    <row r="20" spans="1:16" x14ac:dyDescent="0.3">
      <c r="A20" t="s">
        <v>17</v>
      </c>
      <c r="B20" t="s">
        <v>16</v>
      </c>
      <c r="C20" t="s">
        <v>15</v>
      </c>
      <c r="D20" t="s">
        <v>14</v>
      </c>
      <c r="E20" t="s">
        <v>13</v>
      </c>
      <c r="F20" t="s">
        <v>12</v>
      </c>
      <c r="G20" t="s">
        <v>11</v>
      </c>
      <c r="H20" t="s">
        <v>10</v>
      </c>
      <c r="I20" t="s">
        <v>9</v>
      </c>
      <c r="J20" t="s">
        <v>8</v>
      </c>
      <c r="K20" t="s">
        <v>7</v>
      </c>
      <c r="L20" t="s">
        <v>5</v>
      </c>
      <c r="M20" t="s">
        <v>4</v>
      </c>
    </row>
    <row r="21" spans="1:16" x14ac:dyDescent="0.3">
      <c r="A21" t="s">
        <v>3</v>
      </c>
      <c r="B21" t="s">
        <v>2</v>
      </c>
      <c r="C21">
        <v>580</v>
      </c>
      <c r="D21">
        <v>563.75</v>
      </c>
      <c r="L21">
        <f>SUM(Table2187[[#This Row],[Cut Length1]:[Cut Length8]])</f>
        <v>563.75</v>
      </c>
      <c r="M21">
        <f>Table2187[[#This Row],[Purchase Length]]-Table2187[[#This Row],[Total Cut Length]]</f>
        <v>16.25</v>
      </c>
    </row>
    <row r="22" spans="1:16" x14ac:dyDescent="0.3">
      <c r="A22" t="s">
        <v>3</v>
      </c>
      <c r="B22" t="s">
        <v>2</v>
      </c>
      <c r="C22">
        <v>580</v>
      </c>
      <c r="D22">
        <v>563.75</v>
      </c>
      <c r="L22">
        <f>SUM(Table2187[[#This Row],[Cut Length1]:[Cut Length8]])</f>
        <v>563.75</v>
      </c>
      <c r="M22">
        <f>Table2187[[#This Row],[Purchase Length]]-Table2187[[#This Row],[Total Cut Length]]</f>
        <v>16.25</v>
      </c>
    </row>
    <row r="23" spans="1:16" x14ac:dyDescent="0.3">
      <c r="A23" t="s">
        <v>3</v>
      </c>
      <c r="B23" t="s">
        <v>2</v>
      </c>
      <c r="C23">
        <v>732</v>
      </c>
      <c r="D23">
        <v>145.5</v>
      </c>
      <c r="E23">
        <v>145.5</v>
      </c>
      <c r="F23">
        <v>145.5</v>
      </c>
      <c r="G23">
        <v>145.5</v>
      </c>
      <c r="H23">
        <v>145.5</v>
      </c>
      <c r="L23">
        <f>SUM(Table2187[[#This Row],[Cut Length1]:[Cut Length8]])</f>
        <v>727.5</v>
      </c>
      <c r="M23">
        <f>Table2187[[#This Row],[Purchase Length]]-Table2187[[#This Row],[Total Cut Length]]</f>
        <v>4.5</v>
      </c>
    </row>
    <row r="24" spans="1:16" x14ac:dyDescent="0.3">
      <c r="A24" t="s">
        <v>1</v>
      </c>
      <c r="B24" t="s">
        <v>0</v>
      </c>
      <c r="C24" s="28">
        <v>764</v>
      </c>
      <c r="D24">
        <v>145.5</v>
      </c>
      <c r="E24">
        <v>145.5</v>
      </c>
      <c r="F24">
        <v>145.5</v>
      </c>
      <c r="G24">
        <v>145.5</v>
      </c>
      <c r="H24">
        <v>118.25</v>
      </c>
      <c r="I24">
        <v>35.25</v>
      </c>
      <c r="J24">
        <v>27.375</v>
      </c>
      <c r="L24">
        <f>SUM(Table2187[[#This Row],[Cut Length1]:[Cut Length8]])</f>
        <v>762.875</v>
      </c>
      <c r="M24" s="19">
        <f>Table2187[[#This Row],[Purchase Length]]-Table2187[[#This Row],[Total Cut Length]]</f>
        <v>1.125</v>
      </c>
    </row>
    <row r="25" spans="1:16" x14ac:dyDescent="0.3">
      <c r="A25" t="s">
        <v>1</v>
      </c>
      <c r="B25" t="s">
        <v>0</v>
      </c>
      <c r="L25">
        <f>SUM(Table2187[[#This Row],[Cut Length1]:[Cut Length8]])</f>
        <v>0</v>
      </c>
      <c r="M25">
        <f>Table2187[[#This Row],[Purchase Length]]-Table2187[[#This Row],[Total Cut Length]]</f>
        <v>0</v>
      </c>
    </row>
    <row r="27" spans="1:16" x14ac:dyDescent="0.3">
      <c r="C27">
        <f>SUM(Table2187[Purchase Length])</f>
        <v>2656</v>
      </c>
      <c r="H27">
        <f>SUM(Table2187[Total Cut Length])</f>
        <v>2617.875</v>
      </c>
      <c r="I27">
        <f>SUM(Table2187[Total Waste])</f>
        <v>38.125</v>
      </c>
    </row>
    <row r="28" spans="1:16" x14ac:dyDescent="0.3">
      <c r="I28" s="1">
        <f>I27/C27</f>
        <v>1.4354292168674699E-2</v>
      </c>
    </row>
    <row r="30" spans="1:16" x14ac:dyDescent="0.3">
      <c r="M30" t="s">
        <v>3</v>
      </c>
      <c r="N30">
        <v>780</v>
      </c>
      <c r="O30">
        <f>COUNTIFS(Table2187[Item Description],M30,Table2187[Purchase Length],N30)</f>
        <v>0</v>
      </c>
      <c r="P30">
        <f>O30*$D$41</f>
        <v>0</v>
      </c>
    </row>
    <row r="31" spans="1:16" x14ac:dyDescent="0.3">
      <c r="A31" s="31" t="s">
        <v>24</v>
      </c>
      <c r="M31" t="s">
        <v>3</v>
      </c>
      <c r="N31">
        <v>720</v>
      </c>
      <c r="O31">
        <f>COUNTIFS(Table2187[Item Description],M31,Table2187[Purchase Length],N31)</f>
        <v>0</v>
      </c>
      <c r="P31">
        <f t="shared" ref="P31:P40" si="0">O31*$D$41</f>
        <v>0</v>
      </c>
    </row>
    <row r="32" spans="1:16" x14ac:dyDescent="0.3">
      <c r="A32" t="s">
        <v>25</v>
      </c>
      <c r="D32" t="s">
        <v>20</v>
      </c>
      <c r="E32" t="s">
        <v>16</v>
      </c>
      <c r="F32" t="s">
        <v>5</v>
      </c>
      <c r="G32" t="s">
        <v>4</v>
      </c>
      <c r="M32" t="s">
        <v>3</v>
      </c>
      <c r="N32">
        <v>690</v>
      </c>
      <c r="O32">
        <f>COUNTIFS(Table2187[Item Description],M32,Table2187[Purchase Length],N32)</f>
        <v>0</v>
      </c>
      <c r="P32">
        <f t="shared" si="0"/>
        <v>0</v>
      </c>
    </row>
    <row r="33" spans="1:16" x14ac:dyDescent="0.3">
      <c r="A33" s="31" t="s">
        <v>57</v>
      </c>
      <c r="D33" t="str" cm="1">
        <f t="array" ref="D33:D34">_xlfn.UNIQUE(Table2187[Item Description])</f>
        <v>W18x50</v>
      </c>
      <c r="E33" t="str" cm="1">
        <f t="array" ref="E33:E34">_xlfn.UNIQUE(Table2187[Raw Material])</f>
        <v>804-15017</v>
      </c>
      <c r="F33">
        <f>ROUNDUP(SUMIF(Table2187[Raw Material],E33,Table2187[Total Cut Length])/12,0)</f>
        <v>155</v>
      </c>
      <c r="G33">
        <f>ROUNDUP(SUMIF(Table2187[Raw Material],E33,Table2187[Total Waste])/12,0)</f>
        <v>4</v>
      </c>
      <c r="M33" t="s">
        <v>3</v>
      </c>
      <c r="N33">
        <v>612</v>
      </c>
      <c r="O33">
        <f>COUNTIFS(Table2187[Item Description],M33,Table2187[Purchase Length],N33)</f>
        <v>0</v>
      </c>
      <c r="P33">
        <f t="shared" si="0"/>
        <v>0</v>
      </c>
    </row>
    <row r="34" spans="1:16" x14ac:dyDescent="0.3">
      <c r="D34" t="str">
        <v>W10x17</v>
      </c>
      <c r="E34" t="str">
        <v>804-15022</v>
      </c>
      <c r="F34">
        <f>ROUNDUP(SUMIF(Table2187[Raw Material],E34,Table2187[Total Cut Length])/12,0)</f>
        <v>64</v>
      </c>
      <c r="G34">
        <f>ROUNDUP(SUMIF(Table2187[Raw Material],E34,Table2187[Total Waste])/12,0)</f>
        <v>1</v>
      </c>
      <c r="M34" t="s">
        <v>3</v>
      </c>
      <c r="N34">
        <v>600</v>
      </c>
      <c r="O34">
        <f>COUNTIFS(Table2187[Item Description],M34,Table2187[Purchase Length],N34)</f>
        <v>0</v>
      </c>
      <c r="P34">
        <f t="shared" si="0"/>
        <v>0</v>
      </c>
    </row>
    <row r="35" spans="1:16" x14ac:dyDescent="0.3">
      <c r="M35" t="s">
        <v>3</v>
      </c>
      <c r="N35">
        <v>460</v>
      </c>
      <c r="O35">
        <f>COUNTIFS(Table2187[Item Description],M35,Table2187[Purchase Length],N35)</f>
        <v>0</v>
      </c>
      <c r="P35">
        <f t="shared" si="0"/>
        <v>0</v>
      </c>
    </row>
    <row r="36" spans="1:16" x14ac:dyDescent="0.3">
      <c r="M36" t="s">
        <v>19</v>
      </c>
      <c r="N36">
        <v>564</v>
      </c>
      <c r="O36">
        <f>COUNTIFS(Table2187[Item Description],M36,Table2187[Purchase Length],N36)</f>
        <v>0</v>
      </c>
      <c r="P36">
        <f t="shared" si="0"/>
        <v>0</v>
      </c>
    </row>
    <row r="37" spans="1:16" x14ac:dyDescent="0.3">
      <c r="D37" t="s">
        <v>37</v>
      </c>
      <c r="E37" t="s">
        <v>42</v>
      </c>
      <c r="F37" s="23" t="s">
        <v>43</v>
      </c>
      <c r="M37" t="s">
        <v>19</v>
      </c>
      <c r="N37">
        <v>420</v>
      </c>
      <c r="O37">
        <f>COUNTIFS(Table2187[Item Description],M37,Table2187[Purchase Length],N37)</f>
        <v>0</v>
      </c>
      <c r="P37">
        <f t="shared" si="0"/>
        <v>0</v>
      </c>
    </row>
    <row r="38" spans="1:16" x14ac:dyDescent="0.3">
      <c r="B38" s="53" t="s">
        <v>36</v>
      </c>
      <c r="C38" s="53"/>
      <c r="D38" s="21">
        <f>(SUM(C3:C5)-SUM(C21:C23))/12</f>
        <v>22.333333333333332</v>
      </c>
      <c r="E38" s="21">
        <f>(SUM(C6:C7)-SUM(C24:C25))/12</f>
        <v>36.333333333333336</v>
      </c>
      <c r="F38" s="23"/>
      <c r="M38" t="s">
        <v>1</v>
      </c>
      <c r="N38">
        <v>612</v>
      </c>
      <c r="O38">
        <f>COUNTIFS(Table2187[Item Description],M38,Table2187[Purchase Length],N38)</f>
        <v>0</v>
      </c>
      <c r="P38">
        <f t="shared" si="0"/>
        <v>0</v>
      </c>
    </row>
    <row r="39" spans="1:16" x14ac:dyDescent="0.3">
      <c r="C39" t="s">
        <v>38</v>
      </c>
      <c r="D39" s="20">
        <v>40.520000000000003</v>
      </c>
      <c r="E39" s="20">
        <v>13.49</v>
      </c>
      <c r="F39" s="23"/>
      <c r="M39" t="s">
        <v>1</v>
      </c>
      <c r="N39">
        <v>600</v>
      </c>
      <c r="O39">
        <f>COUNTIFS(Table2187[Item Description],M39,Table2187[Purchase Length],N39)</f>
        <v>0</v>
      </c>
      <c r="P39">
        <f t="shared" si="0"/>
        <v>0</v>
      </c>
    </row>
    <row r="40" spans="1:16" x14ac:dyDescent="0.3">
      <c r="C40" t="s">
        <v>41</v>
      </c>
      <c r="D40" s="20">
        <f>D38*D39</f>
        <v>904.94666666666672</v>
      </c>
      <c r="E40" s="20">
        <f>E38*E39</f>
        <v>490.13666666666671</v>
      </c>
      <c r="F40" s="24">
        <f>D40+E40</f>
        <v>1395.0833333333335</v>
      </c>
      <c r="M40" t="s">
        <v>1</v>
      </c>
      <c r="N40">
        <v>460</v>
      </c>
      <c r="O40">
        <f>COUNTIFS(Table2187[Item Description],M40,Table2187[Purchase Length],N40)</f>
        <v>0</v>
      </c>
      <c r="P40">
        <f t="shared" si="0"/>
        <v>0</v>
      </c>
    </row>
    <row r="41" spans="1:16" x14ac:dyDescent="0.3">
      <c r="C41" t="s">
        <v>39</v>
      </c>
      <c r="D41">
        <f>Summary!D4</f>
        <v>39</v>
      </c>
      <c r="E41">
        <f>Summary!D4</f>
        <v>39</v>
      </c>
      <c r="F41" s="23"/>
    </row>
    <row r="42" spans="1:16" x14ac:dyDescent="0.3">
      <c r="C42" t="s">
        <v>40</v>
      </c>
      <c r="D42" s="20">
        <f>D41*D40</f>
        <v>35292.92</v>
      </c>
      <c r="E42" s="20">
        <f>E41*E40</f>
        <v>19115.330000000002</v>
      </c>
      <c r="F42" s="24">
        <f>D42+E42</f>
        <v>54408.25</v>
      </c>
    </row>
    <row r="43" spans="1:16" x14ac:dyDescent="0.3">
      <c r="D43" s="20"/>
      <c r="E43" s="20"/>
      <c r="F43" s="24"/>
    </row>
    <row r="44" spans="1:16" x14ac:dyDescent="0.3">
      <c r="C44" s="35"/>
      <c r="D44" s="35"/>
      <c r="E44" s="35"/>
      <c r="F44" s="35"/>
      <c r="G44" s="35"/>
      <c r="H44" s="35"/>
      <c r="I44" s="35"/>
      <c r="J44" s="35"/>
    </row>
    <row r="45" spans="1:16" x14ac:dyDescent="0.3">
      <c r="A45" s="52" t="s">
        <v>35</v>
      </c>
      <c r="B45" s="52"/>
      <c r="C45" s="52"/>
      <c r="D45" s="52"/>
      <c r="E45" s="52"/>
      <c r="F45" s="52"/>
      <c r="G45" s="52"/>
      <c r="H45" s="52"/>
      <c r="I45" s="52"/>
      <c r="N45" s="51" t="s">
        <v>64</v>
      </c>
      <c r="O45" s="51"/>
    </row>
    <row r="46" spans="1:16" ht="28.8" x14ac:dyDescent="0.3">
      <c r="A46" t="s">
        <v>17</v>
      </c>
      <c r="B46" t="s">
        <v>16</v>
      </c>
      <c r="C46" t="s">
        <v>15</v>
      </c>
      <c r="D46" t="s">
        <v>14</v>
      </c>
      <c r="E46" t="s">
        <v>13</v>
      </c>
      <c r="F46" t="s">
        <v>12</v>
      </c>
      <c r="G46" t="s">
        <v>11</v>
      </c>
      <c r="H46" t="s">
        <v>10</v>
      </c>
      <c r="I46" t="s">
        <v>9</v>
      </c>
      <c r="J46" t="s">
        <v>8</v>
      </c>
      <c r="K46" t="s">
        <v>7</v>
      </c>
      <c r="L46" t="s">
        <v>5</v>
      </c>
      <c r="M46" t="s">
        <v>4</v>
      </c>
      <c r="N46" s="42" t="s">
        <v>62</v>
      </c>
      <c r="O46" s="46" t="s">
        <v>63</v>
      </c>
    </row>
    <row r="47" spans="1:16" x14ac:dyDescent="0.3">
      <c r="A47" t="s">
        <v>3</v>
      </c>
      <c r="B47" t="s">
        <v>2</v>
      </c>
      <c r="C47">
        <v>580</v>
      </c>
      <c r="D47">
        <v>563.75</v>
      </c>
      <c r="L47">
        <f>SUM(Table2187336[[#This Row],[Cut Length1]:[Cut Length8]])</f>
        <v>563.75</v>
      </c>
      <c r="M47">
        <f>Table2187336[[#This Row],[Purchase Length]]-Table2187336[[#This Row],[Total Cut Length]]</f>
        <v>16.25</v>
      </c>
      <c r="N47">
        <f>(COUNTA(Table2187336[[#This Row],[Cut Length1]:[Cut Length8]])-1)*0.1875+2</f>
        <v>2</v>
      </c>
      <c r="O47">
        <f>Table2187336[[#This Row],[Total Waste]]-N47</f>
        <v>14.25</v>
      </c>
    </row>
    <row r="48" spans="1:16" x14ac:dyDescent="0.3">
      <c r="A48" t="s">
        <v>3</v>
      </c>
      <c r="B48" t="s">
        <v>2</v>
      </c>
      <c r="C48">
        <v>580</v>
      </c>
      <c r="D48">
        <v>563.75</v>
      </c>
      <c r="L48">
        <f>SUM(Table2187336[[#This Row],[Cut Length1]:[Cut Length8]])</f>
        <v>563.75</v>
      </c>
      <c r="M48">
        <f>Table2187336[[#This Row],[Purchase Length]]-Table2187336[[#This Row],[Total Cut Length]]</f>
        <v>16.25</v>
      </c>
      <c r="N48">
        <f>(COUNTA(Table2187336[[#This Row],[Cut Length1]:[Cut Length8]])-1)*0.1875+2</f>
        <v>2</v>
      </c>
      <c r="O48">
        <f>Table2187336[[#This Row],[Total Waste]]-N48</f>
        <v>14.25</v>
      </c>
    </row>
    <row r="49" spans="1:15" x14ac:dyDescent="0.3">
      <c r="A49" t="s">
        <v>3</v>
      </c>
      <c r="B49" t="s">
        <v>2</v>
      </c>
      <c r="C49">
        <v>732</v>
      </c>
      <c r="D49">
        <v>145.5</v>
      </c>
      <c r="E49">
        <v>145.5</v>
      </c>
      <c r="F49">
        <v>145.5</v>
      </c>
      <c r="G49">
        <v>145.5</v>
      </c>
      <c r="H49">
        <v>145.5</v>
      </c>
      <c r="L49">
        <f>SUM(Table2187336[[#This Row],[Cut Length1]:[Cut Length8]])</f>
        <v>727.5</v>
      </c>
      <c r="M49">
        <f>Table2187336[[#This Row],[Purchase Length]]-Table2187336[[#This Row],[Total Cut Length]]</f>
        <v>4.5</v>
      </c>
      <c r="N49">
        <f>(COUNTA(Table2187336[[#This Row],[Cut Length1]:[Cut Length8]])-1)*0.1875+2</f>
        <v>2.75</v>
      </c>
      <c r="O49">
        <f>Table2187336[[#This Row],[Total Waste]]-N49</f>
        <v>1.75</v>
      </c>
    </row>
    <row r="50" spans="1:15" x14ac:dyDescent="0.3">
      <c r="A50" t="s">
        <v>1</v>
      </c>
      <c r="B50" t="s">
        <v>0</v>
      </c>
      <c r="C50" s="29">
        <v>308</v>
      </c>
      <c r="D50">
        <v>145.5</v>
      </c>
      <c r="E50">
        <v>145.5</v>
      </c>
      <c r="L50">
        <f>SUM(Table2187336[[#This Row],[Cut Length1]:[Cut Length8]])</f>
        <v>291</v>
      </c>
      <c r="M50">
        <f>Table2187336[[#This Row],[Purchase Length]]-Table2187336[[#This Row],[Total Cut Length]]</f>
        <v>17</v>
      </c>
      <c r="N50">
        <f>(COUNTA(Table2187336[[#This Row],[Cut Length1]:[Cut Length8]])-1)*0.1875+2</f>
        <v>2.1875</v>
      </c>
      <c r="O50">
        <f>Table2187336[[#This Row],[Total Waste]]-N50</f>
        <v>14.8125</v>
      </c>
    </row>
    <row r="51" spans="1:15" x14ac:dyDescent="0.3">
      <c r="A51" t="s">
        <v>1</v>
      </c>
      <c r="B51" t="s">
        <v>0</v>
      </c>
      <c r="C51" s="29">
        <v>604</v>
      </c>
      <c r="D51" s="29">
        <v>145.5</v>
      </c>
      <c r="E51" s="29">
        <v>145.5</v>
      </c>
      <c r="F51" s="29">
        <v>118.25</v>
      </c>
      <c r="G51" s="29">
        <v>35.25</v>
      </c>
      <c r="H51" s="29">
        <v>27.375</v>
      </c>
      <c r="L51">
        <f>SUM(Table2187336[[#This Row],[Cut Length1]:[Cut Length8]])</f>
        <v>471.875</v>
      </c>
      <c r="M51">
        <f>Table2187336[[#This Row],[Purchase Length]]-Table2187336[[#This Row],[Total Cut Length]]</f>
        <v>132.125</v>
      </c>
      <c r="N51">
        <f>(COUNTA(Table2187336[[#This Row],[Cut Length1]:[Cut Length8]])-1)*0.1875+2</f>
        <v>2.75</v>
      </c>
      <c r="O51">
        <f>Table2187336[[#This Row],[Total Waste]]-N51</f>
        <v>129.375</v>
      </c>
    </row>
    <row r="53" spans="1:15" x14ac:dyDescent="0.3">
      <c r="C53">
        <f>SUM(Table2187336[Purchase Length])</f>
        <v>2804</v>
      </c>
      <c r="H53">
        <f>SUM(Table2187336[Total Cut Length])</f>
        <v>2617.875</v>
      </c>
      <c r="I53">
        <f>SUM(Table2187336[Total Waste])</f>
        <v>186.125</v>
      </c>
    </row>
    <row r="54" spans="1:15" x14ac:dyDescent="0.3">
      <c r="I54" s="1">
        <f>I53/C53</f>
        <v>6.63783880171184E-2</v>
      </c>
    </row>
    <row r="57" spans="1:15" ht="14.4" customHeight="1" x14ac:dyDescent="0.3">
      <c r="C57" s="54" t="s">
        <v>69</v>
      </c>
      <c r="D57" s="54"/>
      <c r="E57" s="54"/>
      <c r="F57" s="54"/>
      <c r="G57" s="54"/>
      <c r="H57" s="54"/>
      <c r="I57" s="54"/>
      <c r="J57" s="54"/>
    </row>
    <row r="58" spans="1:15" x14ac:dyDescent="0.3">
      <c r="C58" s="55"/>
      <c r="D58" s="55"/>
      <c r="E58" s="55"/>
      <c r="F58" s="55"/>
      <c r="G58" s="55"/>
      <c r="H58" s="55"/>
      <c r="I58" s="55"/>
      <c r="J58" s="55"/>
    </row>
    <row r="59" spans="1:15" x14ac:dyDescent="0.3">
      <c r="C59" s="55"/>
      <c r="D59" s="55"/>
      <c r="E59" s="55"/>
      <c r="F59" s="55"/>
      <c r="G59" s="55"/>
      <c r="H59" s="55"/>
      <c r="I59" s="55"/>
      <c r="J59" s="55"/>
    </row>
    <row r="60" spans="1:15" x14ac:dyDescent="0.3">
      <c r="C60" s="55"/>
      <c r="D60" s="55"/>
      <c r="E60" s="55"/>
      <c r="F60" s="55"/>
      <c r="G60" s="55"/>
      <c r="H60" s="55"/>
      <c r="I60" s="55"/>
      <c r="J60" s="55"/>
    </row>
    <row r="61" spans="1:15" x14ac:dyDescent="0.3">
      <c r="C61" s="55"/>
      <c r="D61" s="55"/>
      <c r="E61" s="55"/>
      <c r="F61" s="55"/>
      <c r="G61" s="55"/>
      <c r="H61" s="55"/>
      <c r="I61" s="55"/>
      <c r="J61" s="55"/>
    </row>
    <row r="62" spans="1:15" x14ac:dyDescent="0.3">
      <c r="C62" s="55"/>
      <c r="D62" s="55"/>
      <c r="E62" s="55"/>
      <c r="F62" s="55"/>
      <c r="G62" s="55"/>
      <c r="H62" s="55"/>
      <c r="I62" s="55"/>
      <c r="J62" s="55"/>
    </row>
    <row r="65" spans="9:9" x14ac:dyDescent="0.3">
      <c r="I65" s="1"/>
    </row>
  </sheetData>
  <mergeCells count="6">
    <mergeCell ref="C57:J62"/>
    <mergeCell ref="N45:O45"/>
    <mergeCell ref="A1:I1"/>
    <mergeCell ref="A19:I19"/>
    <mergeCell ref="B38:C38"/>
    <mergeCell ref="A45:I45"/>
  </mergeCells>
  <phoneticPr fontId="4" type="noConversion"/>
  <pageMargins left="0.7" right="0.7" top="0.75" bottom="0.75" header="0.3" footer="0.3"/>
  <pageSetup paperSize="3" scale="79" orientation="landscape" horizontalDpi="1200" verticalDpi="1200"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4FF47-3FAE-458D-95FF-BCDA4F3201BA}">
  <sheetPr>
    <pageSetUpPr fitToPage="1"/>
  </sheetPr>
  <dimension ref="A1:P61"/>
  <sheetViews>
    <sheetView topLeftCell="A44" workbookViewId="0">
      <selection activeCell="N60" sqref="N60"/>
    </sheetView>
  </sheetViews>
  <sheetFormatPr defaultRowHeight="14.4" x14ac:dyDescent="0.3"/>
  <cols>
    <col min="1" max="1" width="17.88671875" customWidth="1"/>
    <col min="2" max="2" width="14.6640625" customWidth="1"/>
    <col min="3" max="6" width="13.5546875" customWidth="1"/>
    <col min="7" max="7" width="11.77734375" customWidth="1"/>
    <col min="8" max="8" width="11.109375" customWidth="1"/>
    <col min="9" max="9" width="13.21875" customWidth="1"/>
    <col min="10" max="10" width="13.5546875" customWidth="1"/>
    <col min="12" max="12" width="6.21875" customWidth="1"/>
    <col min="15" max="15" width="12.77734375" customWidth="1"/>
    <col min="16" max="16" width="16.5546875" customWidth="1"/>
  </cols>
  <sheetData>
    <row r="1" spans="1:10" x14ac:dyDescent="0.3">
      <c r="A1" s="52" t="s">
        <v>34</v>
      </c>
      <c r="B1" s="52"/>
      <c r="C1" s="52"/>
      <c r="D1" s="52"/>
      <c r="E1" s="52"/>
      <c r="F1" s="52"/>
      <c r="G1" s="52"/>
      <c r="H1" s="52"/>
      <c r="I1" s="52"/>
      <c r="J1" s="52"/>
    </row>
    <row r="2" spans="1:10" x14ac:dyDescent="0.3">
      <c r="A2" t="s">
        <v>17</v>
      </c>
      <c r="B2" t="s">
        <v>16</v>
      </c>
      <c r="C2" t="s">
        <v>15</v>
      </c>
      <c r="D2" t="s">
        <v>14</v>
      </c>
      <c r="E2" t="s">
        <v>13</v>
      </c>
      <c r="F2" t="s">
        <v>12</v>
      </c>
      <c r="G2" t="s">
        <v>11</v>
      </c>
      <c r="H2" t="s">
        <v>10</v>
      </c>
      <c r="I2" t="s">
        <v>5</v>
      </c>
      <c r="J2" t="s">
        <v>4</v>
      </c>
    </row>
    <row r="3" spans="1:10" x14ac:dyDescent="0.3">
      <c r="A3" t="s">
        <v>3</v>
      </c>
      <c r="B3" t="s">
        <v>2</v>
      </c>
      <c r="C3">
        <v>720</v>
      </c>
      <c r="D3">
        <v>659.5</v>
      </c>
      <c r="I3">
        <f>SUM(Table23[[#This Row],[Cut Length1]:[Cut Length5]])</f>
        <v>659.5</v>
      </c>
      <c r="J3">
        <f>Table23[[#This Row],[Purchase Length]]-Table23[[#This Row],[Total Cut Length]]</f>
        <v>60.5</v>
      </c>
    </row>
    <row r="4" spans="1:10" x14ac:dyDescent="0.3">
      <c r="A4" t="s">
        <v>3</v>
      </c>
      <c r="B4" t="s">
        <v>2</v>
      </c>
      <c r="C4">
        <v>720</v>
      </c>
      <c r="D4">
        <v>659.5</v>
      </c>
      <c r="I4">
        <f>SUM(Table23[[#This Row],[Cut Length1]:[Cut Length5]])</f>
        <v>659.5</v>
      </c>
      <c r="J4">
        <f>Table23[[#This Row],[Purchase Length]]-Table23[[#This Row],[Total Cut Length]]</f>
        <v>60.5</v>
      </c>
    </row>
    <row r="5" spans="1:10" x14ac:dyDescent="0.3">
      <c r="A5" t="s">
        <v>3</v>
      </c>
      <c r="B5" t="s">
        <v>2</v>
      </c>
      <c r="C5">
        <v>720</v>
      </c>
      <c r="D5">
        <v>119.5</v>
      </c>
      <c r="E5">
        <v>119.5</v>
      </c>
      <c r="F5">
        <v>119.5</v>
      </c>
      <c r="G5">
        <v>119.5</v>
      </c>
      <c r="I5">
        <f>SUM(Table23[[#This Row],[Cut Length1]:[Cut Length5]])</f>
        <v>478</v>
      </c>
      <c r="J5">
        <f>Table23[[#This Row],[Purchase Length]]-Table23[[#This Row],[Total Cut Length]]</f>
        <v>242</v>
      </c>
    </row>
    <row r="6" spans="1:10" x14ac:dyDescent="0.3">
      <c r="A6" t="s">
        <v>1</v>
      </c>
      <c r="B6" t="s">
        <v>0</v>
      </c>
      <c r="C6">
        <v>600</v>
      </c>
      <c r="D6">
        <v>119.5</v>
      </c>
      <c r="E6">
        <v>119.5</v>
      </c>
      <c r="F6">
        <v>119.5</v>
      </c>
      <c r="G6">
        <v>119.5</v>
      </c>
      <c r="H6">
        <v>119.5</v>
      </c>
      <c r="I6">
        <f>SUM(Table23[[#This Row],[Cut Length1]:[Cut Length5]])</f>
        <v>597.5</v>
      </c>
      <c r="J6">
        <f>Table23[[#This Row],[Purchase Length]]-Table23[[#This Row],[Total Cut Length]]</f>
        <v>2.5</v>
      </c>
    </row>
    <row r="7" spans="1:10" x14ac:dyDescent="0.3">
      <c r="A7" t="s">
        <v>1</v>
      </c>
      <c r="B7" t="s">
        <v>0</v>
      </c>
      <c r="C7">
        <v>600</v>
      </c>
      <c r="D7">
        <v>119.5</v>
      </c>
      <c r="E7">
        <v>119.5</v>
      </c>
      <c r="F7">
        <v>119.5</v>
      </c>
      <c r="G7">
        <v>119.5</v>
      </c>
      <c r="H7">
        <v>119.5</v>
      </c>
      <c r="I7">
        <f>SUM(Table23[[#This Row],[Cut Length1]:[Cut Length5]])</f>
        <v>597.5</v>
      </c>
      <c r="J7">
        <f>Table23[[#This Row],[Purchase Length]]-Table23[[#This Row],[Total Cut Length]]</f>
        <v>2.5</v>
      </c>
    </row>
    <row r="8" spans="1:10" x14ac:dyDescent="0.3">
      <c r="A8" t="s">
        <v>1</v>
      </c>
      <c r="B8" t="s">
        <v>0</v>
      </c>
      <c r="C8">
        <v>600</v>
      </c>
      <c r="D8">
        <v>47.5</v>
      </c>
      <c r="E8">
        <v>47.5</v>
      </c>
      <c r="F8">
        <v>83.75</v>
      </c>
      <c r="G8">
        <v>83.75</v>
      </c>
      <c r="H8">
        <v>119.5</v>
      </c>
      <c r="I8">
        <f>SUM(Table23[[#This Row],[Cut Length1]:[Cut Length5]])</f>
        <v>382</v>
      </c>
      <c r="J8">
        <f>Table23[[#This Row],[Purchase Length]]-Table23[[#This Row],[Total Cut Length]]</f>
        <v>218</v>
      </c>
    </row>
    <row r="10" spans="1:10" x14ac:dyDescent="0.3">
      <c r="C10">
        <f>SUM(Table23[Purchase Length])</f>
        <v>3960</v>
      </c>
      <c r="I10">
        <f>SUM(Table23[Total Cut Length])</f>
        <v>3374</v>
      </c>
      <c r="J10">
        <f>SUM(Table23[Total Waste])</f>
        <v>586</v>
      </c>
    </row>
    <row r="11" spans="1:10" x14ac:dyDescent="0.3">
      <c r="J11" s="1">
        <f>J10/C10</f>
        <v>0.14797979797979799</v>
      </c>
    </row>
    <row r="13" spans="1:10" x14ac:dyDescent="0.3">
      <c r="A13" t="s">
        <v>21</v>
      </c>
    </row>
    <row r="14" spans="1:10" x14ac:dyDescent="0.3">
      <c r="A14" t="s">
        <v>22</v>
      </c>
    </row>
    <row r="15" spans="1:10" x14ac:dyDescent="0.3">
      <c r="A15" t="s">
        <v>23</v>
      </c>
      <c r="D15" t="s">
        <v>20</v>
      </c>
      <c r="E15" t="s">
        <v>16</v>
      </c>
      <c r="F15" t="s">
        <v>5</v>
      </c>
      <c r="G15" t="s">
        <v>4</v>
      </c>
    </row>
    <row r="16" spans="1:10" x14ac:dyDescent="0.3">
      <c r="D16" t="str" cm="1">
        <f t="array" ref="D16:D17">_xlfn.UNIQUE(Table23[Item Description])</f>
        <v>W18x50</v>
      </c>
      <c r="E16" t="str" cm="1">
        <f t="array" ref="E16:E17">_xlfn.UNIQUE(Table23[Raw Material])</f>
        <v>804-15017</v>
      </c>
      <c r="F16">
        <f>ROUNDUP(SUMIF(Table23[Raw Material],E16,Table23[Total Cut Length])/12,0)</f>
        <v>150</v>
      </c>
      <c r="G16">
        <f>ROUNDUP(SUMIF(Table23[Raw Material],E16,Table23[Total Waste])/12,0)</f>
        <v>31</v>
      </c>
    </row>
    <row r="17" spans="1:14" x14ac:dyDescent="0.3">
      <c r="D17" t="str">
        <v>W10x17</v>
      </c>
      <c r="E17" t="str">
        <v>804-15022</v>
      </c>
      <c r="F17">
        <f>ROUNDUP(SUMIF(Table23[Raw Material],E17,Table23[Total Cut Length])/12,0)</f>
        <v>132</v>
      </c>
      <c r="G17">
        <f>ROUNDUP(SUMIF(Table23[Raw Material],E17,Table23[Total Waste])/12,0)</f>
        <v>19</v>
      </c>
    </row>
    <row r="20" spans="1:14" x14ac:dyDescent="0.3">
      <c r="A20" s="52" t="s">
        <v>35</v>
      </c>
      <c r="B20" s="52"/>
      <c r="C20" s="52"/>
      <c r="D20" s="52"/>
      <c r="E20" s="52"/>
      <c r="F20" s="52"/>
      <c r="G20" s="52"/>
      <c r="H20" s="52"/>
      <c r="I20" s="52"/>
      <c r="J20" s="52"/>
    </row>
    <row r="21" spans="1:14" x14ac:dyDescent="0.3">
      <c r="A21" t="s">
        <v>17</v>
      </c>
      <c r="B21" t="s">
        <v>16</v>
      </c>
      <c r="C21" t="s">
        <v>15</v>
      </c>
      <c r="D21" t="s">
        <v>14</v>
      </c>
      <c r="E21" t="s">
        <v>13</v>
      </c>
      <c r="F21" t="s">
        <v>12</v>
      </c>
      <c r="G21" t="s">
        <v>11</v>
      </c>
      <c r="H21" t="s">
        <v>10</v>
      </c>
      <c r="I21" t="s">
        <v>9</v>
      </c>
      <c r="J21" t="s">
        <v>8</v>
      </c>
      <c r="K21" t="s">
        <v>7</v>
      </c>
      <c r="L21" t="s">
        <v>6</v>
      </c>
      <c r="M21" t="s">
        <v>5</v>
      </c>
      <c r="N21" t="s">
        <v>4</v>
      </c>
    </row>
    <row r="22" spans="1:14" x14ac:dyDescent="0.3">
      <c r="A22" t="s">
        <v>3</v>
      </c>
      <c r="B22" t="s">
        <v>2</v>
      </c>
      <c r="C22">
        <v>672</v>
      </c>
      <c r="D22">
        <v>659.5</v>
      </c>
      <c r="M22">
        <f>SUM(Table2319[[#This Row],[Cut Length1]:[Cut Length9]])</f>
        <v>659.5</v>
      </c>
      <c r="N22">
        <f>Table2319[[#This Row],[Purchase Length]]-Table2319[[#This Row],[Total Cut Length]]</f>
        <v>12.5</v>
      </c>
    </row>
    <row r="23" spans="1:14" x14ac:dyDescent="0.3">
      <c r="A23" t="s">
        <v>3</v>
      </c>
      <c r="B23" t="s">
        <v>2</v>
      </c>
      <c r="C23">
        <v>672</v>
      </c>
      <c r="D23">
        <v>659.5</v>
      </c>
      <c r="M23">
        <f>SUM(Table2319[[#This Row],[Cut Length1]:[Cut Length9]])</f>
        <v>659.5</v>
      </c>
      <c r="N23">
        <f>Table2319[[#This Row],[Purchase Length]]-Table2319[[#This Row],[Total Cut Length]]</f>
        <v>12.5</v>
      </c>
    </row>
    <row r="24" spans="1:14" x14ac:dyDescent="0.3">
      <c r="A24" t="s">
        <v>3</v>
      </c>
      <c r="B24" t="s">
        <v>2</v>
      </c>
      <c r="C24" s="28">
        <v>480</v>
      </c>
      <c r="D24">
        <v>119.5</v>
      </c>
      <c r="E24">
        <v>119.5</v>
      </c>
      <c r="F24">
        <v>119.5</v>
      </c>
      <c r="G24">
        <v>119.5</v>
      </c>
      <c r="M24">
        <f>SUM(Table2319[[#This Row],[Cut Length1]:[Cut Length9]])</f>
        <v>478</v>
      </c>
      <c r="N24" s="19">
        <f>Table2319[[#This Row],[Purchase Length]]-Table2319[[#This Row],[Total Cut Length]]</f>
        <v>2</v>
      </c>
    </row>
    <row r="25" spans="1:14" x14ac:dyDescent="0.3">
      <c r="A25" t="s">
        <v>1</v>
      </c>
      <c r="B25" t="s">
        <v>0</v>
      </c>
      <c r="C25">
        <v>804</v>
      </c>
      <c r="D25">
        <v>119.5</v>
      </c>
      <c r="E25">
        <v>119.5</v>
      </c>
      <c r="F25">
        <v>119.5</v>
      </c>
      <c r="G25">
        <v>119.5</v>
      </c>
      <c r="H25">
        <v>119.5</v>
      </c>
      <c r="I25">
        <v>119.5</v>
      </c>
      <c r="K25">
        <v>83.75</v>
      </c>
      <c r="M25">
        <f>SUM(Table2319[[#This Row],[Cut Length1]:[Cut Length9]])</f>
        <v>800.75</v>
      </c>
      <c r="N25">
        <f>Table2319[[#This Row],[Purchase Length]]-Table2319[[#This Row],[Total Cut Length]]</f>
        <v>3.25</v>
      </c>
    </row>
    <row r="26" spans="1:14" x14ac:dyDescent="0.3">
      <c r="A26" t="s">
        <v>1</v>
      </c>
      <c r="B26" t="s">
        <v>0</v>
      </c>
      <c r="C26">
        <v>804</v>
      </c>
      <c r="D26">
        <v>119.5</v>
      </c>
      <c r="E26">
        <v>119.5</v>
      </c>
      <c r="F26">
        <v>119.5</v>
      </c>
      <c r="G26">
        <v>119.5</v>
      </c>
      <c r="H26">
        <v>119.5</v>
      </c>
      <c r="I26">
        <v>83.75</v>
      </c>
      <c r="J26">
        <v>47.5</v>
      </c>
      <c r="K26">
        <v>47.5</v>
      </c>
      <c r="M26">
        <f>SUM(Table2319[[#This Row],[Cut Length1]:[Cut Length9]])</f>
        <v>776.25</v>
      </c>
      <c r="N26">
        <f>Table2319[[#This Row],[Purchase Length]]-Table2319[[#This Row],[Total Cut Length]]</f>
        <v>27.75</v>
      </c>
    </row>
    <row r="28" spans="1:14" x14ac:dyDescent="0.3">
      <c r="C28">
        <f>SUM(Table2319[Purchase Length])</f>
        <v>3432</v>
      </c>
      <c r="I28">
        <f>SUM(Table2319[Total Cut Length])</f>
        <v>3374</v>
      </c>
      <c r="J28">
        <f>SUM(Table2319[Total Waste])</f>
        <v>58</v>
      </c>
    </row>
    <row r="29" spans="1:14" x14ac:dyDescent="0.3">
      <c r="J29" s="1">
        <f>J28/C28</f>
        <v>1.68997668997669E-2</v>
      </c>
    </row>
    <row r="31" spans="1:14" x14ac:dyDescent="0.3">
      <c r="A31" s="31" t="s">
        <v>21</v>
      </c>
    </row>
    <row r="32" spans="1:14" x14ac:dyDescent="0.3">
      <c r="A32" s="29" t="s">
        <v>22</v>
      </c>
      <c r="B32" t="s">
        <v>58</v>
      </c>
    </row>
    <row r="33" spans="1:16" x14ac:dyDescent="0.3">
      <c r="A33" s="29" t="s">
        <v>23</v>
      </c>
      <c r="D33" t="s">
        <v>20</v>
      </c>
      <c r="E33" t="s">
        <v>16</v>
      </c>
      <c r="F33" t="s">
        <v>5</v>
      </c>
      <c r="G33" t="s">
        <v>4</v>
      </c>
      <c r="J33" t="s">
        <v>3</v>
      </c>
      <c r="K33">
        <v>780</v>
      </c>
      <c r="L33">
        <f>COUNTIFS(Table2319[Item Description],J33,Table2319[Purchase Length],K33)</f>
        <v>0</v>
      </c>
      <c r="M33">
        <f>L33*$D$42</f>
        <v>0</v>
      </c>
    </row>
    <row r="34" spans="1:16" x14ac:dyDescent="0.3">
      <c r="D34" t="str" cm="1">
        <f t="array" ref="D34:D35">_xlfn.UNIQUE(Table2319[Item Description])</f>
        <v>W18x50</v>
      </c>
      <c r="E34" t="str" cm="1">
        <f t="array" ref="E34:E35">_xlfn.UNIQUE(Table2319[Raw Material])</f>
        <v>804-15017</v>
      </c>
      <c r="F34">
        <f>ROUNDUP(SUMIF(Table2319[Raw Material],E34,Table2319[Total Cut Length])/12,0)</f>
        <v>150</v>
      </c>
      <c r="G34">
        <f>ROUNDUP(SUMIF(Table2319[Raw Material],E34,Table2319[Total Waste])/12,0)</f>
        <v>3</v>
      </c>
      <c r="J34" t="s">
        <v>3</v>
      </c>
      <c r="K34">
        <v>720</v>
      </c>
      <c r="L34">
        <f>COUNTIFS(Table2319[Item Description],J34,Table2319[Purchase Length],K34)</f>
        <v>0</v>
      </c>
      <c r="M34">
        <f t="shared" ref="M34:M43" si="0">L34*$D$42</f>
        <v>0</v>
      </c>
    </row>
    <row r="35" spans="1:16" x14ac:dyDescent="0.3">
      <c r="D35" t="str">
        <v>W10x17</v>
      </c>
      <c r="E35" t="str">
        <v>804-15022</v>
      </c>
      <c r="F35">
        <f>ROUNDUP(SUMIF(Table2319[Raw Material],E35,Table2319[Total Cut Length])/12,0)</f>
        <v>132</v>
      </c>
      <c r="G35">
        <f>ROUNDUP(SUMIF(Table2319[Raw Material],E35,Table2319[Total Waste])/12,0)</f>
        <v>3</v>
      </c>
      <c r="J35" t="s">
        <v>3</v>
      </c>
      <c r="K35">
        <v>690</v>
      </c>
      <c r="L35">
        <f>COUNTIFS(Table2319[Item Description],J35,Table2319[Purchase Length],K35)</f>
        <v>0</v>
      </c>
      <c r="M35">
        <f t="shared" si="0"/>
        <v>0</v>
      </c>
    </row>
    <row r="36" spans="1:16" x14ac:dyDescent="0.3">
      <c r="J36" t="s">
        <v>3</v>
      </c>
      <c r="K36">
        <v>612</v>
      </c>
      <c r="L36">
        <f>COUNTIFS(Table2319[Item Description],J36,Table2319[Purchase Length],K36)</f>
        <v>0</v>
      </c>
      <c r="M36">
        <f t="shared" si="0"/>
        <v>0</v>
      </c>
    </row>
    <row r="37" spans="1:16" x14ac:dyDescent="0.3">
      <c r="J37" t="s">
        <v>3</v>
      </c>
      <c r="K37">
        <v>600</v>
      </c>
      <c r="L37">
        <f>COUNTIFS(Table2319[Item Description],J37,Table2319[Purchase Length],K37)</f>
        <v>0</v>
      </c>
      <c r="M37">
        <f t="shared" si="0"/>
        <v>0</v>
      </c>
    </row>
    <row r="38" spans="1:16" x14ac:dyDescent="0.3">
      <c r="D38" t="s">
        <v>37</v>
      </c>
      <c r="E38" t="s">
        <v>42</v>
      </c>
      <c r="F38" s="23" t="s">
        <v>43</v>
      </c>
      <c r="J38" t="s">
        <v>3</v>
      </c>
      <c r="K38">
        <v>460</v>
      </c>
      <c r="L38">
        <f>COUNTIFS(Table2319[Item Description],J38,Table2319[Purchase Length],K38)</f>
        <v>0</v>
      </c>
      <c r="M38">
        <f t="shared" si="0"/>
        <v>0</v>
      </c>
    </row>
    <row r="39" spans="1:16" x14ac:dyDescent="0.3">
      <c r="B39" s="53" t="s">
        <v>36</v>
      </c>
      <c r="C39" s="53"/>
      <c r="D39" s="21">
        <f>(SUM(C3:C5)-SUM(C22:C24))/12</f>
        <v>28</v>
      </c>
      <c r="E39" s="21">
        <f>(SUM(C6:C8)-SUM(C25:C26))/12</f>
        <v>16</v>
      </c>
      <c r="F39" s="23"/>
      <c r="J39" t="s">
        <v>19</v>
      </c>
      <c r="K39">
        <v>564</v>
      </c>
      <c r="L39">
        <f>COUNTIFS(Table2319[Item Description],J39,Table2319[Purchase Length],K39)</f>
        <v>0</v>
      </c>
      <c r="M39">
        <f t="shared" si="0"/>
        <v>0</v>
      </c>
    </row>
    <row r="40" spans="1:16" x14ac:dyDescent="0.3">
      <c r="C40" t="s">
        <v>38</v>
      </c>
      <c r="D40" s="20">
        <v>40.520000000000003</v>
      </c>
      <c r="E40" s="20">
        <v>13.49</v>
      </c>
      <c r="F40" s="23"/>
      <c r="J40" t="s">
        <v>19</v>
      </c>
      <c r="K40">
        <v>420</v>
      </c>
      <c r="L40">
        <f>COUNTIFS(Table2319[Item Description],J40,Table2319[Purchase Length],K40)</f>
        <v>0</v>
      </c>
      <c r="M40">
        <f t="shared" si="0"/>
        <v>0</v>
      </c>
    </row>
    <row r="41" spans="1:16" x14ac:dyDescent="0.3">
      <c r="C41" t="s">
        <v>41</v>
      </c>
      <c r="D41" s="20">
        <f>D39*D40</f>
        <v>1134.5600000000002</v>
      </c>
      <c r="E41" s="20">
        <f>E39*E40</f>
        <v>215.84</v>
      </c>
      <c r="F41" s="24">
        <f>D41+E41</f>
        <v>1350.4</v>
      </c>
      <c r="J41" t="s">
        <v>1</v>
      </c>
      <c r="K41">
        <v>612</v>
      </c>
      <c r="L41">
        <f>COUNTIFS(Table2319[Item Description],J41,Table2319[Purchase Length],K41)</f>
        <v>0</v>
      </c>
      <c r="M41">
        <f t="shared" si="0"/>
        <v>0</v>
      </c>
    </row>
    <row r="42" spans="1:16" x14ac:dyDescent="0.3">
      <c r="C42" t="s">
        <v>39</v>
      </c>
      <c r="D42">
        <f>Summary!D11</f>
        <v>28</v>
      </c>
      <c r="E42">
        <f>Summary!D11</f>
        <v>28</v>
      </c>
      <c r="F42" s="23"/>
      <c r="J42" t="s">
        <v>1</v>
      </c>
      <c r="K42">
        <v>600</v>
      </c>
      <c r="L42">
        <f>COUNTIFS(Table2319[Item Description],J42,Table2319[Purchase Length],K42)</f>
        <v>0</v>
      </c>
      <c r="M42">
        <f t="shared" si="0"/>
        <v>0</v>
      </c>
    </row>
    <row r="43" spans="1:16" x14ac:dyDescent="0.3">
      <c r="C43" t="s">
        <v>40</v>
      </c>
      <c r="D43" s="20">
        <f>D42*D41</f>
        <v>31767.680000000004</v>
      </c>
      <c r="E43" s="20">
        <f>E42*E41</f>
        <v>6043.52</v>
      </c>
      <c r="F43" s="24">
        <f>D43+E43</f>
        <v>37811.200000000004</v>
      </c>
      <c r="J43" t="s">
        <v>1</v>
      </c>
      <c r="K43">
        <v>460</v>
      </c>
      <c r="L43">
        <f>COUNTIFS(Table2319[Item Description],J43,Table2319[Purchase Length],K43)</f>
        <v>0</v>
      </c>
      <c r="M43">
        <f t="shared" si="0"/>
        <v>0</v>
      </c>
    </row>
    <row r="45" spans="1:16" x14ac:dyDescent="0.3">
      <c r="A45" s="52" t="s">
        <v>35</v>
      </c>
      <c r="B45" s="52"/>
      <c r="C45" s="52"/>
      <c r="D45" s="52"/>
      <c r="E45" s="52"/>
      <c r="F45" s="52"/>
      <c r="G45" s="52"/>
      <c r="H45" s="52"/>
      <c r="I45" s="52"/>
      <c r="J45" s="52"/>
      <c r="O45" s="51" t="s">
        <v>64</v>
      </c>
      <c r="P45" s="51"/>
    </row>
    <row r="46" spans="1:16" ht="43.2" x14ac:dyDescent="0.3">
      <c r="A46" t="s">
        <v>17</v>
      </c>
      <c r="B46" t="s">
        <v>16</v>
      </c>
      <c r="C46" t="s">
        <v>15</v>
      </c>
      <c r="D46" t="s">
        <v>14</v>
      </c>
      <c r="E46" t="s">
        <v>13</v>
      </c>
      <c r="F46" t="s">
        <v>12</v>
      </c>
      <c r="G46" t="s">
        <v>11</v>
      </c>
      <c r="H46" t="s">
        <v>10</v>
      </c>
      <c r="I46" t="s">
        <v>9</v>
      </c>
      <c r="J46" t="s">
        <v>8</v>
      </c>
      <c r="K46" t="s">
        <v>7</v>
      </c>
      <c r="L46" t="s">
        <v>6</v>
      </c>
      <c r="M46" t="s">
        <v>5</v>
      </c>
      <c r="N46" t="s">
        <v>4</v>
      </c>
      <c r="O46" s="43" t="s">
        <v>62</v>
      </c>
      <c r="P46" s="41" t="s">
        <v>63</v>
      </c>
    </row>
    <row r="47" spans="1:16" x14ac:dyDescent="0.3">
      <c r="A47" t="s">
        <v>3</v>
      </c>
      <c r="B47" t="s">
        <v>2</v>
      </c>
      <c r="C47">
        <v>672</v>
      </c>
      <c r="D47">
        <v>659.5</v>
      </c>
      <c r="M47">
        <f>SUM(Table2319383940[[#This Row],[Cut Length1]:[Cut Length9]])</f>
        <v>659.5</v>
      </c>
      <c r="N47">
        <f>Table2319383940[[#This Row],[Purchase Length]]-Table2319383940[[#This Row],[Total Cut Length]]</f>
        <v>12.5</v>
      </c>
      <c r="O47">
        <f>(COUNTA(Table2319383940[[#This Row],[Cut Length1]:[Cut Length9]])-1)*0.1875+2</f>
        <v>2</v>
      </c>
      <c r="P47">
        <f>Table2319383940[[#This Row],[Total Waste]]-O47</f>
        <v>10.5</v>
      </c>
    </row>
    <row r="48" spans="1:16" x14ac:dyDescent="0.3">
      <c r="A48" t="s">
        <v>3</v>
      </c>
      <c r="B48" t="s">
        <v>2</v>
      </c>
      <c r="C48" s="29">
        <v>804</v>
      </c>
      <c r="D48">
        <v>659.5</v>
      </c>
      <c r="E48" s="29">
        <v>119.5</v>
      </c>
      <c r="M48">
        <f>SUM(Table2319383940[[#This Row],[Cut Length1]:[Cut Length9]])</f>
        <v>779</v>
      </c>
      <c r="N48">
        <f>Table2319383940[[#This Row],[Purchase Length]]-Table2319383940[[#This Row],[Total Cut Length]]</f>
        <v>25</v>
      </c>
      <c r="O48">
        <f>(COUNTA(Table2319383940[[#This Row],[Cut Length1]:[Cut Length9]])-1)*0.1875+2</f>
        <v>2.1875</v>
      </c>
      <c r="P48">
        <f>Table2319383940[[#This Row],[Total Waste]]-O48</f>
        <v>22.8125</v>
      </c>
    </row>
    <row r="49" spans="1:16" x14ac:dyDescent="0.3">
      <c r="A49" t="s">
        <v>3</v>
      </c>
      <c r="B49" t="s">
        <v>2</v>
      </c>
      <c r="C49" s="29">
        <v>424</v>
      </c>
      <c r="D49">
        <v>119.5</v>
      </c>
      <c r="E49">
        <v>119.5</v>
      </c>
      <c r="F49">
        <v>119.5</v>
      </c>
      <c r="M49">
        <f>SUM(Table2319383940[[#This Row],[Cut Length1]:[Cut Length9]])</f>
        <v>358.5</v>
      </c>
      <c r="N49">
        <f>Table2319383940[[#This Row],[Purchase Length]]-Table2319383940[[#This Row],[Total Cut Length]]</f>
        <v>65.5</v>
      </c>
      <c r="O49">
        <f>(COUNTA(Table2319383940[[#This Row],[Cut Length1]:[Cut Length9]])-1)*0.1875+2</f>
        <v>2.375</v>
      </c>
      <c r="P49">
        <f>Table2319383940[[#This Row],[Total Waste]]-O49</f>
        <v>63.125</v>
      </c>
    </row>
    <row r="50" spans="1:16" x14ac:dyDescent="0.3">
      <c r="A50" t="s">
        <v>1</v>
      </c>
      <c r="B50" t="s">
        <v>0</v>
      </c>
      <c r="C50">
        <v>688</v>
      </c>
      <c r="D50" s="29">
        <v>119.5</v>
      </c>
      <c r="E50" s="29">
        <v>119.5</v>
      </c>
      <c r="F50" s="29">
        <v>119.5</v>
      </c>
      <c r="G50" s="29">
        <v>119.5</v>
      </c>
      <c r="H50" s="29">
        <v>119.5</v>
      </c>
      <c r="I50" s="29">
        <v>83.75</v>
      </c>
      <c r="M50">
        <f>SUM(Table2319383940[[#This Row],[Cut Length1]:[Cut Length9]])</f>
        <v>681.25</v>
      </c>
      <c r="N50">
        <f>Table2319383940[[#This Row],[Purchase Length]]-Table2319383940[[#This Row],[Total Cut Length]]</f>
        <v>6.75</v>
      </c>
      <c r="O50">
        <f>(COUNTA(Table2319383940[[#This Row],[Cut Length1]:[Cut Length9]])-1)*0.1875+2</f>
        <v>2.9375</v>
      </c>
      <c r="P50">
        <f>Table2319383940[[#This Row],[Total Waste]]-O50</f>
        <v>3.8125</v>
      </c>
    </row>
    <row r="51" spans="1:16" x14ac:dyDescent="0.3">
      <c r="A51" t="s">
        <v>1</v>
      </c>
      <c r="B51" t="s">
        <v>0</v>
      </c>
      <c r="C51">
        <v>604</v>
      </c>
      <c r="D51" s="29">
        <v>119.5</v>
      </c>
      <c r="E51" s="29">
        <v>119.5</v>
      </c>
      <c r="F51" s="29">
        <v>119.5</v>
      </c>
      <c r="G51" s="29">
        <v>119.5</v>
      </c>
      <c r="H51" s="29">
        <v>119.5</v>
      </c>
      <c r="M51">
        <f>SUM(Table2319383940[[#This Row],[Cut Length1]:[Cut Length9]])</f>
        <v>597.5</v>
      </c>
      <c r="N51">
        <f>Table2319383940[[#This Row],[Purchase Length]]-Table2319383940[[#This Row],[Total Cut Length]]</f>
        <v>6.5</v>
      </c>
      <c r="O51">
        <f>(COUNTA(Table2319383940[[#This Row],[Cut Length1]:[Cut Length9]])-1)*0.1875+2</f>
        <v>2.75</v>
      </c>
      <c r="P51">
        <f>Table2319383940[[#This Row],[Total Waste]]-O51</f>
        <v>3.75</v>
      </c>
    </row>
    <row r="52" spans="1:16" x14ac:dyDescent="0.3">
      <c r="A52" t="s">
        <v>1</v>
      </c>
      <c r="B52" t="s">
        <v>0</v>
      </c>
      <c r="C52">
        <v>308</v>
      </c>
      <c r="D52" s="29">
        <v>119.5</v>
      </c>
      <c r="E52" s="29">
        <v>83.75</v>
      </c>
      <c r="F52" s="29">
        <v>47.5</v>
      </c>
      <c r="G52" s="29">
        <v>47.5</v>
      </c>
      <c r="M52">
        <f>SUM(Table2319383940[[#This Row],[Cut Length1]:[Cut Length9]])</f>
        <v>298.25</v>
      </c>
      <c r="N52">
        <f>Table2319383940[[#This Row],[Purchase Length]]-Table2319383940[[#This Row],[Total Cut Length]]</f>
        <v>9.75</v>
      </c>
      <c r="O52">
        <f>(COUNTA(Table2319383940[[#This Row],[Cut Length1]:[Cut Length9]])-1)*0.1875+2</f>
        <v>2.5625</v>
      </c>
      <c r="P52">
        <f>Table2319383940[[#This Row],[Total Waste]]-O52</f>
        <v>7.1875</v>
      </c>
    </row>
    <row r="54" spans="1:16" x14ac:dyDescent="0.3">
      <c r="C54">
        <f>SUM(Table2319383940[Purchase Length])</f>
        <v>3500</v>
      </c>
      <c r="I54">
        <f>SUM(Table2319383940[Total Cut Length])</f>
        <v>3374</v>
      </c>
      <c r="J54">
        <f>SUM(Table2319383940[Total Waste])</f>
        <v>126</v>
      </c>
    </row>
    <row r="55" spans="1:16" x14ac:dyDescent="0.3">
      <c r="J55" s="1">
        <f>J54/C54</f>
        <v>3.5999999999999997E-2</v>
      </c>
    </row>
    <row r="57" spans="1:16" x14ac:dyDescent="0.3">
      <c r="C57" s="49" t="s">
        <v>67</v>
      </c>
      <c r="D57" s="50"/>
      <c r="E57" s="50"/>
      <c r="F57" s="50"/>
      <c r="G57" s="50"/>
      <c r="H57" s="50"/>
      <c r="I57" s="50"/>
      <c r="J57" s="50"/>
    </row>
    <row r="58" spans="1:16" x14ac:dyDescent="0.3">
      <c r="C58" s="50"/>
      <c r="D58" s="50"/>
      <c r="E58" s="50"/>
      <c r="F58" s="50"/>
      <c r="G58" s="50"/>
      <c r="H58" s="50"/>
      <c r="I58" s="50"/>
      <c r="J58" s="50"/>
    </row>
    <row r="59" spans="1:16" x14ac:dyDescent="0.3">
      <c r="C59" s="50"/>
      <c r="D59" s="50"/>
      <c r="E59" s="50"/>
      <c r="F59" s="50"/>
      <c r="G59" s="50"/>
      <c r="H59" s="50"/>
      <c r="I59" s="50"/>
      <c r="J59" s="50"/>
    </row>
    <row r="60" spans="1:16" x14ac:dyDescent="0.3">
      <c r="C60" s="50"/>
      <c r="D60" s="50"/>
      <c r="E60" s="50"/>
      <c r="F60" s="50"/>
      <c r="G60" s="50"/>
      <c r="H60" s="50"/>
      <c r="I60" s="50"/>
      <c r="J60" s="50"/>
    </row>
    <row r="61" spans="1:16" x14ac:dyDescent="0.3">
      <c r="C61" s="50"/>
      <c r="D61" s="50"/>
      <c r="E61" s="50"/>
      <c r="F61" s="50"/>
      <c r="G61" s="50"/>
      <c r="H61" s="50"/>
      <c r="I61" s="50"/>
      <c r="J61" s="50"/>
    </row>
  </sheetData>
  <mergeCells count="6">
    <mergeCell ref="C57:J61"/>
    <mergeCell ref="O45:P45"/>
    <mergeCell ref="A45:J45"/>
    <mergeCell ref="A1:J1"/>
    <mergeCell ref="A20:J20"/>
    <mergeCell ref="B39:C39"/>
  </mergeCells>
  <phoneticPr fontId="4" type="noConversion"/>
  <pageMargins left="0.7" right="0.7" top="0.75" bottom="0.75" header="0.3" footer="0.3"/>
  <pageSetup paperSize="4" scale="46"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8B5FF-0E80-4BB0-A8D1-8C425E0091B8}">
  <sheetPr>
    <pageSetUpPr fitToPage="1"/>
  </sheetPr>
  <dimension ref="A1:N72"/>
  <sheetViews>
    <sheetView topLeftCell="A49" workbookViewId="0">
      <selection activeCell="K61" sqref="K61"/>
    </sheetView>
  </sheetViews>
  <sheetFormatPr defaultRowHeight="14.4" x14ac:dyDescent="0.3"/>
  <cols>
    <col min="1" max="1" width="17.109375" bestFit="1" customWidth="1"/>
    <col min="2" max="2" width="14.33203125" bestFit="1" customWidth="1"/>
    <col min="3" max="3" width="17.33203125" bestFit="1" customWidth="1"/>
    <col min="4" max="7" width="13.33203125" bestFit="1" customWidth="1"/>
    <col min="8" max="8" width="17.109375" bestFit="1" customWidth="1"/>
    <col min="9" max="9" width="13.109375" bestFit="1" customWidth="1"/>
    <col min="11" max="11" width="14" customWidth="1"/>
    <col min="12" max="12" width="15.109375" customWidth="1"/>
  </cols>
  <sheetData>
    <row r="1" spans="1:9" x14ac:dyDescent="0.3">
      <c r="A1" s="52" t="s">
        <v>34</v>
      </c>
      <c r="B1" s="52"/>
      <c r="C1" s="52"/>
      <c r="D1" s="52"/>
      <c r="E1" s="52"/>
      <c r="F1" s="52"/>
      <c r="G1" s="52"/>
      <c r="H1" s="52"/>
      <c r="I1" s="52"/>
    </row>
    <row r="2" spans="1:9" x14ac:dyDescent="0.3">
      <c r="A2" t="s">
        <v>17</v>
      </c>
      <c r="B2" t="s">
        <v>16</v>
      </c>
      <c r="C2" t="s">
        <v>15</v>
      </c>
      <c r="D2" t="s">
        <v>14</v>
      </c>
      <c r="E2" t="s">
        <v>13</v>
      </c>
      <c r="F2" t="s">
        <v>12</v>
      </c>
      <c r="G2" t="s">
        <v>11</v>
      </c>
      <c r="H2" t="s">
        <v>5</v>
      </c>
      <c r="I2" t="s">
        <v>4</v>
      </c>
    </row>
    <row r="3" spans="1:9" x14ac:dyDescent="0.3">
      <c r="A3" t="s">
        <v>3</v>
      </c>
      <c r="B3" t="s">
        <v>2</v>
      </c>
      <c r="C3">
        <v>720</v>
      </c>
      <c r="D3">
        <v>152</v>
      </c>
      <c r="E3">
        <v>152</v>
      </c>
      <c r="F3">
        <v>152</v>
      </c>
      <c r="G3">
        <v>152</v>
      </c>
      <c r="H3">
        <f>SUM(Table213[[#This Row],[Cut Length1]:[Cut Length4]])</f>
        <v>608</v>
      </c>
      <c r="I3">
        <f>Table213[[#This Row],[Purchase Length]]-Table213[[#This Row],[Total Cut Length]]</f>
        <v>112</v>
      </c>
    </row>
    <row r="4" spans="1:9" x14ac:dyDescent="0.3">
      <c r="A4" t="s">
        <v>3</v>
      </c>
      <c r="B4" t="s">
        <v>2</v>
      </c>
      <c r="C4">
        <v>720</v>
      </c>
      <c r="D4">
        <v>577</v>
      </c>
      <c r="H4">
        <f>SUM(Table213[[#This Row],[Cut Length1]:[Cut Length4]])</f>
        <v>577</v>
      </c>
      <c r="I4">
        <f>Table213[[#This Row],[Purchase Length]]-Table213[[#This Row],[Total Cut Length]]</f>
        <v>143</v>
      </c>
    </row>
    <row r="5" spans="1:9" x14ac:dyDescent="0.3">
      <c r="A5" t="s">
        <v>3</v>
      </c>
      <c r="B5" t="s">
        <v>2</v>
      </c>
      <c r="C5">
        <v>720</v>
      </c>
      <c r="D5">
        <v>577</v>
      </c>
      <c r="H5">
        <f>SUM(Table213[[#This Row],[Cut Length1]:[Cut Length4]])</f>
        <v>577</v>
      </c>
      <c r="I5">
        <f>Table213[[#This Row],[Purchase Length]]-Table213[[#This Row],[Total Cut Length]]</f>
        <v>143</v>
      </c>
    </row>
    <row r="6" spans="1:9" x14ac:dyDescent="0.3">
      <c r="A6" t="s">
        <v>3</v>
      </c>
      <c r="B6" t="s">
        <v>2</v>
      </c>
      <c r="C6">
        <v>720</v>
      </c>
      <c r="D6">
        <v>152</v>
      </c>
      <c r="E6">
        <v>152</v>
      </c>
      <c r="H6">
        <f>SUM(Table213[[#This Row],[Cut Length1]:[Cut Length4]])</f>
        <v>304</v>
      </c>
      <c r="I6">
        <f>Table213[[#This Row],[Purchase Length]]-Table213[[#This Row],[Total Cut Length]]</f>
        <v>416</v>
      </c>
    </row>
    <row r="7" spans="1:9" x14ac:dyDescent="0.3">
      <c r="A7" t="s">
        <v>1</v>
      </c>
      <c r="B7" t="s">
        <v>0</v>
      </c>
      <c r="C7">
        <v>600</v>
      </c>
      <c r="D7">
        <v>152</v>
      </c>
      <c r="E7">
        <v>152</v>
      </c>
      <c r="F7">
        <v>152</v>
      </c>
      <c r="G7">
        <v>27</v>
      </c>
      <c r="H7">
        <f>SUM(Table213[[#This Row],[Cut Length1]:[Cut Length4]])</f>
        <v>483</v>
      </c>
      <c r="I7">
        <f>Table213[[#This Row],[Purchase Length]]-Table213[[#This Row],[Total Cut Length]]</f>
        <v>117</v>
      </c>
    </row>
    <row r="8" spans="1:9" x14ac:dyDescent="0.3">
      <c r="A8" t="s">
        <v>1</v>
      </c>
      <c r="B8" t="s">
        <v>0</v>
      </c>
      <c r="C8">
        <v>600</v>
      </c>
      <c r="D8">
        <v>152</v>
      </c>
      <c r="E8">
        <v>152</v>
      </c>
      <c r="F8">
        <v>152</v>
      </c>
      <c r="H8">
        <f>SUM(Table213[[#This Row],[Cut Length1]:[Cut Length4]])</f>
        <v>456</v>
      </c>
      <c r="I8">
        <f>Table213[[#This Row],[Purchase Length]]-Table213[[#This Row],[Total Cut Length]]</f>
        <v>144</v>
      </c>
    </row>
    <row r="9" spans="1:9" x14ac:dyDescent="0.3">
      <c r="A9" t="s">
        <v>1</v>
      </c>
      <c r="B9" t="s">
        <v>0</v>
      </c>
      <c r="C9">
        <v>600</v>
      </c>
      <c r="D9">
        <v>152</v>
      </c>
      <c r="E9">
        <v>152</v>
      </c>
      <c r="F9">
        <v>152</v>
      </c>
      <c r="H9">
        <f>SUM(Table213[[#This Row],[Cut Length1]:[Cut Length4]])</f>
        <v>456</v>
      </c>
      <c r="I9">
        <f>Table213[[#This Row],[Purchase Length]]-Table213[[#This Row],[Total Cut Length]]</f>
        <v>144</v>
      </c>
    </row>
    <row r="10" spans="1:9" x14ac:dyDescent="0.3">
      <c r="A10" t="s">
        <v>1</v>
      </c>
      <c r="B10" t="s">
        <v>0</v>
      </c>
      <c r="C10">
        <v>600</v>
      </c>
      <c r="D10">
        <v>152</v>
      </c>
      <c r="E10">
        <v>152</v>
      </c>
      <c r="F10">
        <v>152</v>
      </c>
      <c r="H10">
        <f>SUM(Table213[[#This Row],[Cut Length1]:[Cut Length4]])</f>
        <v>456</v>
      </c>
      <c r="I10">
        <f>Table213[[#This Row],[Purchase Length]]-Table213[[#This Row],[Total Cut Length]]</f>
        <v>144</v>
      </c>
    </row>
    <row r="11" spans="1:9" x14ac:dyDescent="0.3">
      <c r="A11" t="s">
        <v>1</v>
      </c>
      <c r="B11" t="s">
        <v>0</v>
      </c>
      <c r="C11">
        <v>600</v>
      </c>
      <c r="D11">
        <v>152</v>
      </c>
      <c r="E11">
        <v>152</v>
      </c>
      <c r="H11">
        <f>SUM(Table213[[#This Row],[Cut Length1]:[Cut Length4]])</f>
        <v>304</v>
      </c>
      <c r="I11">
        <f>Table213[[#This Row],[Purchase Length]]-Table213[[#This Row],[Total Cut Length]]</f>
        <v>296</v>
      </c>
    </row>
    <row r="13" spans="1:9" x14ac:dyDescent="0.3">
      <c r="C13">
        <f>SUM(Table213[Purchase Length])</f>
        <v>5880</v>
      </c>
      <c r="H13">
        <f>SUM(Table213[Total Cut Length])</f>
        <v>4221</v>
      </c>
      <c r="I13">
        <f>SUM(Table213[Total Waste])</f>
        <v>1659</v>
      </c>
    </row>
    <row r="14" spans="1:9" x14ac:dyDescent="0.3">
      <c r="I14" s="1">
        <f>I13/C13</f>
        <v>0.28214285714285714</v>
      </c>
    </row>
    <row r="15" spans="1:9" x14ac:dyDescent="0.3">
      <c r="A15" t="s">
        <v>31</v>
      </c>
      <c r="D15" t="s">
        <v>20</v>
      </c>
      <c r="E15" t="s">
        <v>16</v>
      </c>
      <c r="F15" t="s">
        <v>5</v>
      </c>
      <c r="G15" t="s">
        <v>4</v>
      </c>
    </row>
    <row r="16" spans="1:9" x14ac:dyDescent="0.3">
      <c r="D16" t="str" cm="1">
        <f t="array" ref="D16:D17">_xlfn.UNIQUE(Table213[Item Description])</f>
        <v>W18x50</v>
      </c>
      <c r="E16" t="str" cm="1">
        <f t="array" ref="E16:E17">_xlfn.UNIQUE(Table213[Raw Material])</f>
        <v>804-15017</v>
      </c>
      <c r="F16">
        <f>ROUNDUP(SUMIF(Table213[Raw Material],E16,Table213[Total Cut Length])/12,0)</f>
        <v>173</v>
      </c>
      <c r="G16">
        <f>ROUNDUP(SUMIF(Table213[Raw Material],E16,Table213[Total Waste])/12,0)</f>
        <v>68</v>
      </c>
    </row>
    <row r="17" spans="1:10" x14ac:dyDescent="0.3">
      <c r="D17" t="str">
        <v>W10x17</v>
      </c>
      <c r="E17" t="str">
        <v>804-15022</v>
      </c>
      <c r="F17">
        <f>ROUNDUP(SUMIF(Table213[Raw Material],E17,Table213[Total Cut Length])/12,0)</f>
        <v>180</v>
      </c>
      <c r="G17">
        <f>ROUNDUP(SUMIF(Table213[Raw Material],E17,Table213[Total Waste])/12,0)</f>
        <v>71</v>
      </c>
    </row>
    <row r="20" spans="1:10" x14ac:dyDescent="0.3">
      <c r="A20" s="52" t="s">
        <v>35</v>
      </c>
      <c r="B20" s="52"/>
      <c r="C20" s="52"/>
      <c r="D20" s="52"/>
      <c r="E20" s="52"/>
      <c r="F20" s="52"/>
      <c r="G20" s="52"/>
      <c r="H20" s="52"/>
      <c r="I20" s="52"/>
    </row>
    <row r="21" spans="1:10" x14ac:dyDescent="0.3">
      <c r="A21" t="s">
        <v>17</v>
      </c>
      <c r="B21" t="s">
        <v>16</v>
      </c>
      <c r="C21" t="s">
        <v>15</v>
      </c>
      <c r="D21" t="s">
        <v>14</v>
      </c>
      <c r="E21" t="s">
        <v>13</v>
      </c>
      <c r="F21" t="s">
        <v>12</v>
      </c>
      <c r="G21" t="s">
        <v>11</v>
      </c>
      <c r="H21" t="s">
        <v>10</v>
      </c>
      <c r="I21" t="s">
        <v>5</v>
      </c>
      <c r="J21" t="s">
        <v>4</v>
      </c>
    </row>
    <row r="22" spans="1:10" x14ac:dyDescent="0.3">
      <c r="A22" t="s">
        <v>3</v>
      </c>
      <c r="B22" t="s">
        <v>2</v>
      </c>
      <c r="C22">
        <v>580</v>
      </c>
      <c r="D22">
        <v>577</v>
      </c>
      <c r="I22">
        <f>SUM(Table21316[[#This Row],[Cut Length1]:[Cut Length5]])</f>
        <v>577</v>
      </c>
      <c r="J22">
        <f>Table21316[[#This Row],[Purchase Length]]-Table21316[[#This Row],[Total Cut Length]]</f>
        <v>3</v>
      </c>
    </row>
    <row r="23" spans="1:10" x14ac:dyDescent="0.3">
      <c r="A23" t="s">
        <v>3</v>
      </c>
      <c r="B23" t="s">
        <v>2</v>
      </c>
      <c r="C23">
        <v>580</v>
      </c>
      <c r="D23">
        <v>577</v>
      </c>
      <c r="I23">
        <f>SUM(Table21316[[#This Row],[Cut Length1]:[Cut Length5]])</f>
        <v>577</v>
      </c>
      <c r="J23">
        <f>Table21316[[#This Row],[Purchase Length]]-Table21316[[#This Row],[Total Cut Length]]</f>
        <v>3</v>
      </c>
    </row>
    <row r="24" spans="1:10" x14ac:dyDescent="0.3">
      <c r="A24" t="s">
        <v>3</v>
      </c>
      <c r="B24" t="s">
        <v>2</v>
      </c>
      <c r="C24">
        <v>460</v>
      </c>
      <c r="D24">
        <v>152</v>
      </c>
      <c r="E24">
        <v>152</v>
      </c>
      <c r="F24">
        <v>152</v>
      </c>
      <c r="I24">
        <f>SUM(Table21316[[#This Row],[Cut Length1]:[Cut Length5]])</f>
        <v>456</v>
      </c>
      <c r="J24">
        <f>Table21316[[#This Row],[Purchase Length]]-Table21316[[#This Row],[Total Cut Length]]</f>
        <v>4</v>
      </c>
    </row>
    <row r="25" spans="1:10" x14ac:dyDescent="0.3">
      <c r="A25" t="s">
        <v>3</v>
      </c>
      <c r="B25" t="s">
        <v>2</v>
      </c>
      <c r="C25">
        <v>460</v>
      </c>
      <c r="D25">
        <v>152</v>
      </c>
      <c r="E25">
        <v>152</v>
      </c>
      <c r="F25">
        <v>152</v>
      </c>
      <c r="I25">
        <f>SUM(Table21316[[#This Row],[Cut Length1]:[Cut Length5]])</f>
        <v>456</v>
      </c>
      <c r="J25">
        <f>Table21316[[#This Row],[Purchase Length]]-Table21316[[#This Row],[Total Cut Length]]</f>
        <v>4</v>
      </c>
    </row>
    <row r="26" spans="1:10" x14ac:dyDescent="0.3">
      <c r="A26" t="s">
        <v>1</v>
      </c>
      <c r="B26" t="s">
        <v>0</v>
      </c>
      <c r="C26">
        <v>308</v>
      </c>
      <c r="D26">
        <v>152</v>
      </c>
      <c r="E26">
        <v>152</v>
      </c>
      <c r="I26">
        <f>SUM(Table21316[[#This Row],[Cut Length1]:[Cut Length5]])</f>
        <v>304</v>
      </c>
      <c r="J26">
        <f>Table21316[[#This Row],[Purchase Length]]-Table21316[[#This Row],[Total Cut Length]]</f>
        <v>4</v>
      </c>
    </row>
    <row r="27" spans="1:10" x14ac:dyDescent="0.3">
      <c r="A27" t="s">
        <v>1</v>
      </c>
      <c r="B27" t="s">
        <v>0</v>
      </c>
      <c r="C27">
        <v>308</v>
      </c>
      <c r="D27">
        <v>152</v>
      </c>
      <c r="E27">
        <v>152</v>
      </c>
      <c r="I27">
        <f>SUM(Table21316[[#This Row],[Cut Length1]:[Cut Length5]])</f>
        <v>304</v>
      </c>
      <c r="J27">
        <f>Table21316[[#This Row],[Purchase Length]]-Table21316[[#This Row],[Total Cut Length]]</f>
        <v>4</v>
      </c>
    </row>
    <row r="28" spans="1:10" x14ac:dyDescent="0.3">
      <c r="A28" t="s">
        <v>1</v>
      </c>
      <c r="B28" t="s">
        <v>0</v>
      </c>
      <c r="C28">
        <v>308</v>
      </c>
      <c r="D28">
        <v>152</v>
      </c>
      <c r="E28">
        <v>152</v>
      </c>
      <c r="I28">
        <f>SUM(Table21316[[#This Row],[Cut Length1]:[Cut Length5]])</f>
        <v>304</v>
      </c>
      <c r="J28">
        <f>Table21316[[#This Row],[Purchase Length]]-Table21316[[#This Row],[Total Cut Length]]</f>
        <v>4</v>
      </c>
    </row>
    <row r="29" spans="1:10" x14ac:dyDescent="0.3">
      <c r="A29" t="s">
        <v>1</v>
      </c>
      <c r="B29" t="s">
        <v>0</v>
      </c>
      <c r="C29">
        <v>308</v>
      </c>
      <c r="D29">
        <v>152</v>
      </c>
      <c r="E29">
        <v>152</v>
      </c>
      <c r="I29">
        <f>SUM(Table21316[[#This Row],[Cut Length1]:[Cut Length5]])</f>
        <v>304</v>
      </c>
      <c r="J29">
        <f>Table21316[[#This Row],[Purchase Length]]-Table21316[[#This Row],[Total Cut Length]]</f>
        <v>4</v>
      </c>
    </row>
    <row r="30" spans="1:10" x14ac:dyDescent="0.3">
      <c r="A30" t="s">
        <v>1</v>
      </c>
      <c r="B30" t="s">
        <v>0</v>
      </c>
      <c r="C30">
        <v>308</v>
      </c>
      <c r="D30">
        <v>152</v>
      </c>
      <c r="E30">
        <v>152</v>
      </c>
      <c r="I30">
        <f>SUM(Table21316[[#This Row],[Cut Length1]:[Cut Length5]])</f>
        <v>304</v>
      </c>
      <c r="J30">
        <f>Table21316[[#This Row],[Purchase Length]]-Table21316[[#This Row],[Total Cut Length]]</f>
        <v>4</v>
      </c>
    </row>
    <row r="31" spans="1:10" x14ac:dyDescent="0.3">
      <c r="A31" t="s">
        <v>1</v>
      </c>
      <c r="B31" t="s">
        <v>0</v>
      </c>
      <c r="C31">
        <v>308</v>
      </c>
      <c r="D31">
        <v>152</v>
      </c>
      <c r="E31">
        <v>152</v>
      </c>
      <c r="I31">
        <f>SUM(Table21316[[#This Row],[Cut Length1]:[Cut Length5]])</f>
        <v>304</v>
      </c>
      <c r="J31">
        <f>Table21316[[#This Row],[Purchase Length]]-Table21316[[#This Row],[Total Cut Length]]</f>
        <v>4</v>
      </c>
    </row>
    <row r="32" spans="1:10" x14ac:dyDescent="0.3">
      <c r="A32" t="s">
        <v>1</v>
      </c>
      <c r="B32" t="s">
        <v>0</v>
      </c>
      <c r="C32">
        <v>308</v>
      </c>
      <c r="D32">
        <v>152</v>
      </c>
      <c r="E32">
        <v>152</v>
      </c>
      <c r="I32">
        <f>SUM(Table21316[[#This Row],[Cut Length1]:[Cut Length5]])</f>
        <v>304</v>
      </c>
      <c r="J32">
        <f>Table21316[[#This Row],[Purchase Length]]-Table21316[[#This Row],[Total Cut Length]]</f>
        <v>4</v>
      </c>
    </row>
    <row r="33" spans="1:14" x14ac:dyDescent="0.3">
      <c r="A33" t="s">
        <v>1</v>
      </c>
      <c r="B33" t="s">
        <v>0</v>
      </c>
      <c r="C33">
        <v>308</v>
      </c>
      <c r="D33">
        <v>27</v>
      </c>
      <c r="I33">
        <f>SUM(Table21316[[#This Row],[Cut Length1]:[Cut Length5]])</f>
        <v>27</v>
      </c>
      <c r="J33">
        <f>Table21316[[#This Row],[Purchase Length]]-Table21316[[#This Row],[Total Cut Length]]</f>
        <v>281</v>
      </c>
    </row>
    <row r="35" spans="1:14" x14ac:dyDescent="0.3">
      <c r="C35">
        <f>SUM(Table21316[Purchase Length])</f>
        <v>4544</v>
      </c>
      <c r="H35">
        <f>SUM(Table21316[Total Cut Length])</f>
        <v>4221</v>
      </c>
      <c r="I35">
        <f>SUM(Table21316[Total Waste])</f>
        <v>323</v>
      </c>
    </row>
    <row r="36" spans="1:14" x14ac:dyDescent="0.3">
      <c r="I36" s="1">
        <f>I35/C35</f>
        <v>7.1082746478873235E-2</v>
      </c>
    </row>
    <row r="37" spans="1:14" x14ac:dyDescent="0.3">
      <c r="A37" s="31" t="s">
        <v>31</v>
      </c>
      <c r="B37" s="38"/>
      <c r="C37" s="38"/>
      <c r="D37" t="s">
        <v>20</v>
      </c>
      <c r="E37" t="s">
        <v>16</v>
      </c>
      <c r="F37" t="s">
        <v>5</v>
      </c>
      <c r="G37" t="s">
        <v>4</v>
      </c>
    </row>
    <row r="38" spans="1:14" x14ac:dyDescent="0.3">
      <c r="D38" t="str" cm="1">
        <f t="array" ref="D38:D39">_xlfn.UNIQUE(Table21316[Item Description])</f>
        <v>W18x50</v>
      </c>
      <c r="E38" t="str" cm="1">
        <f t="array" ref="E38:E39">_xlfn.UNIQUE(Table21316[Raw Material])</f>
        <v>804-15017</v>
      </c>
      <c r="F38">
        <f>ROUNDUP(SUMIF(Table21316[Raw Material],E38,Table21316[Total Cut Length])/12,0)</f>
        <v>173</v>
      </c>
      <c r="G38">
        <f>ROUNDUP(SUMIF(Table21316[Raw Material],E38,Table21316[Total Waste])/12,0)</f>
        <v>2</v>
      </c>
      <c r="K38" t="s">
        <v>3</v>
      </c>
      <c r="L38">
        <v>780</v>
      </c>
      <c r="M38">
        <f>COUNTIFS(Table21316[Item Description],K38,Table21316[Purchase Length],L38)</f>
        <v>0</v>
      </c>
      <c r="N38">
        <f>M38*$D$46</f>
        <v>0</v>
      </c>
    </row>
    <row r="39" spans="1:14" x14ac:dyDescent="0.3">
      <c r="D39" t="str">
        <v>W10x17</v>
      </c>
      <c r="E39" t="str">
        <v>804-15022</v>
      </c>
      <c r="F39">
        <f>ROUNDUP(SUMIF(Table21316[Raw Material],E39,Table21316[Total Cut Length])/12,0)</f>
        <v>180</v>
      </c>
      <c r="G39">
        <f>ROUNDUP(SUMIF(Table21316[Raw Material],E39,Table21316[Total Waste])/12,0)</f>
        <v>26</v>
      </c>
      <c r="K39" t="s">
        <v>3</v>
      </c>
      <c r="L39">
        <v>720</v>
      </c>
      <c r="M39">
        <f>COUNTIFS(Table21316[Item Description],K39,Table21316[Purchase Length],L39)</f>
        <v>0</v>
      </c>
      <c r="N39">
        <f t="shared" ref="N39:N48" si="0">M39*$D$46</f>
        <v>0</v>
      </c>
    </row>
    <row r="40" spans="1:14" x14ac:dyDescent="0.3">
      <c r="K40" t="s">
        <v>3</v>
      </c>
      <c r="L40">
        <v>690</v>
      </c>
      <c r="M40">
        <f>COUNTIFS(Table21316[Item Description],K40,Table21316[Purchase Length],L40)</f>
        <v>0</v>
      </c>
      <c r="N40">
        <f t="shared" si="0"/>
        <v>0</v>
      </c>
    </row>
    <row r="41" spans="1:14" x14ac:dyDescent="0.3">
      <c r="K41" t="s">
        <v>3</v>
      </c>
      <c r="L41">
        <v>612</v>
      </c>
      <c r="M41">
        <f>COUNTIFS(Table21316[Item Description],K41,Table21316[Purchase Length],L41)</f>
        <v>0</v>
      </c>
      <c r="N41">
        <f t="shared" si="0"/>
        <v>0</v>
      </c>
    </row>
    <row r="42" spans="1:14" x14ac:dyDescent="0.3">
      <c r="D42" t="s">
        <v>37</v>
      </c>
      <c r="E42" t="s">
        <v>42</v>
      </c>
      <c r="F42" s="23" t="s">
        <v>43</v>
      </c>
      <c r="K42" t="s">
        <v>3</v>
      </c>
      <c r="L42">
        <v>600</v>
      </c>
      <c r="M42">
        <f>COUNTIFS(Table21316[Item Description],K42,Table21316[Purchase Length],L42)</f>
        <v>0</v>
      </c>
      <c r="N42">
        <f t="shared" si="0"/>
        <v>0</v>
      </c>
    </row>
    <row r="43" spans="1:14" x14ac:dyDescent="0.3">
      <c r="B43" s="53" t="s">
        <v>36</v>
      </c>
      <c r="C43" s="53"/>
      <c r="D43" s="21">
        <f>(SUM(C3:C6)-SUM(C22:C25))/12</f>
        <v>66.666666666666671</v>
      </c>
      <c r="E43" s="21">
        <f>(SUM(C7:C11)-SUM(C26:C33))/12</f>
        <v>44.666666666666664</v>
      </c>
      <c r="F43" s="23"/>
      <c r="K43" t="s">
        <v>3</v>
      </c>
      <c r="L43">
        <v>460</v>
      </c>
      <c r="M43">
        <f>COUNTIFS(Table21316[Item Description],K43,Table21316[Purchase Length],L43)</f>
        <v>2</v>
      </c>
      <c r="N43">
        <f t="shared" si="0"/>
        <v>20</v>
      </c>
    </row>
    <row r="44" spans="1:14" x14ac:dyDescent="0.3">
      <c r="C44" t="s">
        <v>38</v>
      </c>
      <c r="D44" s="20">
        <v>40.520000000000003</v>
      </c>
      <c r="E44" s="20">
        <v>13.49</v>
      </c>
      <c r="F44" s="23"/>
      <c r="K44" t="s">
        <v>19</v>
      </c>
      <c r="L44">
        <v>564</v>
      </c>
      <c r="M44">
        <f>COUNTIFS(Table21316[Item Description],K44,Table21316[Purchase Length],L44)</f>
        <v>0</v>
      </c>
      <c r="N44">
        <f t="shared" si="0"/>
        <v>0</v>
      </c>
    </row>
    <row r="45" spans="1:14" x14ac:dyDescent="0.3">
      <c r="C45" t="s">
        <v>41</v>
      </c>
      <c r="D45" s="20">
        <f>D43*D44</f>
        <v>2701.3333333333339</v>
      </c>
      <c r="E45" s="20">
        <f>E43*E44</f>
        <v>602.55333333333328</v>
      </c>
      <c r="F45" s="24">
        <f>D45+E45</f>
        <v>3303.8866666666672</v>
      </c>
      <c r="K45" t="s">
        <v>19</v>
      </c>
      <c r="L45">
        <v>420</v>
      </c>
      <c r="M45">
        <f>COUNTIFS(Table21316[Item Description],K45,Table21316[Purchase Length],L45)</f>
        <v>0</v>
      </c>
      <c r="N45">
        <f t="shared" si="0"/>
        <v>0</v>
      </c>
    </row>
    <row r="46" spans="1:14" x14ac:dyDescent="0.3">
      <c r="C46" t="s">
        <v>39</v>
      </c>
      <c r="D46">
        <f>Summary!D9</f>
        <v>10</v>
      </c>
      <c r="E46">
        <f>Summary!D9</f>
        <v>10</v>
      </c>
      <c r="F46" s="23"/>
      <c r="K46" t="s">
        <v>1</v>
      </c>
      <c r="L46">
        <v>612</v>
      </c>
      <c r="M46">
        <f>COUNTIFS(Table21316[Item Description],K46,Table21316[Purchase Length],L46)</f>
        <v>0</v>
      </c>
      <c r="N46">
        <f t="shared" si="0"/>
        <v>0</v>
      </c>
    </row>
    <row r="47" spans="1:14" x14ac:dyDescent="0.3">
      <c r="C47" t="s">
        <v>40</v>
      </c>
      <c r="D47" s="20">
        <f>D46*D45</f>
        <v>27013.333333333339</v>
      </c>
      <c r="E47" s="20">
        <f>E46*E45</f>
        <v>6025.5333333333328</v>
      </c>
      <c r="F47" s="24">
        <f>D47+E47</f>
        <v>33038.866666666669</v>
      </c>
      <c r="K47" t="s">
        <v>1</v>
      </c>
      <c r="L47">
        <v>600</v>
      </c>
      <c r="M47">
        <f>COUNTIFS(Table21316[Item Description],K47,Table21316[Purchase Length],L47)</f>
        <v>0</v>
      </c>
      <c r="N47">
        <f t="shared" si="0"/>
        <v>0</v>
      </c>
    </row>
    <row r="48" spans="1:14" x14ac:dyDescent="0.3">
      <c r="K48" t="s">
        <v>1</v>
      </c>
      <c r="L48">
        <v>460</v>
      </c>
      <c r="M48">
        <f>COUNTIFS(Table21316[Item Description],K48,Table21316[Purchase Length],L48)</f>
        <v>0</v>
      </c>
      <c r="N48">
        <f t="shared" si="0"/>
        <v>0</v>
      </c>
    </row>
    <row r="49" spans="1:12" x14ac:dyDescent="0.3">
      <c r="A49" s="52" t="s">
        <v>35</v>
      </c>
      <c r="B49" s="52"/>
      <c r="C49" s="52"/>
      <c r="D49" s="52"/>
      <c r="E49" s="52"/>
      <c r="F49" s="52"/>
      <c r="G49" s="52"/>
      <c r="H49" s="52"/>
      <c r="I49" s="52"/>
      <c r="K49" s="51" t="s">
        <v>64</v>
      </c>
      <c r="L49" s="51"/>
    </row>
    <row r="50" spans="1:12" ht="43.2" x14ac:dyDescent="0.3">
      <c r="A50" t="s">
        <v>17</v>
      </c>
      <c r="B50" t="s">
        <v>16</v>
      </c>
      <c r="C50" t="s">
        <v>15</v>
      </c>
      <c r="D50" t="s">
        <v>14</v>
      </c>
      <c r="E50" t="s">
        <v>13</v>
      </c>
      <c r="F50" t="s">
        <v>12</v>
      </c>
      <c r="G50" t="s">
        <v>11</v>
      </c>
      <c r="H50" t="s">
        <v>10</v>
      </c>
      <c r="I50" t="s">
        <v>5</v>
      </c>
      <c r="J50" t="s">
        <v>4</v>
      </c>
      <c r="K50" s="43" t="s">
        <v>62</v>
      </c>
      <c r="L50" s="41" t="s">
        <v>63</v>
      </c>
    </row>
    <row r="51" spans="1:12" x14ac:dyDescent="0.3">
      <c r="A51" t="s">
        <v>3</v>
      </c>
      <c r="B51" t="s">
        <v>2</v>
      </c>
      <c r="C51">
        <v>580</v>
      </c>
      <c r="D51">
        <v>577</v>
      </c>
      <c r="I51">
        <f>SUM(Table2131641[[#This Row],[Cut Length1]:[Cut Length5]])</f>
        <v>577</v>
      </c>
      <c r="J51">
        <f>Table2131641[[#This Row],[Purchase Length]]-Table2131641[[#This Row],[Total Cut Length]]</f>
        <v>3</v>
      </c>
      <c r="K51">
        <f>(COUNTA(Table2131641[[#This Row],[Cut Length1]:[Cut Length5]])-1)*0.1875+2</f>
        <v>2</v>
      </c>
      <c r="L51">
        <f>Table2131641[[#This Row],[Total Waste]]-K51</f>
        <v>1</v>
      </c>
    </row>
    <row r="52" spans="1:12" x14ac:dyDescent="0.3">
      <c r="A52" t="s">
        <v>3</v>
      </c>
      <c r="B52" t="s">
        <v>2</v>
      </c>
      <c r="C52">
        <v>580</v>
      </c>
      <c r="D52">
        <v>577</v>
      </c>
      <c r="I52">
        <f>SUM(Table2131641[[#This Row],[Cut Length1]:[Cut Length5]])</f>
        <v>577</v>
      </c>
      <c r="J52">
        <f>Table2131641[[#This Row],[Purchase Length]]-Table2131641[[#This Row],[Total Cut Length]]</f>
        <v>3</v>
      </c>
      <c r="K52">
        <f>(COUNTA(Table2131641[[#This Row],[Cut Length1]:[Cut Length5]])-1)*0.1875+2</f>
        <v>2</v>
      </c>
      <c r="L52">
        <f>Table2131641[[#This Row],[Total Waste]]-K52</f>
        <v>1</v>
      </c>
    </row>
    <row r="53" spans="1:12" x14ac:dyDescent="0.3">
      <c r="A53" t="s">
        <v>3</v>
      </c>
      <c r="B53" t="s">
        <v>2</v>
      </c>
      <c r="C53">
        <v>460</v>
      </c>
      <c r="D53">
        <v>152</v>
      </c>
      <c r="E53">
        <v>152</v>
      </c>
      <c r="F53">
        <v>152</v>
      </c>
      <c r="I53">
        <f>SUM(Table2131641[[#This Row],[Cut Length1]:[Cut Length5]])</f>
        <v>456</v>
      </c>
      <c r="J53">
        <f>Table2131641[[#This Row],[Purchase Length]]-Table2131641[[#This Row],[Total Cut Length]]</f>
        <v>4</v>
      </c>
      <c r="K53">
        <f>(COUNTA(Table2131641[[#This Row],[Cut Length1]:[Cut Length5]])-1)*0.1875+2</f>
        <v>2.375</v>
      </c>
      <c r="L53">
        <f>Table2131641[[#This Row],[Total Waste]]-K53</f>
        <v>1.625</v>
      </c>
    </row>
    <row r="54" spans="1:12" x14ac:dyDescent="0.3">
      <c r="A54" t="s">
        <v>3</v>
      </c>
      <c r="B54" t="s">
        <v>2</v>
      </c>
      <c r="C54">
        <v>460</v>
      </c>
      <c r="D54">
        <v>152</v>
      </c>
      <c r="E54">
        <v>152</v>
      </c>
      <c r="F54">
        <v>152</v>
      </c>
      <c r="I54">
        <f>SUM(Table2131641[[#This Row],[Cut Length1]:[Cut Length5]])</f>
        <v>456</v>
      </c>
      <c r="J54">
        <f>Table2131641[[#This Row],[Purchase Length]]-Table2131641[[#This Row],[Total Cut Length]]</f>
        <v>4</v>
      </c>
      <c r="K54">
        <f>(COUNTA(Table2131641[[#This Row],[Cut Length1]:[Cut Length5]])-1)*0.1875+2</f>
        <v>2.375</v>
      </c>
      <c r="L54">
        <f>Table2131641[[#This Row],[Total Waste]]-K54</f>
        <v>1.625</v>
      </c>
    </row>
    <row r="55" spans="1:12" x14ac:dyDescent="0.3">
      <c r="A55" t="s">
        <v>1</v>
      </c>
      <c r="B55" t="s">
        <v>0</v>
      </c>
      <c r="C55" s="29">
        <v>764</v>
      </c>
      <c r="D55" s="29">
        <v>152</v>
      </c>
      <c r="E55" s="29">
        <v>152</v>
      </c>
      <c r="F55" s="29">
        <v>152</v>
      </c>
      <c r="G55" s="29">
        <v>152</v>
      </c>
      <c r="H55" s="29">
        <v>152</v>
      </c>
      <c r="I55">
        <f>SUM(Table2131641[[#This Row],[Cut Length1]:[Cut Length5]])</f>
        <v>760</v>
      </c>
      <c r="J55">
        <f>Table2131641[[#This Row],[Purchase Length]]-Table2131641[[#This Row],[Total Cut Length]]</f>
        <v>4</v>
      </c>
      <c r="K55">
        <f>(COUNTA(Table2131641[[#This Row],[Cut Length1]:[Cut Length5]])-1)*0.1875+2</f>
        <v>2.75</v>
      </c>
      <c r="L55">
        <f>Table2131641[[#This Row],[Total Waste]]-K55</f>
        <v>1.25</v>
      </c>
    </row>
    <row r="56" spans="1:12" x14ac:dyDescent="0.3">
      <c r="A56" t="s">
        <v>1</v>
      </c>
      <c r="B56" t="s">
        <v>0</v>
      </c>
      <c r="C56" s="29">
        <v>764</v>
      </c>
      <c r="D56" s="29">
        <v>152</v>
      </c>
      <c r="E56" s="29">
        <v>152</v>
      </c>
      <c r="F56" s="29">
        <v>152</v>
      </c>
      <c r="G56" s="29">
        <v>152</v>
      </c>
      <c r="H56" s="29">
        <v>152</v>
      </c>
      <c r="I56">
        <f>SUM(Table2131641[[#This Row],[Cut Length1]:[Cut Length5]])</f>
        <v>760</v>
      </c>
      <c r="J56">
        <f>Table2131641[[#This Row],[Purchase Length]]-Table2131641[[#This Row],[Total Cut Length]]</f>
        <v>4</v>
      </c>
      <c r="K56">
        <f>(COUNTA(Table2131641[[#This Row],[Cut Length1]:[Cut Length5]])-1)*0.1875+2</f>
        <v>2.75</v>
      </c>
      <c r="L56">
        <f>Table2131641[[#This Row],[Total Waste]]-K56</f>
        <v>1.25</v>
      </c>
    </row>
    <row r="57" spans="1:12" x14ac:dyDescent="0.3">
      <c r="A57" t="s">
        <v>1</v>
      </c>
      <c r="B57" t="s">
        <v>0</v>
      </c>
      <c r="C57" s="29">
        <v>688</v>
      </c>
      <c r="D57" s="29">
        <v>152</v>
      </c>
      <c r="E57" s="29">
        <v>152</v>
      </c>
      <c r="F57" s="29">
        <v>152</v>
      </c>
      <c r="G57" s="29">
        <v>152</v>
      </c>
      <c r="H57" s="29">
        <v>27</v>
      </c>
      <c r="I57">
        <f>SUM(Table2131641[[#This Row],[Cut Length1]:[Cut Length5]])</f>
        <v>635</v>
      </c>
      <c r="J57">
        <f>Table2131641[[#This Row],[Purchase Length]]-Table2131641[[#This Row],[Total Cut Length]]</f>
        <v>53</v>
      </c>
      <c r="K57">
        <f>(COUNTA(Table2131641[[#This Row],[Cut Length1]:[Cut Length5]])-1)*0.1875+2</f>
        <v>2.75</v>
      </c>
      <c r="L57">
        <f>Table2131641[[#This Row],[Total Waste]]-K57</f>
        <v>50.25</v>
      </c>
    </row>
    <row r="59" spans="1:12" x14ac:dyDescent="0.3">
      <c r="C59">
        <f>SUM(Table2131641[Purchase Length])</f>
        <v>4296</v>
      </c>
      <c r="H59">
        <f>SUM(Table2131641[Total Cut Length])</f>
        <v>4221</v>
      </c>
      <c r="I59">
        <f>SUM(Table2131641[Total Waste])</f>
        <v>75</v>
      </c>
    </row>
    <row r="60" spans="1:12" x14ac:dyDescent="0.3">
      <c r="I60" s="1">
        <f>I59/C59</f>
        <v>1.7458100558659217E-2</v>
      </c>
    </row>
    <row r="62" spans="1:12" x14ac:dyDescent="0.3">
      <c r="B62" s="49" t="s">
        <v>68</v>
      </c>
      <c r="C62" s="50"/>
      <c r="D62" s="50"/>
      <c r="E62" s="50"/>
      <c r="F62" s="50"/>
      <c r="G62" s="50"/>
      <c r="H62" s="50"/>
      <c r="I62" s="50"/>
    </row>
    <row r="63" spans="1:12" x14ac:dyDescent="0.3">
      <c r="B63" s="50"/>
      <c r="C63" s="50"/>
      <c r="D63" s="50"/>
      <c r="E63" s="50"/>
      <c r="F63" s="50"/>
      <c r="G63" s="50"/>
      <c r="H63" s="50"/>
      <c r="I63" s="50"/>
    </row>
    <row r="64" spans="1:12" x14ac:dyDescent="0.3">
      <c r="B64" s="50"/>
      <c r="C64" s="50"/>
      <c r="D64" s="50"/>
      <c r="E64" s="50"/>
      <c r="F64" s="50"/>
      <c r="G64" s="50"/>
      <c r="H64" s="50"/>
      <c r="I64" s="50"/>
    </row>
    <row r="65" spans="2:9" x14ac:dyDescent="0.3">
      <c r="B65" s="50"/>
      <c r="C65" s="50"/>
      <c r="D65" s="50"/>
      <c r="E65" s="50"/>
      <c r="F65" s="50"/>
      <c r="G65" s="50"/>
      <c r="H65" s="50"/>
      <c r="I65" s="50"/>
    </row>
    <row r="66" spans="2:9" x14ac:dyDescent="0.3">
      <c r="B66" s="50"/>
      <c r="C66" s="50"/>
      <c r="D66" s="50"/>
      <c r="E66" s="50"/>
      <c r="F66" s="50"/>
      <c r="G66" s="50"/>
      <c r="H66" s="50"/>
      <c r="I66" s="50"/>
    </row>
    <row r="68" spans="2:9" x14ac:dyDescent="0.3">
      <c r="B68" s="35"/>
      <c r="C68" s="35"/>
      <c r="D68" s="35"/>
      <c r="E68" s="35"/>
      <c r="F68" s="35"/>
      <c r="G68" s="35"/>
      <c r="H68" s="35"/>
      <c r="I68" s="35"/>
    </row>
    <row r="69" spans="2:9" x14ac:dyDescent="0.3">
      <c r="B69" s="35"/>
      <c r="C69" s="35"/>
      <c r="D69" s="35"/>
      <c r="E69" s="35"/>
      <c r="F69" s="35"/>
      <c r="G69" s="35"/>
      <c r="H69" s="35"/>
      <c r="I69" s="35"/>
    </row>
    <row r="70" spans="2:9" x14ac:dyDescent="0.3">
      <c r="B70" s="35"/>
      <c r="C70" s="35"/>
      <c r="D70" s="35"/>
      <c r="E70" s="35"/>
      <c r="F70" s="35"/>
      <c r="G70" s="35"/>
      <c r="H70" s="35"/>
      <c r="I70" s="35"/>
    </row>
    <row r="71" spans="2:9" x14ac:dyDescent="0.3">
      <c r="B71" s="35"/>
      <c r="C71" s="35"/>
      <c r="D71" s="35"/>
      <c r="E71" s="35"/>
      <c r="F71" s="35"/>
      <c r="G71" s="35"/>
      <c r="H71" s="35"/>
      <c r="I71" s="35"/>
    </row>
    <row r="72" spans="2:9" x14ac:dyDescent="0.3">
      <c r="B72" s="35"/>
      <c r="C72" s="35"/>
      <c r="D72" s="35"/>
      <c r="E72" s="35"/>
      <c r="F72" s="35"/>
      <c r="G72" s="35"/>
      <c r="H72" s="35"/>
      <c r="I72" s="35"/>
    </row>
  </sheetData>
  <mergeCells count="6">
    <mergeCell ref="B62:I66"/>
    <mergeCell ref="K49:L49"/>
    <mergeCell ref="A1:I1"/>
    <mergeCell ref="A20:I20"/>
    <mergeCell ref="B43:C43"/>
    <mergeCell ref="A49:I49"/>
  </mergeCells>
  <phoneticPr fontId="4" type="noConversion"/>
  <pageMargins left="0.7" right="0.7" top="0.75" bottom="0.75" header="0.3" footer="0.3"/>
  <pageSetup paperSize="3" scale="79" orientation="landscape" horizontalDpi="1200" verticalDpi="1200"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2FDA2-F5D1-4631-A37A-2EEF4D71DE40}">
  <sheetPr>
    <pageSetUpPr fitToPage="1"/>
  </sheetPr>
  <dimension ref="A1:Q74"/>
  <sheetViews>
    <sheetView topLeftCell="A54" workbookViewId="0">
      <selection activeCell="N71" sqref="N71"/>
    </sheetView>
  </sheetViews>
  <sheetFormatPr defaultRowHeight="14.4" x14ac:dyDescent="0.3"/>
  <cols>
    <col min="1" max="1" width="11.77734375" customWidth="1"/>
    <col min="2" max="2" width="11.5546875" customWidth="1"/>
    <col min="3" max="3" width="14" customWidth="1"/>
    <col min="4" max="9" width="13.6640625" bestFit="1" customWidth="1"/>
    <col min="10" max="10" width="11.5546875" customWidth="1"/>
    <col min="11" max="11" width="9.6640625" customWidth="1"/>
    <col min="12" max="12" width="7.21875" customWidth="1"/>
    <col min="13" max="13" width="7.88671875" customWidth="1"/>
    <col min="16" max="16" width="10.33203125" customWidth="1"/>
    <col min="17" max="17" width="18.77734375" customWidth="1"/>
  </cols>
  <sheetData>
    <row r="1" spans="1:11" x14ac:dyDescent="0.3">
      <c r="A1" s="52" t="s">
        <v>34</v>
      </c>
      <c r="B1" s="52"/>
      <c r="C1" s="52"/>
      <c r="D1" s="52"/>
      <c r="E1" s="52"/>
      <c r="F1" s="52"/>
      <c r="G1" s="52"/>
      <c r="H1" s="52"/>
      <c r="I1" s="52"/>
      <c r="J1" s="52"/>
      <c r="K1" s="52"/>
    </row>
    <row r="2" spans="1:11" x14ac:dyDescent="0.3">
      <c r="A2" t="s">
        <v>17</v>
      </c>
      <c r="B2" t="s">
        <v>16</v>
      </c>
      <c r="C2" t="s">
        <v>15</v>
      </c>
      <c r="D2" t="s">
        <v>14</v>
      </c>
      <c r="E2" t="s">
        <v>13</v>
      </c>
      <c r="F2" t="s">
        <v>12</v>
      </c>
      <c r="G2" t="s">
        <v>11</v>
      </c>
      <c r="H2" t="s">
        <v>10</v>
      </c>
      <c r="I2" t="s">
        <v>9</v>
      </c>
      <c r="J2" t="s">
        <v>5</v>
      </c>
      <c r="K2" t="s">
        <v>4</v>
      </c>
    </row>
    <row r="3" spans="1:11" x14ac:dyDescent="0.3">
      <c r="A3" t="s">
        <v>3</v>
      </c>
      <c r="B3" t="s">
        <v>2</v>
      </c>
      <c r="C3">
        <v>720</v>
      </c>
      <c r="D3">
        <v>687.75</v>
      </c>
      <c r="J3">
        <f>SUM(Table215[[#This Row],[Cut Length1]:[Cut Length6]])</f>
        <v>687.75</v>
      </c>
      <c r="K3">
        <f>Table215[[#This Row],[Purchase Length]]-Table215[[#This Row],[Total Cut Length]]</f>
        <v>32.25</v>
      </c>
    </row>
    <row r="4" spans="1:11" x14ac:dyDescent="0.3">
      <c r="A4" t="s">
        <v>3</v>
      </c>
      <c r="B4" t="s">
        <v>2</v>
      </c>
      <c r="C4">
        <v>720</v>
      </c>
      <c r="D4">
        <v>687.75</v>
      </c>
      <c r="J4">
        <f>SUM(Table215[[#This Row],[Cut Length1]:[Cut Length6]])</f>
        <v>687.75</v>
      </c>
      <c r="K4">
        <f>Table215[[#This Row],[Purchase Length]]-Table215[[#This Row],[Total Cut Length]]</f>
        <v>32.25</v>
      </c>
    </row>
    <row r="5" spans="1:11" x14ac:dyDescent="0.3">
      <c r="A5" t="s">
        <v>19</v>
      </c>
      <c r="B5" t="s">
        <v>18</v>
      </c>
      <c r="C5">
        <v>720</v>
      </c>
      <c r="D5">
        <v>139.5</v>
      </c>
      <c r="E5">
        <v>139.5</v>
      </c>
      <c r="F5">
        <v>139.5</v>
      </c>
      <c r="G5">
        <v>139.5</v>
      </c>
      <c r="H5">
        <v>139.5</v>
      </c>
      <c r="J5">
        <f>SUM(Table215[[#This Row],[Cut Length1]:[Cut Length6]])</f>
        <v>697.5</v>
      </c>
      <c r="K5">
        <f>Table215[[#This Row],[Purchase Length]]-Table215[[#This Row],[Total Cut Length]]</f>
        <v>22.5</v>
      </c>
    </row>
    <row r="6" spans="1:11" x14ac:dyDescent="0.3">
      <c r="A6" t="s">
        <v>19</v>
      </c>
      <c r="B6" t="s">
        <v>18</v>
      </c>
      <c r="C6">
        <v>720</v>
      </c>
      <c r="D6">
        <v>139.5</v>
      </c>
      <c r="E6">
        <v>139.5</v>
      </c>
      <c r="F6">
        <v>139.5</v>
      </c>
      <c r="G6">
        <v>139.5</v>
      </c>
      <c r="H6">
        <v>62.75</v>
      </c>
      <c r="J6">
        <f>SUM(Table215[[#This Row],[Cut Length1]:[Cut Length6]])</f>
        <v>620.75</v>
      </c>
      <c r="K6">
        <f>Table215[[#This Row],[Purchase Length]]-Table215[[#This Row],[Total Cut Length]]</f>
        <v>99.25</v>
      </c>
    </row>
    <row r="7" spans="1:11" x14ac:dyDescent="0.3">
      <c r="A7" t="s">
        <v>1</v>
      </c>
      <c r="B7" t="s">
        <v>0</v>
      </c>
      <c r="C7">
        <v>600</v>
      </c>
      <c r="D7">
        <v>139.5</v>
      </c>
      <c r="E7">
        <v>139.5</v>
      </c>
      <c r="F7">
        <v>139.5</v>
      </c>
      <c r="G7">
        <v>139.5</v>
      </c>
      <c r="J7">
        <f>SUM(Table215[[#This Row],[Cut Length1]:[Cut Length6]])</f>
        <v>558</v>
      </c>
      <c r="K7">
        <f>Table215[[#This Row],[Purchase Length]]-Table215[[#This Row],[Total Cut Length]]</f>
        <v>42</v>
      </c>
    </row>
    <row r="8" spans="1:11" x14ac:dyDescent="0.3">
      <c r="A8" t="s">
        <v>1</v>
      </c>
      <c r="B8" t="s">
        <v>0</v>
      </c>
      <c r="C8">
        <v>600</v>
      </c>
      <c r="D8">
        <v>139.5</v>
      </c>
      <c r="E8">
        <v>139.5</v>
      </c>
      <c r="F8">
        <v>139.5</v>
      </c>
      <c r="G8">
        <v>139.5</v>
      </c>
      <c r="J8">
        <f>SUM(Table215[[#This Row],[Cut Length1]:[Cut Length6]])</f>
        <v>558</v>
      </c>
      <c r="K8">
        <f>Table215[[#This Row],[Purchase Length]]-Table215[[#This Row],[Total Cut Length]]</f>
        <v>42</v>
      </c>
    </row>
    <row r="9" spans="1:11" x14ac:dyDescent="0.3">
      <c r="A9" t="s">
        <v>1</v>
      </c>
      <c r="B9" t="s">
        <v>0</v>
      </c>
      <c r="C9">
        <v>600</v>
      </c>
      <c r="D9">
        <v>139.5</v>
      </c>
      <c r="E9">
        <v>139.5</v>
      </c>
      <c r="F9">
        <v>139.5</v>
      </c>
      <c r="G9">
        <v>139.5</v>
      </c>
      <c r="J9">
        <f>SUM(Table215[[#This Row],[Cut Length1]:[Cut Length6]])</f>
        <v>558</v>
      </c>
      <c r="K9">
        <f>Table215[[#This Row],[Purchase Length]]-Table215[[#This Row],[Total Cut Length]]</f>
        <v>42</v>
      </c>
    </row>
    <row r="10" spans="1:11" x14ac:dyDescent="0.3">
      <c r="A10" t="s">
        <v>1</v>
      </c>
      <c r="B10" t="s">
        <v>0</v>
      </c>
      <c r="C10">
        <v>600</v>
      </c>
      <c r="D10">
        <v>139.5</v>
      </c>
      <c r="E10">
        <v>111.75</v>
      </c>
      <c r="F10">
        <v>111.75</v>
      </c>
      <c r="G10">
        <v>91</v>
      </c>
      <c r="H10">
        <v>91</v>
      </c>
      <c r="I10">
        <v>49.25</v>
      </c>
      <c r="J10">
        <f>SUM(Table215[[#This Row],[Cut Length1]:[Cut Length6]])</f>
        <v>594.25</v>
      </c>
      <c r="K10">
        <f>Table215[[#This Row],[Purchase Length]]-Table215[[#This Row],[Total Cut Length]]</f>
        <v>5.75</v>
      </c>
    </row>
    <row r="11" spans="1:11" x14ac:dyDescent="0.3">
      <c r="A11" t="s">
        <v>1</v>
      </c>
      <c r="B11" t="s">
        <v>0</v>
      </c>
      <c r="C11">
        <v>600</v>
      </c>
      <c r="D11">
        <v>48.5</v>
      </c>
      <c r="E11">
        <v>43.5</v>
      </c>
      <c r="J11">
        <f>SUM(Table215[[#This Row],[Cut Length1]:[Cut Length6]])</f>
        <v>92</v>
      </c>
      <c r="K11">
        <f>Table215[[#This Row],[Purchase Length]]-Table215[[#This Row],[Total Cut Length]]</f>
        <v>508</v>
      </c>
    </row>
    <row r="13" spans="1:11" x14ac:dyDescent="0.3">
      <c r="C13">
        <f>SUM(Table215[Purchase Length])</f>
        <v>5880</v>
      </c>
      <c r="J13">
        <f>SUM(Table215[Total Cut Length])</f>
        <v>5054</v>
      </c>
      <c r="K13">
        <f>SUM(Table215[Total Waste])</f>
        <v>826</v>
      </c>
    </row>
    <row r="14" spans="1:11" x14ac:dyDescent="0.3">
      <c r="K14" s="1">
        <f>K13/C13</f>
        <v>0.14047619047619048</v>
      </c>
    </row>
    <row r="17" spans="1:15" x14ac:dyDescent="0.3">
      <c r="A17" t="s">
        <v>27</v>
      </c>
    </row>
    <row r="18" spans="1:15" x14ac:dyDescent="0.3">
      <c r="A18" t="s">
        <v>28</v>
      </c>
      <c r="D18" t="s">
        <v>20</v>
      </c>
      <c r="E18" t="s">
        <v>16</v>
      </c>
      <c r="F18" t="s">
        <v>5</v>
      </c>
      <c r="G18" t="s">
        <v>4</v>
      </c>
    </row>
    <row r="19" spans="1:15" x14ac:dyDescent="0.3">
      <c r="D19" t="str" cm="1">
        <f t="array" ref="D19:D21">_xlfn.UNIQUE(Table215[Item Description])</f>
        <v>W18x50</v>
      </c>
      <c r="E19" t="str" cm="1">
        <f t="array" ref="E19:E21">_xlfn.UNIQUE(Table215[Raw Material])</f>
        <v>804-15017</v>
      </c>
      <c r="F19">
        <f>ROUNDUP(SUMIF(Table215[Raw Material],E19,Table215[Total Cut Length])/12,0)</f>
        <v>115</v>
      </c>
      <c r="G19">
        <f>ROUNDUP(SUMIF(Table215[Raw Material],E19,Table215[Total Waste])/12,0)</f>
        <v>6</v>
      </c>
    </row>
    <row r="20" spans="1:15" x14ac:dyDescent="0.3">
      <c r="D20" t="str">
        <v>W12x30</v>
      </c>
      <c r="E20" t="str">
        <v>804-15023</v>
      </c>
      <c r="F20">
        <f>ROUNDUP(SUMIF(Table215[Raw Material],E20,Table215[Total Cut Length])/12,0)</f>
        <v>110</v>
      </c>
      <c r="G20">
        <f>ROUNDUP(SUMIF(Table215[Raw Material],E20,Table215[Total Waste])/12,0)</f>
        <v>11</v>
      </c>
    </row>
    <row r="21" spans="1:15" x14ac:dyDescent="0.3">
      <c r="D21" t="str">
        <v>W10x17</v>
      </c>
      <c r="E21" t="str">
        <v>804-15022</v>
      </c>
      <c r="F21">
        <f>ROUNDUP(SUMIF(Table215[Raw Material],E21,Table215[Total Cut Length])/12,0)</f>
        <v>197</v>
      </c>
      <c r="G21">
        <f>ROUNDUP(SUMIF(Table215[Raw Material],E21,Table215[Total Waste])/12,0)</f>
        <v>54</v>
      </c>
    </row>
    <row r="24" spans="1:15" x14ac:dyDescent="0.3">
      <c r="A24" s="52" t="s">
        <v>35</v>
      </c>
      <c r="B24" s="52"/>
      <c r="C24" s="52"/>
      <c r="D24" s="52"/>
      <c r="E24" s="52"/>
      <c r="F24" s="52"/>
      <c r="G24" s="52"/>
      <c r="H24" s="52"/>
      <c r="I24" s="52"/>
      <c r="J24" s="52"/>
      <c r="K24" s="52"/>
    </row>
    <row r="25" spans="1:15" x14ac:dyDescent="0.3">
      <c r="A25" t="s">
        <v>17</v>
      </c>
      <c r="B25" t="s">
        <v>16</v>
      </c>
      <c r="C25" t="s">
        <v>15</v>
      </c>
      <c r="D25" t="s">
        <v>14</v>
      </c>
      <c r="E25" t="s">
        <v>13</v>
      </c>
      <c r="F25" t="s">
        <v>12</v>
      </c>
      <c r="G25" t="s">
        <v>11</v>
      </c>
      <c r="H25" t="s">
        <v>10</v>
      </c>
      <c r="I25" t="s">
        <v>9</v>
      </c>
      <c r="J25" t="s">
        <v>8</v>
      </c>
      <c r="K25" t="s">
        <v>7</v>
      </c>
      <c r="L25" t="s">
        <v>6</v>
      </c>
      <c r="M25" t="s">
        <v>55</v>
      </c>
      <c r="N25" t="s">
        <v>5</v>
      </c>
      <c r="O25" t="s">
        <v>4</v>
      </c>
    </row>
    <row r="26" spans="1:15" x14ac:dyDescent="0.3">
      <c r="A26" t="s">
        <v>3</v>
      </c>
      <c r="B26" t="s">
        <v>2</v>
      </c>
      <c r="C26">
        <v>692</v>
      </c>
      <c r="D26">
        <v>687.75</v>
      </c>
      <c r="N26">
        <f>SUM(Table21510[[#This Row],[Cut Length1]:[Cut Length10]])</f>
        <v>687.75</v>
      </c>
      <c r="O26">
        <f>Table21510[[#This Row],[Purchase Length]]-Table21510[[#This Row],[Total Cut Length]]</f>
        <v>4.25</v>
      </c>
    </row>
    <row r="27" spans="1:15" x14ac:dyDescent="0.3">
      <c r="A27" t="s">
        <v>3</v>
      </c>
      <c r="B27" t="s">
        <v>2</v>
      </c>
      <c r="C27">
        <v>692</v>
      </c>
      <c r="D27">
        <v>687.75</v>
      </c>
      <c r="N27">
        <f>SUM(Table21510[[#This Row],[Cut Length1]:[Cut Length10]])</f>
        <v>687.75</v>
      </c>
      <c r="O27">
        <f>Table21510[[#This Row],[Purchase Length]]-Table21510[[#This Row],[Total Cut Length]]</f>
        <v>4.25</v>
      </c>
    </row>
    <row r="28" spans="1:15" x14ac:dyDescent="0.3">
      <c r="A28" t="s">
        <v>19</v>
      </c>
      <c r="B28" t="s">
        <v>18</v>
      </c>
      <c r="C28">
        <v>700</v>
      </c>
      <c r="D28">
        <v>139.5</v>
      </c>
      <c r="E28">
        <v>139.5</v>
      </c>
      <c r="F28">
        <v>139.5</v>
      </c>
      <c r="G28">
        <v>139.5</v>
      </c>
      <c r="H28">
        <v>139.5</v>
      </c>
      <c r="N28">
        <f>SUM(Table21510[[#This Row],[Cut Length1]:[Cut Length10]])</f>
        <v>697.5</v>
      </c>
      <c r="O28">
        <f>Table21510[[#This Row],[Purchase Length]]-Table21510[[#This Row],[Total Cut Length]]</f>
        <v>2.5</v>
      </c>
    </row>
    <row r="29" spans="1:15" x14ac:dyDescent="0.3">
      <c r="A29" t="s">
        <v>19</v>
      </c>
      <c r="B29" t="s">
        <v>18</v>
      </c>
      <c r="C29">
        <v>700</v>
      </c>
      <c r="D29">
        <v>139.5</v>
      </c>
      <c r="E29">
        <v>139.5</v>
      </c>
      <c r="F29">
        <v>139.5</v>
      </c>
      <c r="G29">
        <v>139.5</v>
      </c>
      <c r="H29">
        <v>62.75</v>
      </c>
      <c r="N29">
        <f>SUM(Table21510[[#This Row],[Cut Length1]:[Cut Length10]])</f>
        <v>620.75</v>
      </c>
      <c r="O29">
        <f>Table21510[[#This Row],[Purchase Length]]-Table21510[[#This Row],[Total Cut Length]]</f>
        <v>79.25</v>
      </c>
    </row>
    <row r="30" spans="1:15" x14ac:dyDescent="0.3">
      <c r="A30" t="s">
        <v>1</v>
      </c>
      <c r="B30" t="s">
        <v>0</v>
      </c>
      <c r="C30">
        <v>840</v>
      </c>
      <c r="D30">
        <v>139.5</v>
      </c>
      <c r="E30">
        <v>139.5</v>
      </c>
      <c r="F30">
        <v>139.5</v>
      </c>
      <c r="G30">
        <v>139.5</v>
      </c>
      <c r="H30">
        <v>139.5</v>
      </c>
      <c r="I30">
        <v>139.5</v>
      </c>
      <c r="N30">
        <f>SUM(Table21510[[#This Row],[Cut Length1]:[Cut Length10]])</f>
        <v>837</v>
      </c>
      <c r="O30">
        <f>Table21510[[#This Row],[Purchase Length]]-Table21510[[#This Row],[Total Cut Length]]</f>
        <v>3</v>
      </c>
    </row>
    <row r="31" spans="1:15" x14ac:dyDescent="0.3">
      <c r="A31" t="s">
        <v>1</v>
      </c>
      <c r="B31" t="s">
        <v>0</v>
      </c>
      <c r="C31">
        <v>840</v>
      </c>
      <c r="D31">
        <v>139.5</v>
      </c>
      <c r="E31">
        <v>139.5</v>
      </c>
      <c r="F31">
        <v>139.5</v>
      </c>
      <c r="G31">
        <v>139.5</v>
      </c>
      <c r="H31">
        <v>139.5</v>
      </c>
      <c r="I31">
        <v>139.5</v>
      </c>
      <c r="N31">
        <f>SUM(Table21510[[#This Row],[Cut Length1]:[Cut Length10]])</f>
        <v>837</v>
      </c>
      <c r="O31">
        <f>Table21510[[#This Row],[Purchase Length]]-Table21510[[#This Row],[Total Cut Length]]</f>
        <v>3</v>
      </c>
    </row>
    <row r="32" spans="1:15" x14ac:dyDescent="0.3">
      <c r="A32" t="s">
        <v>1</v>
      </c>
      <c r="B32" t="s">
        <v>0</v>
      </c>
      <c r="C32" s="28">
        <v>688</v>
      </c>
      <c r="D32">
        <v>139.5</v>
      </c>
      <c r="E32">
        <v>111.75</v>
      </c>
      <c r="F32">
        <v>111.75</v>
      </c>
      <c r="G32">
        <v>43.5</v>
      </c>
      <c r="H32">
        <v>48.5</v>
      </c>
      <c r="I32">
        <v>91</v>
      </c>
      <c r="J32">
        <v>91</v>
      </c>
      <c r="K32">
        <v>49.25</v>
      </c>
      <c r="N32">
        <f>SUM(Table21510[[#This Row],[Cut Length1]:[Cut Length10]])</f>
        <v>686.25</v>
      </c>
      <c r="O32" s="19">
        <f>Table21510[[#This Row],[Purchase Length]]-Table21510[[#This Row],[Total Cut Length]]</f>
        <v>1.75</v>
      </c>
    </row>
    <row r="34" spans="1:15" x14ac:dyDescent="0.3">
      <c r="C34">
        <f>SUM(Table21510[Purchase Length])</f>
        <v>5152</v>
      </c>
      <c r="J34">
        <f>SUM(Table21510[Total Cut Length])</f>
        <v>5054</v>
      </c>
      <c r="K34">
        <f>SUM(Table21510[Total Waste])</f>
        <v>98</v>
      </c>
    </row>
    <row r="35" spans="1:15" x14ac:dyDescent="0.3">
      <c r="K35" s="1">
        <f>K34/C34</f>
        <v>1.9021739130434784E-2</v>
      </c>
    </row>
    <row r="36" spans="1:15" x14ac:dyDescent="0.3">
      <c r="A36" s="31" t="s">
        <v>27</v>
      </c>
    </row>
    <row r="37" spans="1:15" x14ac:dyDescent="0.3">
      <c r="A37" s="31" t="s">
        <v>28</v>
      </c>
      <c r="D37" t="s">
        <v>20</v>
      </c>
      <c r="E37" t="s">
        <v>16</v>
      </c>
      <c r="F37" t="s">
        <v>5</v>
      </c>
      <c r="G37" t="s">
        <v>4</v>
      </c>
    </row>
    <row r="38" spans="1:15" x14ac:dyDescent="0.3">
      <c r="D38" t="str" cm="1">
        <f t="array" ref="D38:D40">_xlfn.UNIQUE(Table21510[Item Description])</f>
        <v>W18x50</v>
      </c>
      <c r="E38" t="str" cm="1">
        <f t="array" ref="E38:E40">_xlfn.UNIQUE(Table21510[Raw Material])</f>
        <v>804-15017</v>
      </c>
      <c r="F38">
        <f>ROUNDUP(SUMIF(Table21510[Raw Material],E38,Table21510[Total Cut Length])/12,0)</f>
        <v>115</v>
      </c>
      <c r="G38">
        <f>ROUNDUP(SUMIF(Table21510[Raw Material],E38,Table21510[Total Waste])/12,0)</f>
        <v>1</v>
      </c>
      <c r="L38" t="s">
        <v>3</v>
      </c>
      <c r="M38">
        <v>780</v>
      </c>
      <c r="N38">
        <f>COUNTIFS(Table21510[Item Description],L38,Table21510[Purchase Length],M38)</f>
        <v>0</v>
      </c>
      <c r="O38">
        <f>N38*$D$48</f>
        <v>0</v>
      </c>
    </row>
    <row r="39" spans="1:15" x14ac:dyDescent="0.3">
      <c r="D39" t="str">
        <v>W12x30</v>
      </c>
      <c r="E39" t="str">
        <v>804-15023</v>
      </c>
      <c r="F39">
        <f>ROUNDUP(SUMIF(Table21510[Raw Material],E39,Table21510[Total Cut Length])/12,0)</f>
        <v>110</v>
      </c>
      <c r="G39">
        <f>ROUNDUP(SUMIF(Table21510[Raw Material],E39,Table21510[Total Waste])/12,0)</f>
        <v>7</v>
      </c>
      <c r="L39" t="s">
        <v>3</v>
      </c>
      <c r="M39">
        <v>720</v>
      </c>
      <c r="N39">
        <f>COUNTIFS(Table21510[Item Description],L39,Table21510[Purchase Length],M39)</f>
        <v>0</v>
      </c>
      <c r="O39">
        <f t="shared" ref="O39:O48" si="0">N39*$D$48</f>
        <v>0</v>
      </c>
    </row>
    <row r="40" spans="1:15" x14ac:dyDescent="0.3">
      <c r="D40" t="str">
        <v>W10x17</v>
      </c>
      <c r="E40" t="str">
        <v>804-15022</v>
      </c>
      <c r="F40">
        <f>ROUNDUP(SUMIF(Table21510[Raw Material],E40,Table21510[Total Cut Length])/12,0)</f>
        <v>197</v>
      </c>
      <c r="G40">
        <f>ROUNDUP(SUMIF(Table21510[Raw Material],E40,Table21510[Total Waste])/12,0)</f>
        <v>1</v>
      </c>
      <c r="L40" t="s">
        <v>3</v>
      </c>
      <c r="M40">
        <v>690</v>
      </c>
      <c r="N40">
        <f>COUNTIFS(Table21510[Item Description],L40,Table21510[Purchase Length],M40)</f>
        <v>0</v>
      </c>
      <c r="O40">
        <f t="shared" si="0"/>
        <v>0</v>
      </c>
    </row>
    <row r="41" spans="1:15" x14ac:dyDescent="0.3">
      <c r="L41" t="s">
        <v>3</v>
      </c>
      <c r="M41">
        <v>612</v>
      </c>
      <c r="N41">
        <f>COUNTIFS(Table21510[Item Description],L41,Table21510[Purchase Length],M41)</f>
        <v>0</v>
      </c>
      <c r="O41">
        <f t="shared" si="0"/>
        <v>0</v>
      </c>
    </row>
    <row r="42" spans="1:15" x14ac:dyDescent="0.3">
      <c r="L42" t="s">
        <v>3</v>
      </c>
      <c r="M42">
        <v>600</v>
      </c>
      <c r="N42">
        <f>COUNTIFS(Table21510[Item Description],L42,Table21510[Purchase Length],M42)</f>
        <v>0</v>
      </c>
      <c r="O42">
        <f t="shared" si="0"/>
        <v>0</v>
      </c>
    </row>
    <row r="43" spans="1:15" x14ac:dyDescent="0.3">
      <c r="L43" t="s">
        <v>3</v>
      </c>
      <c r="M43">
        <v>460</v>
      </c>
      <c r="N43">
        <f>COUNTIFS(Table21510[Item Description],L43,Table21510[Purchase Length],M43)</f>
        <v>0</v>
      </c>
      <c r="O43">
        <f t="shared" si="0"/>
        <v>0</v>
      </c>
    </row>
    <row r="44" spans="1:15" x14ac:dyDescent="0.3">
      <c r="D44" t="s">
        <v>37</v>
      </c>
      <c r="E44" t="s">
        <v>42</v>
      </c>
      <c r="F44" t="s">
        <v>44</v>
      </c>
      <c r="G44" s="23" t="s">
        <v>43</v>
      </c>
      <c r="L44" t="s">
        <v>19</v>
      </c>
      <c r="M44">
        <v>564</v>
      </c>
      <c r="N44">
        <f>COUNTIFS(Table21510[Item Description],L44,Table21510[Purchase Length],M44)</f>
        <v>0</v>
      </c>
      <c r="O44">
        <f t="shared" si="0"/>
        <v>0</v>
      </c>
    </row>
    <row r="45" spans="1:15" x14ac:dyDescent="0.3">
      <c r="B45" s="53" t="s">
        <v>36</v>
      </c>
      <c r="C45" s="53"/>
      <c r="D45" s="21">
        <f>(SUM(C3:C4)-SUM(C26:C27))/12</f>
        <v>4.666666666666667</v>
      </c>
      <c r="E45" s="21">
        <f>(SUM(C7:C11)-SUM(C30:C32))/12</f>
        <v>52.666666666666664</v>
      </c>
      <c r="F45" s="21">
        <f>(SUM(C5:C6)-SUM(C28:C29))/12</f>
        <v>3.3333333333333335</v>
      </c>
      <c r="G45" s="23"/>
      <c r="L45" t="s">
        <v>19</v>
      </c>
      <c r="M45">
        <v>420</v>
      </c>
      <c r="N45">
        <f>COUNTIFS(Table21510[Item Description],L45,Table21510[Purchase Length],M45)</f>
        <v>0</v>
      </c>
      <c r="O45">
        <f t="shared" si="0"/>
        <v>0</v>
      </c>
    </row>
    <row r="46" spans="1:15" x14ac:dyDescent="0.3">
      <c r="C46" t="s">
        <v>38</v>
      </c>
      <c r="D46" s="20">
        <v>40.520000000000003</v>
      </c>
      <c r="E46" s="20">
        <v>13.49</v>
      </c>
      <c r="F46" s="20">
        <v>24.75</v>
      </c>
      <c r="G46" s="23"/>
      <c r="L46" t="s">
        <v>1</v>
      </c>
      <c r="M46">
        <v>612</v>
      </c>
      <c r="N46">
        <f>COUNTIFS(Table21510[Item Description],L46,Table21510[Purchase Length],M46)</f>
        <v>0</v>
      </c>
      <c r="O46">
        <f t="shared" si="0"/>
        <v>0</v>
      </c>
    </row>
    <row r="47" spans="1:15" x14ac:dyDescent="0.3">
      <c r="C47" t="s">
        <v>41</v>
      </c>
      <c r="D47" s="20">
        <f>D45*D46</f>
        <v>189.09333333333336</v>
      </c>
      <c r="E47" s="20">
        <f>E45*E46</f>
        <v>710.47333333333336</v>
      </c>
      <c r="F47" s="20">
        <f>F45*F46</f>
        <v>82.5</v>
      </c>
      <c r="G47" s="24">
        <f>E47+F47+D47</f>
        <v>982.06666666666672</v>
      </c>
      <c r="L47" t="s">
        <v>1</v>
      </c>
      <c r="M47">
        <v>600</v>
      </c>
      <c r="N47">
        <f>COUNTIFS(Table21510[Item Description],L47,Table21510[Purchase Length],M47)</f>
        <v>0</v>
      </c>
      <c r="O47">
        <f t="shared" si="0"/>
        <v>0</v>
      </c>
    </row>
    <row r="48" spans="1:15" x14ac:dyDescent="0.3">
      <c r="C48" t="s">
        <v>39</v>
      </c>
      <c r="D48">
        <f>Summary!D6</f>
        <v>36</v>
      </c>
      <c r="E48">
        <f>Summary!D6</f>
        <v>36</v>
      </c>
      <c r="F48">
        <f>Summary!D6</f>
        <v>36</v>
      </c>
      <c r="G48" s="23"/>
      <c r="L48" t="s">
        <v>1</v>
      </c>
      <c r="M48">
        <v>460</v>
      </c>
      <c r="N48">
        <f>COUNTIFS(Table21510[Item Description],L48,Table21510[Purchase Length],M48)</f>
        <v>0</v>
      </c>
      <c r="O48">
        <f t="shared" si="0"/>
        <v>0</v>
      </c>
    </row>
    <row r="49" spans="1:17" x14ac:dyDescent="0.3">
      <c r="C49" t="s">
        <v>40</v>
      </c>
      <c r="D49" s="20">
        <f>D48*D47</f>
        <v>6807.3600000000006</v>
      </c>
      <c r="E49" s="20">
        <f>E48*E47</f>
        <v>25577.040000000001</v>
      </c>
      <c r="F49" s="20">
        <f>F48*F47</f>
        <v>2970</v>
      </c>
      <c r="G49" s="24">
        <f>E49+F49+D49</f>
        <v>35354.400000000001</v>
      </c>
    </row>
    <row r="51" spans="1:17" x14ac:dyDescent="0.3">
      <c r="D51" s="35"/>
      <c r="E51" s="35"/>
      <c r="F51" s="35"/>
      <c r="G51" s="35"/>
      <c r="H51" s="35"/>
      <c r="I51" s="35"/>
      <c r="J51" s="35"/>
      <c r="K51" s="35"/>
    </row>
    <row r="52" spans="1:17" x14ac:dyDescent="0.3">
      <c r="A52" s="52" t="s">
        <v>35</v>
      </c>
      <c r="B52" s="52"/>
      <c r="C52" s="52"/>
      <c r="D52" s="52"/>
      <c r="E52" s="52"/>
      <c r="F52" s="52"/>
      <c r="G52" s="52"/>
      <c r="H52" s="52"/>
      <c r="I52" s="52"/>
      <c r="J52" s="52"/>
      <c r="K52" s="52"/>
      <c r="P52" s="51" t="s">
        <v>64</v>
      </c>
      <c r="Q52" s="51"/>
    </row>
    <row r="53" spans="1:17" ht="28.8" x14ac:dyDescent="0.3">
      <c r="A53" t="s">
        <v>17</v>
      </c>
      <c r="B53" t="s">
        <v>16</v>
      </c>
      <c r="C53" t="s">
        <v>15</v>
      </c>
      <c r="D53" t="s">
        <v>14</v>
      </c>
      <c r="E53" t="s">
        <v>13</v>
      </c>
      <c r="F53" t="s">
        <v>12</v>
      </c>
      <c r="G53" t="s">
        <v>11</v>
      </c>
      <c r="H53" t="s">
        <v>10</v>
      </c>
      <c r="I53" t="s">
        <v>9</v>
      </c>
      <c r="J53" t="s">
        <v>8</v>
      </c>
      <c r="K53" t="s">
        <v>7</v>
      </c>
      <c r="L53" t="s">
        <v>6</v>
      </c>
      <c r="M53" t="s">
        <v>55</v>
      </c>
      <c r="N53" t="s">
        <v>5</v>
      </c>
      <c r="O53" t="s">
        <v>4</v>
      </c>
      <c r="P53" s="42" t="s">
        <v>62</v>
      </c>
      <c r="Q53" s="46" t="s">
        <v>63</v>
      </c>
    </row>
    <row r="54" spans="1:17" x14ac:dyDescent="0.3">
      <c r="A54" t="s">
        <v>3</v>
      </c>
      <c r="B54" t="s">
        <v>2</v>
      </c>
      <c r="C54">
        <v>692</v>
      </c>
      <c r="D54">
        <v>687.75</v>
      </c>
      <c r="N54">
        <f>SUM(Table215102942[[#This Row],[Cut Length1]:[Cut Length10]])</f>
        <v>687.75</v>
      </c>
      <c r="O54">
        <f>Table215102942[[#This Row],[Purchase Length]]-Table215102942[[#This Row],[Total Cut Length]]</f>
        <v>4.25</v>
      </c>
      <c r="P54">
        <f>(COUNTA(Table215102942[[#This Row],[Cut Length1]:[Cut Length10]])-1)*0.1875+2</f>
        <v>2</v>
      </c>
      <c r="Q54">
        <f>Table215102942[[#This Row],[Total Waste]]-P54</f>
        <v>2.25</v>
      </c>
    </row>
    <row r="55" spans="1:17" x14ac:dyDescent="0.3">
      <c r="A55" t="s">
        <v>3</v>
      </c>
      <c r="B55" t="s">
        <v>2</v>
      </c>
      <c r="C55">
        <v>692</v>
      </c>
      <c r="D55">
        <v>687.75</v>
      </c>
      <c r="N55">
        <f>SUM(Table215102942[[#This Row],[Cut Length1]:[Cut Length10]])</f>
        <v>687.75</v>
      </c>
      <c r="O55">
        <f>Table215102942[[#This Row],[Purchase Length]]-Table215102942[[#This Row],[Total Cut Length]]</f>
        <v>4.25</v>
      </c>
      <c r="P55">
        <f>(COUNTA(Table215102942[[#This Row],[Cut Length1]:[Cut Length10]])-1)*0.1875+2</f>
        <v>2</v>
      </c>
      <c r="Q55">
        <f>Table215102942[[#This Row],[Total Waste]]-P55</f>
        <v>2.25</v>
      </c>
    </row>
    <row r="56" spans="1:17" x14ac:dyDescent="0.3">
      <c r="A56" t="s">
        <v>19</v>
      </c>
      <c r="B56" t="s">
        <v>18</v>
      </c>
      <c r="C56">
        <v>700</v>
      </c>
      <c r="D56">
        <v>139.5</v>
      </c>
      <c r="E56">
        <v>139.5</v>
      </c>
      <c r="F56">
        <v>139.5</v>
      </c>
      <c r="G56">
        <v>139.5</v>
      </c>
      <c r="H56">
        <v>139.5</v>
      </c>
      <c r="N56">
        <f>SUM(Table215102942[[#This Row],[Cut Length1]:[Cut Length10]])</f>
        <v>697.5</v>
      </c>
      <c r="O56">
        <f>Table215102942[[#This Row],[Purchase Length]]-Table215102942[[#This Row],[Total Cut Length]]</f>
        <v>2.5</v>
      </c>
      <c r="P56">
        <f>(COUNTA(Table215102942[[#This Row],[Cut Length1]:[Cut Length10]])-1)*0.1875+2</f>
        <v>2.75</v>
      </c>
      <c r="Q56" s="19">
        <f>Table215102942[[#This Row],[Total Waste]]-P56</f>
        <v>-0.25</v>
      </c>
    </row>
    <row r="57" spans="1:17" x14ac:dyDescent="0.3">
      <c r="A57" t="s">
        <v>19</v>
      </c>
      <c r="B57" t="s">
        <v>18</v>
      </c>
      <c r="C57">
        <v>700</v>
      </c>
      <c r="D57">
        <v>139.5</v>
      </c>
      <c r="E57">
        <v>139.5</v>
      </c>
      <c r="F57">
        <v>139.5</v>
      </c>
      <c r="G57">
        <v>139.5</v>
      </c>
      <c r="H57">
        <v>62.75</v>
      </c>
      <c r="N57">
        <f>SUM(Table215102942[[#This Row],[Cut Length1]:[Cut Length10]])</f>
        <v>620.75</v>
      </c>
      <c r="O57">
        <f>Table215102942[[#This Row],[Purchase Length]]-Table215102942[[#This Row],[Total Cut Length]]</f>
        <v>79.25</v>
      </c>
      <c r="P57">
        <f>(COUNTA(Table215102942[[#This Row],[Cut Length1]:[Cut Length10]])-1)*0.1875+2</f>
        <v>2.75</v>
      </c>
      <c r="Q57">
        <f>Table215102942[[#This Row],[Total Waste]]-P57</f>
        <v>76.5</v>
      </c>
    </row>
    <row r="58" spans="1:17" x14ac:dyDescent="0.3">
      <c r="A58" t="s">
        <v>1</v>
      </c>
      <c r="B58" t="s">
        <v>0</v>
      </c>
      <c r="C58" s="29">
        <v>764</v>
      </c>
      <c r="D58" s="29">
        <v>139.5</v>
      </c>
      <c r="E58" s="37">
        <v>139.5</v>
      </c>
      <c r="F58" s="37">
        <v>139.5</v>
      </c>
      <c r="G58" s="36">
        <v>91</v>
      </c>
      <c r="H58" s="29">
        <v>111.75</v>
      </c>
      <c r="I58" s="37">
        <v>139.5</v>
      </c>
      <c r="N58">
        <f>SUM(Table215102942[[#This Row],[Cut Length1]:[Cut Length10]])</f>
        <v>760.75</v>
      </c>
      <c r="O58">
        <f>Table215102942[[#This Row],[Purchase Length]]-Table215102942[[#This Row],[Total Cut Length]]</f>
        <v>3.25</v>
      </c>
      <c r="P58">
        <f>(COUNTA(Table215102942[[#This Row],[Cut Length1]:[Cut Length10]])-1)*0.1875+2</f>
        <v>2.9375</v>
      </c>
      <c r="Q58">
        <f>Table215102942[[#This Row],[Total Waste]]-P58</f>
        <v>0.3125</v>
      </c>
    </row>
    <row r="59" spans="1:17" x14ac:dyDescent="0.3">
      <c r="A59" t="s">
        <v>1</v>
      </c>
      <c r="B59" t="s">
        <v>0</v>
      </c>
      <c r="C59" s="29">
        <v>688</v>
      </c>
      <c r="D59" s="29">
        <v>139.5</v>
      </c>
      <c r="E59" s="29">
        <v>139.5</v>
      </c>
      <c r="F59" s="29">
        <v>139.5</v>
      </c>
      <c r="G59" s="29">
        <v>139.5</v>
      </c>
      <c r="H59" s="29">
        <v>111.75</v>
      </c>
      <c r="I59" s="37"/>
      <c r="N59">
        <f>SUM(Table215102942[[#This Row],[Cut Length1]:[Cut Length10]])</f>
        <v>669.75</v>
      </c>
      <c r="O59">
        <f>Table215102942[[#This Row],[Purchase Length]]-Table215102942[[#This Row],[Total Cut Length]]</f>
        <v>18.25</v>
      </c>
      <c r="P59">
        <f>(COUNTA(Table215102942[[#This Row],[Cut Length1]:[Cut Length10]])-1)*0.1875+2</f>
        <v>2.75</v>
      </c>
      <c r="Q59">
        <f>Table215102942[[#This Row],[Total Waste]]-P59</f>
        <v>15.5</v>
      </c>
    </row>
    <row r="60" spans="1:17" x14ac:dyDescent="0.3">
      <c r="A60" t="s">
        <v>1</v>
      </c>
      <c r="B60" t="s">
        <v>0</v>
      </c>
      <c r="C60" s="29">
        <v>604</v>
      </c>
      <c r="D60" s="29">
        <v>139.5</v>
      </c>
      <c r="E60" s="29">
        <v>139.5</v>
      </c>
      <c r="F60" s="29">
        <v>139.5</v>
      </c>
      <c r="G60" s="29">
        <v>139.5</v>
      </c>
      <c r="H60" s="29">
        <v>43.5</v>
      </c>
      <c r="I60" s="29"/>
      <c r="N60">
        <f>SUM(Table215102942[[#This Row],[Cut Length1]:[Cut Length10]])</f>
        <v>601.5</v>
      </c>
      <c r="O60">
        <f>Table215102942[[#This Row],[Purchase Length]]-Table215102942[[#This Row],[Total Cut Length]]</f>
        <v>2.5</v>
      </c>
      <c r="P60">
        <f>(COUNTA(Table215102942[[#This Row],[Cut Length1]:[Cut Length10]])-1)*0.1875+2</f>
        <v>2.75</v>
      </c>
      <c r="Q60" s="19">
        <f>Table215102942[[#This Row],[Total Waste]]-P60</f>
        <v>-0.25</v>
      </c>
    </row>
    <row r="61" spans="1:17" x14ac:dyDescent="0.3">
      <c r="A61" t="s">
        <v>1</v>
      </c>
      <c r="B61" t="s">
        <v>0</v>
      </c>
      <c r="C61" s="29">
        <v>332</v>
      </c>
      <c r="D61" s="29">
        <v>139.5</v>
      </c>
      <c r="E61" s="29">
        <v>49.25</v>
      </c>
      <c r="F61" s="29">
        <v>48.5</v>
      </c>
      <c r="G61" s="36">
        <v>91</v>
      </c>
      <c r="N61">
        <f>SUM(Table215102942[[#This Row],[Cut Length1]:[Cut Length10]])</f>
        <v>328.25</v>
      </c>
      <c r="O61">
        <f>Table215102942[[#This Row],[Purchase Length]]-Table215102942[[#This Row],[Total Cut Length]]</f>
        <v>3.75</v>
      </c>
      <c r="P61">
        <f>(COUNTA(Table215102942[[#This Row],[Cut Length1]:[Cut Length10]])-1)*0.1875+2</f>
        <v>2.5625</v>
      </c>
      <c r="Q61">
        <f>Table215102942[[#This Row],[Total Waste]]-P61</f>
        <v>1.1875</v>
      </c>
    </row>
    <row r="63" spans="1:17" x14ac:dyDescent="0.3">
      <c r="C63">
        <f>SUM(Table215102942[Purchase Length])</f>
        <v>5172</v>
      </c>
      <c r="J63">
        <f>SUM(Table215102942[Total Cut Length])</f>
        <v>5054</v>
      </c>
      <c r="K63">
        <f>SUM(Table215102942[Total Waste])</f>
        <v>118</v>
      </c>
    </row>
    <row r="64" spans="1:17" x14ac:dyDescent="0.3">
      <c r="K64" s="1">
        <f>K63/C63</f>
        <v>2.2815158546017015E-2</v>
      </c>
    </row>
    <row r="66" spans="4:11" ht="14.4" customHeight="1" x14ac:dyDescent="0.3">
      <c r="D66" s="54" t="s">
        <v>70</v>
      </c>
      <c r="E66" s="54"/>
      <c r="F66" s="54"/>
      <c r="G66" s="54"/>
      <c r="H66" s="54"/>
      <c r="I66" s="54"/>
      <c r="J66" s="54"/>
      <c r="K66" s="54"/>
    </row>
    <row r="67" spans="4:11" x14ac:dyDescent="0.3">
      <c r="D67" s="55"/>
      <c r="E67" s="55"/>
      <c r="F67" s="55"/>
      <c r="G67" s="55"/>
      <c r="H67" s="55"/>
      <c r="I67" s="55"/>
      <c r="J67" s="55"/>
      <c r="K67" s="55"/>
    </row>
    <row r="68" spans="4:11" x14ac:dyDescent="0.3">
      <c r="D68" s="55"/>
      <c r="E68" s="55"/>
      <c r="F68" s="55"/>
      <c r="G68" s="55"/>
      <c r="H68" s="55"/>
      <c r="I68" s="55"/>
      <c r="J68" s="55"/>
      <c r="K68" s="55"/>
    </row>
    <row r="69" spans="4:11" x14ac:dyDescent="0.3">
      <c r="D69" s="55"/>
      <c r="E69" s="55"/>
      <c r="F69" s="55"/>
      <c r="G69" s="55"/>
      <c r="H69" s="55"/>
      <c r="I69" s="55"/>
      <c r="J69" s="55"/>
      <c r="K69" s="55"/>
    </row>
    <row r="70" spans="4:11" x14ac:dyDescent="0.3">
      <c r="D70" s="55"/>
      <c r="E70" s="55"/>
      <c r="F70" s="55"/>
      <c r="G70" s="55"/>
      <c r="H70" s="55"/>
      <c r="I70" s="55"/>
      <c r="J70" s="55"/>
      <c r="K70" s="55"/>
    </row>
    <row r="71" spans="4:11" x14ac:dyDescent="0.3">
      <c r="D71" s="55"/>
      <c r="E71" s="55"/>
      <c r="F71" s="55"/>
      <c r="G71" s="55"/>
      <c r="H71" s="55"/>
      <c r="I71" s="55"/>
      <c r="J71" s="55"/>
      <c r="K71" s="55"/>
    </row>
    <row r="72" spans="4:11" x14ac:dyDescent="0.3">
      <c r="D72" s="55"/>
      <c r="E72" s="55"/>
      <c r="F72" s="55"/>
      <c r="G72" s="55"/>
      <c r="H72" s="55"/>
      <c r="I72" s="55"/>
      <c r="J72" s="55"/>
      <c r="K72" s="55"/>
    </row>
    <row r="73" spans="4:11" x14ac:dyDescent="0.3">
      <c r="D73" s="55"/>
      <c r="E73" s="55"/>
      <c r="F73" s="55"/>
      <c r="G73" s="55"/>
      <c r="H73" s="55"/>
      <c r="I73" s="55"/>
      <c r="J73" s="55"/>
      <c r="K73" s="55"/>
    </row>
    <row r="74" spans="4:11" x14ac:dyDescent="0.3">
      <c r="D74" s="55"/>
      <c r="E74" s="55"/>
      <c r="F74" s="55"/>
      <c r="G74" s="55"/>
      <c r="H74" s="55"/>
      <c r="I74" s="55"/>
      <c r="J74" s="55"/>
      <c r="K74" s="55"/>
    </row>
  </sheetData>
  <mergeCells count="6">
    <mergeCell ref="P52:Q52"/>
    <mergeCell ref="D66:K74"/>
    <mergeCell ref="A52:K52"/>
    <mergeCell ref="A1:K1"/>
    <mergeCell ref="A24:K24"/>
    <mergeCell ref="B45:C45"/>
  </mergeCells>
  <phoneticPr fontId="4" type="noConversion"/>
  <pageMargins left="0.7" right="0.7" top="0.75" bottom="0.75" header="0.3" footer="0.3"/>
  <pageSetup paperSize="3" scale="79" orientation="landscape" horizontalDpi="1200" verticalDpi="120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CGX P01643 DetailedNesting</vt:lpstr>
      <vt:lpstr>CYO P01633 DetailedNesting</vt:lpstr>
      <vt:lpstr>QTS P01533 DetailedNesting</vt:lpstr>
      <vt:lpstr>P01664 Yondr Nesting BOM</vt:lpstr>
      <vt:lpstr>CYO P01316 DetailedNesting</vt:lpstr>
      <vt:lpstr>STA P01554 DetailedNesting</vt:lpstr>
      <vt:lpstr>QTS P01597 DetailedNesting</vt:lpstr>
      <vt:lpstr>NTT P01560 DetailedNesting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Wallace, Brad</dc:creator>
  <cp:lastModifiedBy>SIVAS-1</cp:lastModifiedBy>
  <cp:lastPrinted>2022-12-06T14:55:52Z</cp:lastPrinted>
  <dcterms:created xsi:type="dcterms:W3CDTF">2022-11-29T18:40:01Z</dcterms:created>
  <dcterms:modified xsi:type="dcterms:W3CDTF">2023-02-02T08:07:38Z</dcterms:modified>
</cp:coreProperties>
</file>