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S-1\Dropbox\FBD\IMP E-Mails and Information\WIP\Metal BOM Nesting\Metal Fab Nesting BOM Optimization\"/>
    </mc:Choice>
  </mc:AlternateContent>
  <xr:revisionPtr revIDLastSave="0" documentId="13_ncr:1_{6974EEC2-7E55-4F8B-A722-18FDF870853C}" xr6:coauthVersionLast="47" xr6:coauthVersionMax="47" xr10:uidLastSave="{00000000-0000-0000-0000-000000000000}"/>
  <bookViews>
    <workbookView xWindow="-108" yWindow="-108" windowWidth="23256" windowHeight="12456" tabRatio="903" firstSheet="2" activeTab="3" xr2:uid="{C4F7EA02-B9CE-44DB-B7A1-8DF6D7337DC4}"/>
  </bookViews>
  <sheets>
    <sheet name="Summary" sheetId="31" r:id="rId1"/>
    <sheet name="CGX P01643 DetailedNesting" sheetId="11" r:id="rId2"/>
    <sheet name="CYO P01633 DetailedNesting" sheetId="26" r:id="rId3"/>
    <sheet name="QTS P01533 DetailedNesting" sheetId="14" r:id="rId4"/>
    <sheet name="P01664 Yondr Nesting BOM" sheetId="30" r:id="rId5"/>
    <sheet name="CYO P01316 DetailedNesting" sheetId="23" r:id="rId6"/>
    <sheet name="STA P01554 DetailedNesting" sheetId="29" r:id="rId7"/>
    <sheet name="QTS P01597 DetailedNesting" sheetId="17" r:id="rId8"/>
    <sheet name="NTT P01560 DetailedNesting" sheetId="20" r:id="rId9"/>
  </sheets>
  <definedNames>
    <definedName name="_____xlfn_SINGLE">#N/A</definedName>
    <definedName name="____xlfn_IFERROR">#N/A</definedName>
    <definedName name="____xlfn_SINGLE">#N/A</definedName>
    <definedName name="___xlfn_IFERROR">#N/A</definedName>
    <definedName name="___xlfn_SINGLE">NA()</definedName>
    <definedName name="__xlfn_IFERROR">#N/A</definedName>
    <definedName name="__xlfn_SINGLE">NA()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7" l="1"/>
  <c r="I23" i="17"/>
  <c r="J23" i="17" s="1"/>
  <c r="C24" i="17"/>
  <c r="K22" i="17"/>
  <c r="I22" i="17"/>
  <c r="J22" i="17" s="1"/>
  <c r="B22" i="17"/>
  <c r="K21" i="17"/>
  <c r="I21" i="17"/>
  <c r="J21" i="17" s="1"/>
  <c r="B21" i="17"/>
  <c r="K20" i="17"/>
  <c r="I20" i="17"/>
  <c r="J20" i="17" s="1"/>
  <c r="L20" i="17" s="1"/>
  <c r="B20" i="17"/>
  <c r="K19" i="17"/>
  <c r="I19" i="17"/>
  <c r="J19" i="17" s="1"/>
  <c r="B19" i="17"/>
  <c r="K18" i="17"/>
  <c r="I18" i="17"/>
  <c r="J18" i="17" s="1"/>
  <c r="L18" i="17" s="1"/>
  <c r="B18" i="17"/>
  <c r="K17" i="17"/>
  <c r="I17" i="17"/>
  <c r="B17" i="17"/>
  <c r="K16" i="17"/>
  <c r="I16" i="17"/>
  <c r="J16" i="17" s="1"/>
  <c r="B16" i="17"/>
  <c r="B23" i="14"/>
  <c r="I23" i="14"/>
  <c r="J23" i="14" s="1"/>
  <c r="C24" i="14"/>
  <c r="K22" i="14"/>
  <c r="I22" i="14"/>
  <c r="J22" i="14" s="1"/>
  <c r="B22" i="14"/>
  <c r="K21" i="14"/>
  <c r="J21" i="14"/>
  <c r="I21" i="14"/>
  <c r="B21" i="14"/>
  <c r="K20" i="14"/>
  <c r="I20" i="14"/>
  <c r="J20" i="14" s="1"/>
  <c r="B20" i="14"/>
  <c r="K19" i="14"/>
  <c r="I19" i="14"/>
  <c r="J19" i="14" s="1"/>
  <c r="L19" i="14" s="1"/>
  <c r="B19" i="14"/>
  <c r="K18" i="14"/>
  <c r="I18" i="14"/>
  <c r="J18" i="14" s="1"/>
  <c r="L18" i="14" s="1"/>
  <c r="B18" i="14"/>
  <c r="K17" i="14"/>
  <c r="I17" i="14"/>
  <c r="J17" i="14" s="1"/>
  <c r="L17" i="14" s="1"/>
  <c r="B17" i="14"/>
  <c r="K16" i="14"/>
  <c r="I16" i="14"/>
  <c r="B16" i="14"/>
  <c r="O4" i="30"/>
  <c r="O5" i="30"/>
  <c r="O6" i="30"/>
  <c r="O7" i="30"/>
  <c r="O8" i="30"/>
  <c r="O3" i="30"/>
  <c r="B3" i="20"/>
  <c r="B4" i="20"/>
  <c r="B5" i="20"/>
  <c r="B6" i="20"/>
  <c r="B7" i="20"/>
  <c r="B8" i="20"/>
  <c r="B9" i="20"/>
  <c r="B10" i="20"/>
  <c r="B3" i="17"/>
  <c r="B4" i="17"/>
  <c r="B5" i="17"/>
  <c r="B6" i="17"/>
  <c r="B7" i="17"/>
  <c r="B8" i="17"/>
  <c r="B9" i="17"/>
  <c r="B3" i="29"/>
  <c r="B4" i="29"/>
  <c r="B5" i="29"/>
  <c r="B6" i="29"/>
  <c r="B7" i="29"/>
  <c r="B8" i="29"/>
  <c r="B3" i="23"/>
  <c r="B4" i="23"/>
  <c r="B5" i="23"/>
  <c r="B6" i="23"/>
  <c r="B7" i="23"/>
  <c r="B3" i="30"/>
  <c r="B4" i="30"/>
  <c r="B5" i="30"/>
  <c r="B6" i="30"/>
  <c r="B7" i="30"/>
  <c r="B8" i="30"/>
  <c r="B3" i="14"/>
  <c r="B4" i="14"/>
  <c r="B5" i="14"/>
  <c r="B6" i="14"/>
  <c r="B7" i="14"/>
  <c r="B8" i="14"/>
  <c r="B9" i="14"/>
  <c r="B3" i="26"/>
  <c r="B4" i="26"/>
  <c r="B5" i="26"/>
  <c r="B6" i="26"/>
  <c r="B7" i="26"/>
  <c r="B8" i="26"/>
  <c r="B3" i="11"/>
  <c r="B4" i="11"/>
  <c r="B5" i="11"/>
  <c r="B6" i="11"/>
  <c r="B7" i="11"/>
  <c r="B8" i="11"/>
  <c r="B9" i="11"/>
  <c r="B10" i="11"/>
  <c r="L16" i="17" l="1"/>
  <c r="H24" i="17"/>
  <c r="L22" i="17"/>
  <c r="L21" i="17"/>
  <c r="L19" i="17"/>
  <c r="J17" i="17"/>
  <c r="I24" i="17" s="1"/>
  <c r="I25" i="17" s="1"/>
  <c r="L21" i="14"/>
  <c r="L20" i="14"/>
  <c r="I24" i="14"/>
  <c r="L22" i="14"/>
  <c r="J16" i="14"/>
  <c r="P4" i="20"/>
  <c r="P5" i="20"/>
  <c r="P6" i="20"/>
  <c r="P7" i="20"/>
  <c r="P8" i="20"/>
  <c r="P9" i="20"/>
  <c r="P10" i="20"/>
  <c r="P3" i="20"/>
  <c r="K4" i="17"/>
  <c r="K5" i="17"/>
  <c r="K6" i="17"/>
  <c r="K7" i="17"/>
  <c r="K8" i="17"/>
  <c r="K9" i="17"/>
  <c r="K3" i="17"/>
  <c r="O4" i="29"/>
  <c r="O5" i="29"/>
  <c r="O6" i="29"/>
  <c r="O7" i="29"/>
  <c r="O8" i="29"/>
  <c r="O3" i="29"/>
  <c r="Q4" i="30"/>
  <c r="Q5" i="30"/>
  <c r="Q6" i="30"/>
  <c r="Q7" i="30"/>
  <c r="Q8" i="30"/>
  <c r="Q3" i="30"/>
  <c r="K4" i="14"/>
  <c r="K5" i="14"/>
  <c r="K6" i="14"/>
  <c r="K7" i="14"/>
  <c r="K8" i="14"/>
  <c r="K9" i="14"/>
  <c r="K3" i="14"/>
  <c r="M4" i="26"/>
  <c r="M5" i="26"/>
  <c r="M6" i="26"/>
  <c r="M7" i="26"/>
  <c r="M8" i="26"/>
  <c r="M3" i="26"/>
  <c r="K4" i="11"/>
  <c r="K5" i="11"/>
  <c r="K6" i="11"/>
  <c r="K7" i="11"/>
  <c r="K8" i="11"/>
  <c r="K9" i="11"/>
  <c r="K10" i="11"/>
  <c r="K3" i="11"/>
  <c r="N4" i="23"/>
  <c r="N5" i="23"/>
  <c r="N6" i="23"/>
  <c r="N7" i="23"/>
  <c r="N3" i="23"/>
  <c r="L17" i="17" l="1"/>
  <c r="J24" i="14"/>
  <c r="J25" i="14" s="1"/>
  <c r="L16" i="14"/>
  <c r="N10" i="20"/>
  <c r="O10" i="20" s="1"/>
  <c r="C12" i="20"/>
  <c r="N9" i="20"/>
  <c r="O9" i="20" s="1"/>
  <c r="N8" i="20"/>
  <c r="O8" i="20" s="1"/>
  <c r="N7" i="20"/>
  <c r="O7" i="20" s="1"/>
  <c r="N6" i="20"/>
  <c r="O6" i="20" s="1"/>
  <c r="N5" i="20"/>
  <c r="O5" i="20" s="1"/>
  <c r="N4" i="20"/>
  <c r="O4" i="20" s="1"/>
  <c r="N3" i="20"/>
  <c r="C11" i="17"/>
  <c r="I9" i="17"/>
  <c r="J9" i="17" s="1"/>
  <c r="I8" i="17"/>
  <c r="J8" i="17" s="1"/>
  <c r="L8" i="17" s="1"/>
  <c r="I7" i="17"/>
  <c r="J7" i="17" s="1"/>
  <c r="L7" i="17" s="1"/>
  <c r="I6" i="17"/>
  <c r="J6" i="17" s="1"/>
  <c r="L6" i="17" s="1"/>
  <c r="I5" i="17"/>
  <c r="J5" i="17" s="1"/>
  <c r="L5" i="17" s="1"/>
  <c r="I4" i="17"/>
  <c r="J4" i="17" s="1"/>
  <c r="L4" i="17" s="1"/>
  <c r="I3" i="17"/>
  <c r="J3" i="17" s="1"/>
  <c r="L3" i="17" s="1"/>
  <c r="M8" i="29"/>
  <c r="N8" i="29" s="1"/>
  <c r="C10" i="29"/>
  <c r="M7" i="29"/>
  <c r="N7" i="29" s="1"/>
  <c r="M6" i="29"/>
  <c r="N6" i="29" s="1"/>
  <c r="M5" i="29"/>
  <c r="N5" i="29" s="1"/>
  <c r="M4" i="29"/>
  <c r="N4" i="29" s="1"/>
  <c r="M3" i="29"/>
  <c r="N3" i="29" s="1"/>
  <c r="C9" i="23"/>
  <c r="L7" i="23"/>
  <c r="M7" i="23" s="1"/>
  <c r="L6" i="23"/>
  <c r="M6" i="23" s="1"/>
  <c r="L5" i="23"/>
  <c r="M5" i="23" s="1"/>
  <c r="L4" i="23"/>
  <c r="M4" i="23" s="1"/>
  <c r="L3" i="23"/>
  <c r="C10" i="30"/>
  <c r="P8" i="30"/>
  <c r="P7" i="30"/>
  <c r="P6" i="30"/>
  <c r="P5" i="30"/>
  <c r="P4" i="30"/>
  <c r="C11" i="14"/>
  <c r="I9" i="14"/>
  <c r="J9" i="14" s="1"/>
  <c r="I8" i="14"/>
  <c r="J8" i="14" s="1"/>
  <c r="I7" i="14"/>
  <c r="J7" i="14" s="1"/>
  <c r="I6" i="14"/>
  <c r="J6" i="14" s="1"/>
  <c r="I5" i="14"/>
  <c r="J5" i="14" s="1"/>
  <c r="I4" i="14"/>
  <c r="J4" i="14" s="1"/>
  <c r="I3" i="14"/>
  <c r="C12" i="11"/>
  <c r="I10" i="11"/>
  <c r="J10" i="11" s="1"/>
  <c r="I9" i="11"/>
  <c r="J9" i="11" s="1"/>
  <c r="I8" i="11"/>
  <c r="J8" i="11" s="1"/>
  <c r="I7" i="11"/>
  <c r="J7" i="11" s="1"/>
  <c r="I6" i="11"/>
  <c r="J6" i="11" s="1"/>
  <c r="I5" i="11"/>
  <c r="J5" i="11" s="1"/>
  <c r="L5" i="11" s="1"/>
  <c r="I4" i="11"/>
  <c r="J4" i="11" s="1"/>
  <c r="I3" i="11"/>
  <c r="J3" i="11" s="1"/>
  <c r="L3" i="11" s="1"/>
  <c r="C10" i="26"/>
  <c r="K8" i="26"/>
  <c r="L8" i="26" s="1"/>
  <c r="N8" i="26" s="1"/>
  <c r="K7" i="26"/>
  <c r="L7" i="26" s="1"/>
  <c r="N7" i="26" s="1"/>
  <c r="K6" i="26"/>
  <c r="L6" i="26" s="1"/>
  <c r="N6" i="26" s="1"/>
  <c r="K5" i="26"/>
  <c r="L5" i="26" s="1"/>
  <c r="N5" i="26" s="1"/>
  <c r="K4" i="26"/>
  <c r="L4" i="26" s="1"/>
  <c r="N4" i="26" s="1"/>
  <c r="K3" i="26"/>
  <c r="O7" i="23" l="1"/>
  <c r="L4" i="14"/>
  <c r="Q10" i="20"/>
  <c r="J12" i="20"/>
  <c r="Q5" i="20"/>
  <c r="Q9" i="20"/>
  <c r="Q7" i="20"/>
  <c r="Q6" i="20"/>
  <c r="Q4" i="20"/>
  <c r="Q8" i="20"/>
  <c r="O3" i="20"/>
  <c r="K12" i="20" s="1"/>
  <c r="K13" i="20" s="1"/>
  <c r="L7" i="11"/>
  <c r="L9" i="17"/>
  <c r="I11" i="17"/>
  <c r="I12" i="17" s="1"/>
  <c r="H11" i="17"/>
  <c r="P8" i="29"/>
  <c r="I10" i="29"/>
  <c r="P3" i="29"/>
  <c r="P7" i="29"/>
  <c r="P4" i="29"/>
  <c r="P5" i="29"/>
  <c r="P6" i="29"/>
  <c r="J10" i="29"/>
  <c r="J11" i="29" s="1"/>
  <c r="O5" i="23"/>
  <c r="H9" i="23"/>
  <c r="M3" i="23"/>
  <c r="O3" i="23" s="1"/>
  <c r="O6" i="23"/>
  <c r="O4" i="23"/>
  <c r="R6" i="30"/>
  <c r="R4" i="30"/>
  <c r="R7" i="30"/>
  <c r="L10" i="30"/>
  <c r="R5" i="30"/>
  <c r="P3" i="30"/>
  <c r="M10" i="30" s="1"/>
  <c r="M11" i="30" s="1"/>
  <c r="R8" i="30"/>
  <c r="I11" i="14"/>
  <c r="L7" i="14"/>
  <c r="L8" i="14"/>
  <c r="L5" i="14"/>
  <c r="L6" i="14"/>
  <c r="L9" i="14"/>
  <c r="J3" i="14"/>
  <c r="J11" i="14" s="1"/>
  <c r="J12" i="14" s="1"/>
  <c r="H12" i="11"/>
  <c r="L9" i="11"/>
  <c r="L4" i="11"/>
  <c r="I12" i="11"/>
  <c r="I13" i="11" s="1"/>
  <c r="L8" i="11"/>
  <c r="L6" i="11"/>
  <c r="L10" i="11"/>
  <c r="K10" i="26"/>
  <c r="L3" i="26"/>
  <c r="N3" i="26" s="1"/>
  <c r="L10" i="26" l="1"/>
  <c r="L11" i="26" s="1"/>
  <c r="Q3" i="20"/>
  <c r="I9" i="23"/>
  <c r="I10" i="23" s="1"/>
  <c r="R3" i="30"/>
  <c r="L3" i="14"/>
</calcChain>
</file>

<file path=xl/sharedStrings.xml><?xml version="1.0" encoding="utf-8"?>
<sst xmlns="http://schemas.openxmlformats.org/spreadsheetml/2006/main" count="275" uniqueCount="68">
  <si>
    <t>W10x17</t>
  </si>
  <si>
    <t>W18x50</t>
  </si>
  <si>
    <t>Total Waste</t>
  </si>
  <si>
    <t>Total Cut Length</t>
  </si>
  <si>
    <t>Cut Length9</t>
  </si>
  <si>
    <t>Cut Length8</t>
  </si>
  <si>
    <t>Cut Length7</t>
  </si>
  <si>
    <t>Cut Length6</t>
  </si>
  <si>
    <t>Cut Length5</t>
  </si>
  <si>
    <t>Cut Length4</t>
  </si>
  <si>
    <t>Cut Length3</t>
  </si>
  <si>
    <t>Cut Length2</t>
  </si>
  <si>
    <t>Cut Length1</t>
  </si>
  <si>
    <t>Purchase Length</t>
  </si>
  <si>
    <t>Raw Material</t>
  </si>
  <si>
    <t>Item Description</t>
  </si>
  <si>
    <t>W12x30</t>
  </si>
  <si>
    <t>Description</t>
  </si>
  <si>
    <t>Optimized Beam Length</t>
  </si>
  <si>
    <t>Cut Length10</t>
  </si>
  <si>
    <t>Cut Length11</t>
  </si>
  <si>
    <t>Kerf &amp; Square off</t>
  </si>
  <si>
    <t>Total wastage after Kerf &amp; Square off</t>
  </si>
  <si>
    <t>Verified kerf &amp; square off on edges</t>
  </si>
  <si>
    <t>804-05084</t>
  </si>
  <si>
    <t>Beam, W18 x 50.0 lb/ft x 804" (67'-0") long</t>
  </si>
  <si>
    <t>804-05085</t>
  </si>
  <si>
    <t>Beam, W18 x 50.0 lb/ft x 756" (63'-0") long</t>
  </si>
  <si>
    <t>804-05086</t>
  </si>
  <si>
    <t>Beam, W18 x 50.0 lb/ft x 732" (61'-0") long</t>
  </si>
  <si>
    <t>804-05087</t>
  </si>
  <si>
    <t>Beam, W18 x 50.0 lb/ft x 692" (57'-8") long</t>
  </si>
  <si>
    <t>804-05088</t>
  </si>
  <si>
    <t>Beam, W18 x 50.0 lb/ft x 672" (56'-0") long</t>
  </si>
  <si>
    <t>804-05089</t>
  </si>
  <si>
    <t>Beam, W18 x 50.0 lb/ft x 580" (48'-4") long</t>
  </si>
  <si>
    <t>804-05090</t>
  </si>
  <si>
    <t>Beam, W18 x 50.0 lb/ft x 568" (47'-4") long</t>
  </si>
  <si>
    <t>804-05091</t>
  </si>
  <si>
    <t>Beam, W18 x 50.0 lb/ft x 460" (38'-4") long</t>
  </si>
  <si>
    <t>804-05092</t>
  </si>
  <si>
    <t>Beam, W18 x 50.0 lb/ft x 440" (36'-8") long</t>
  </si>
  <si>
    <t>804-05093</t>
  </si>
  <si>
    <t>Beam, W18 x 50.0 lb/ft x 424" (35'-4") long</t>
  </si>
  <si>
    <t>804-05094</t>
  </si>
  <si>
    <t>Beam, W10 x 17.0 lb/ft x 764" (63'-8") long</t>
  </si>
  <si>
    <t>804-05095</t>
  </si>
  <si>
    <t>Beam, W10 x 17.0 lb/ft x 728" (60'-8") long</t>
  </si>
  <si>
    <t>804-05096</t>
  </si>
  <si>
    <t>Beam, W10 x 17.0 lb/ft x 688" (57'-4") long</t>
  </si>
  <si>
    <t>804-05097</t>
  </si>
  <si>
    <t>Beam, W10 x 17.0 lb/ft x 604" (50'-4") long</t>
  </si>
  <si>
    <t>804-05098</t>
  </si>
  <si>
    <t>Beam, W10 x 17.0 lb/ft x 340" (28'-4") long</t>
  </si>
  <si>
    <t>804-05099</t>
  </si>
  <si>
    <t>Beam, W10 x 17.0 lb/ft x 332" (27'-8") long</t>
  </si>
  <si>
    <t>804-05100</t>
  </si>
  <si>
    <t>Beam, W10 x 17.0 lb/ft x 308" (25'-8") long</t>
  </si>
  <si>
    <t>804-05101</t>
  </si>
  <si>
    <t>Beam, W12 x 30.0 lb/ft x 700" (58'-4") long</t>
  </si>
  <si>
    <t>S.No</t>
  </si>
  <si>
    <t>Part Number3</t>
  </si>
  <si>
    <t>Beam, W10 x 17.0 lb/ft x 600" (50'-0") long</t>
  </si>
  <si>
    <t>804-15022</t>
  </si>
  <si>
    <t>Beam, W18 x 50.0 lb/ft x 720" (60'-0") long</t>
  </si>
  <si>
    <t>804-15017</t>
  </si>
  <si>
    <t>Already submitted to FBD</t>
  </si>
  <si>
    <t>Updated nesting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</si>
</sst>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5">
    <xf numFmtId="0" fontId="0" fillId="0" borderId="0" xfId="0"/>
    <xf numFmtId="10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3" fillId="0" borderId="4" xfId="0" applyFont="1" applyBorder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10" fontId="3" fillId="0" borderId="0" xfId="0" applyNumberFormat="1" applyFont="1"/>
    <xf numFmtId="0" fontId="3" fillId="0" borderId="8" xfId="0" applyFont="1" applyBorder="1"/>
    <xf numFmtId="0" fontId="0" fillId="0" borderId="0" xfId="0" applyAlignment="1">
      <alignment vertical="top"/>
    </xf>
    <xf numFmtId="0" fontId="5" fillId="3" borderId="0" xfId="0" applyFont="1" applyFill="1"/>
    <xf numFmtId="0" fontId="5" fillId="3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5" fillId="4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7" xfId="0" applyBorder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164" fontId="3" fillId="0" borderId="0" xfId="0" applyNumberFormat="1" applyFont="1"/>
    <xf numFmtId="16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3">
    <cellStyle name="Normal" xfId="0" builtinId="0"/>
    <cellStyle name="Normal 2" xfId="1" xr:uid="{DA655150-E6A6-4D4B-BDB6-4C38E294255C}"/>
    <cellStyle name="Normal 2 2" xfId="2" xr:uid="{545569C2-E285-4FFF-8425-E29FA6B52540}"/>
  </cellStyles>
  <dxfs count="119">
    <dxf>
      <fill>
        <patternFill>
          <bgColor rgb="FFFF0000"/>
        </patternFill>
      </fill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0445AB-AB69-431C-91F3-21549EBE27DF}" name="Table263" displayName="Table263" ref="B1:D22" totalsRowShown="0" headerRowDxfId="118">
  <autoFilter ref="B1:D22" xr:uid="{210445AB-AB69-431C-91F3-21549EBE27DF}"/>
  <tableColumns count="3">
    <tableColumn id="2" xr3:uid="{6281E0BC-FA4C-408E-8232-2F3A2F2B06B7}" name="Description" dataDxfId="117"/>
    <tableColumn id="3" xr3:uid="{D9D5BD90-4C78-47ED-BCCB-226D9B20481B}" name="Purchase Length"/>
    <tableColumn id="4" xr3:uid="{ED135A6D-0B48-40C6-9495-CA8DC52CEE27}" name="Part Number3"/>
  </tableColumns>
  <tableStyleInfo name="TableStyleMedium1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216705-DF4B-4A5F-9865-28903C23F0B7}" name="Table21316414" displayName="Table21316414" ref="A15:J23" totalsRowShown="0" dataDxfId="20">
  <autoFilter ref="A15:J23" xr:uid="{2D216705-DF4B-4A5F-9865-28903C23F0B7}"/>
  <tableColumns count="10">
    <tableColumn id="1" xr3:uid="{52134B18-7C5B-44B0-9F1D-39E0BD4250E9}" name="Item Description" dataDxfId="19"/>
    <tableColumn id="2" xr3:uid="{B93A6EEC-671D-4D82-9846-7943D6B967AE}" name="Raw Material" dataDxfId="18">
      <calculatedColumnFormula>VLOOKUP(C16,Summary!$C$2:$D$25,2,FALSE)</calculatedColumnFormula>
    </tableColumn>
    <tableColumn id="3" xr3:uid="{18FC3A94-064E-40E6-BD96-0CD210439ABC}" name="Purchase Length" dataDxfId="17"/>
    <tableColumn id="4" xr3:uid="{31BD7005-A735-46A4-83D3-F68FD484CFB8}" name="Cut Length1" dataDxfId="16"/>
    <tableColumn id="5" xr3:uid="{B3BDC039-390E-4A57-B4DA-E2CA03967C88}" name="Cut Length2" dataDxfId="15"/>
    <tableColumn id="6" xr3:uid="{79B97FCF-F606-4856-9133-661A4A36BA43}" name="Cut Length3" dataDxfId="14"/>
    <tableColumn id="7" xr3:uid="{2FF4997E-F70F-49E3-9B07-427BC8201AB1}" name="Cut Length4" dataDxfId="13"/>
    <tableColumn id="8" xr3:uid="{BD9B266A-CCE2-426C-BBEC-D15712FF54E4}" name="Cut Length5" dataDxfId="12"/>
    <tableColumn id="45" xr3:uid="{C70C2BDE-6174-40BB-8795-9DC3E06F6B75}" name="Total Cut Length" dataDxfId="11">
      <calculatedColumnFormula>SUM(Table21316414[[#This Row],[Cut Length1]:[Cut Length5]])</calculatedColumnFormula>
    </tableColumn>
    <tableColumn id="46" xr3:uid="{99FCCCA3-639D-4183-9380-CEDDA0CBEA44}" name="Total Waste" dataDxfId="10">
      <calculatedColumnFormula>Table21316414[[#This Row],[Purchase Length]]-Table21316414[[#This Row],[Total Cut Length]]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243D936-5939-4AB1-A01A-371A1F12D7AD}" name="Table215102942" displayName="Table215102942" ref="A2:O10" totalsRowShown="0">
  <autoFilter ref="A2:O10" xr:uid="{5243D936-5939-4AB1-A01A-371A1F12D7AD}"/>
  <tableColumns count="15">
    <tableColumn id="1" xr3:uid="{FD7D00CA-D1CC-4AC1-9453-208FDF9F2BFD}" name="Item Description"/>
    <tableColumn id="2" xr3:uid="{C91F1B9E-31F1-4E71-9E38-64FB9D8BFB7A}" name="Raw Material" dataDxfId="9">
      <calculatedColumnFormula>VLOOKUP(C3,Summary!$C$2:$D$25,2,FALSE)</calculatedColumnFormula>
    </tableColumn>
    <tableColumn id="3" xr3:uid="{72EFA9FE-CE95-44D1-A747-A39956E673B0}" name="Purchase Length" dataDxfId="8"/>
    <tableColumn id="4" xr3:uid="{B93B3F1D-6753-482E-9614-B3E481971C18}" name="Cut Length1" dataDxfId="7"/>
    <tableColumn id="5" xr3:uid="{7F73C6C8-DE2D-4519-BD19-3A7758BD093B}" name="Cut Length2" dataDxfId="6"/>
    <tableColumn id="6" xr3:uid="{7E0415BB-4155-406A-AD85-AB1E8FDDF66C}" name="Cut Length3" dataDxfId="5"/>
    <tableColumn id="7" xr3:uid="{FA2AB809-F48A-4A7A-A8D2-79A9D29103B2}" name="Cut Length4" dataDxfId="4"/>
    <tableColumn id="8" xr3:uid="{F2C9940A-1B2B-498C-8EFF-3245718270D9}" name="Cut Length5" dataDxfId="3"/>
    <tableColumn id="9" xr3:uid="{F101E412-1687-4B3C-B9BD-A797CABD5D0C}" name="Cut Length6" dataDxfId="2"/>
    <tableColumn id="10" xr3:uid="{1D5EF64B-B540-4D0B-9742-FD8C2E9C8E6D}" name="Cut Length7"/>
    <tableColumn id="11" xr3:uid="{6FF96165-7B31-4561-B342-87BBDC27D21D}" name="Cut Length8"/>
    <tableColumn id="12" xr3:uid="{B009CA7E-A2D5-4D8D-A7CD-79BADA62050E}" name="Cut Length9"/>
    <tableColumn id="13" xr3:uid="{875B2B1E-6EFE-41F6-B2FC-9A89D786ECC3}" name="Cut Length10"/>
    <tableColumn id="16" xr3:uid="{D5A28339-FAD5-4E4C-ABEC-21E436814FD2}" name="Total Cut Length" dataDxfId="1">
      <calculatedColumnFormula>SUM(Table215102942[[#This Row],[Cut Length1]:[Cut Length10]])</calculatedColumnFormula>
    </tableColumn>
    <tableColumn id="17" xr3:uid="{5C620547-6284-43FA-A91C-0DD59FFFAF07}" name="Total Waste">
      <calculatedColumnFormula>Table215102942[[#This Row],[Purchase Length]]-Table215102942[[#This Row],[Total Cut Length]]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7927E8B-B42F-4BCB-BEC5-B138F142A347}" name="Table2842527" displayName="Table2842527" ref="A2:J10" totalsRowShown="0">
  <autoFilter ref="A2:J10" xr:uid="{37927E8B-B42F-4BCB-BEC5-B138F142A347}"/>
  <tableColumns count="10">
    <tableColumn id="1" xr3:uid="{F8DF3AEF-A042-4092-B138-67D11F3866B2}" name="Item Description"/>
    <tableColumn id="2" xr3:uid="{39DFDFFC-C425-4E21-96A5-628A5895F23C}" name="Raw Material" dataDxfId="116">
      <calculatedColumnFormula>VLOOKUP(C3,Summary!$C$2:$D$25,2,FALSE)</calculatedColumnFormula>
    </tableColumn>
    <tableColumn id="3" xr3:uid="{B6B2C68E-5749-4D3B-9DE4-4DDE64FFF387}" name="Purchase Length"/>
    <tableColumn id="4" xr3:uid="{7EAF20A4-BEA1-46C2-86BB-ACE3FE78B02B}" name="Cut Length1"/>
    <tableColumn id="5" xr3:uid="{A39C1D33-35E8-4E4E-A246-BAA67D4AB0AC}" name="Cut Length2"/>
    <tableColumn id="6" xr3:uid="{8E56D951-4E6D-4B76-AD67-1FADA8ABDC70}" name="Cut Length3"/>
    <tableColumn id="7" xr3:uid="{1ACE5250-B383-466A-B2DA-1D372A25D695}" name="Cut Length4"/>
    <tableColumn id="8" xr3:uid="{09ACBFCB-AB96-415E-955F-80151A60EE7A}" name="Cut Length5"/>
    <tableColumn id="20" xr3:uid="{4FC4FA3D-C081-42BF-AE84-E5DC4B2A3EB1}" name="Total Cut Length" dataDxfId="115">
      <calculatedColumnFormula>SUM(Table2842527[[#This Row],[Cut Length1]:[Cut Length5]])</calculatedColumnFormula>
    </tableColumn>
    <tableColumn id="21" xr3:uid="{5E50E229-AF1B-4424-B074-A0358A64B11F}" name="Total Waste">
      <calculatedColumnFormula>Table2842527[[#This Row],[Purchase Length]]-Table2842527[[#This Row],[Total Cut Length]]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3E8D646-34D9-4175-9F04-684837468AC6}" name="Table221928" displayName="Table221928" ref="A2:L8" totalsRowShown="0" headerRowDxfId="114" dataDxfId="112" headerRowBorderDxfId="113" tableBorderDxfId="111" totalsRowBorderDxfId="110">
  <autoFilter ref="A2:L8" xr:uid="{43E8D646-34D9-4175-9F04-684837468AC6}"/>
  <tableColumns count="12">
    <tableColumn id="1" xr3:uid="{396E0349-0AB2-43AE-9281-8BAF701AD2B0}" name="Item Description" dataDxfId="109"/>
    <tableColumn id="2" xr3:uid="{6610FB39-36BC-4AF8-A6A8-4CB3FED75CEC}" name="Raw Material" dataDxfId="108">
      <calculatedColumnFormula>VLOOKUP(C3,Summary!$C$2:$D$25,2,FALSE)</calculatedColumnFormula>
    </tableColumn>
    <tableColumn id="3" xr3:uid="{40335B03-2BDD-45A0-A221-674DCB4C28F7}" name="Purchase Length" dataDxfId="107"/>
    <tableColumn id="4" xr3:uid="{0FC834AF-0E9E-4EFC-B639-F7D1EAC48F6B}" name="Cut Length1" dataDxfId="106"/>
    <tableColumn id="5" xr3:uid="{9EE93B7F-4C37-4FE6-B87D-0F406075C8FF}" name="Cut Length2" dataDxfId="105"/>
    <tableColumn id="6" xr3:uid="{BBD65D11-4EA8-4A58-B18D-39CC5AC69A31}" name="Cut Length3" dataDxfId="104"/>
    <tableColumn id="7" xr3:uid="{775F980E-D596-48C4-A2FC-83E2B111549E}" name="Cut Length4" dataDxfId="103"/>
    <tableColumn id="8" xr3:uid="{C70C44F0-5F1F-4995-BA61-C7E8B1F5A33D}" name="Cut Length5" dataDxfId="102"/>
    <tableColumn id="9" xr3:uid="{A3B95222-DC82-4D3D-A42B-B8A0059BD3AE}" name="Cut Length6" dataDxfId="101"/>
    <tableColumn id="10" xr3:uid="{B48950D6-52DE-4073-91A4-0770D59AC06D}" name="Cut Length7" dataDxfId="100"/>
    <tableColumn id="37" xr3:uid="{33F3610C-336D-42A0-8752-751B9F9AC68C}" name="Total Cut Length" dataDxfId="99">
      <calculatedColumnFormula>SUM(Table221928[[#This Row],[Cut Length1]:[Cut Length7]])</calculatedColumnFormula>
    </tableColumn>
    <tableColumn id="38" xr3:uid="{F3D77BD8-FAF6-457E-A75F-FAE532A455E1}" name="Total Waste" dataDxfId="98">
      <calculatedColumnFormula>Table221928[[#This Row],[Purchase Length]]-Table221928[[#This Row],[Total Cut Length]]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4E833A4-85F1-4C62-83D0-542F002316BF}" name="Table211123133" displayName="Table211123133" ref="A2:J9" totalsRowShown="0">
  <autoFilter ref="A2:J9" xr:uid="{74E833A4-85F1-4C62-83D0-542F002316BF}"/>
  <tableColumns count="10">
    <tableColumn id="1" xr3:uid="{7E34433E-0BAB-45BB-A0A0-8CA143554EC9}" name="Item Description"/>
    <tableColumn id="2" xr3:uid="{B6CBE60D-ADEA-4950-B301-41E35B86C82A}" name="Raw Material" dataDxfId="97">
      <calculatedColumnFormula>VLOOKUP(C3,Summary!$C$2:$D$25,2,FALSE)</calculatedColumnFormula>
    </tableColumn>
    <tableColumn id="3" xr3:uid="{AD3DA9C3-E94D-4673-9007-599B92D2F4D6}" name="Purchase Length" dataDxfId="96"/>
    <tableColumn id="4" xr3:uid="{5A59BCE6-9D5E-449C-A790-30C2C58F1D01}" name="Cut Length1" dataDxfId="95"/>
    <tableColumn id="5" xr3:uid="{D5A77012-5FBE-45B1-AA16-405217EBFB3E}" name="Cut Length2" dataDxfId="94"/>
    <tableColumn id="6" xr3:uid="{85030C06-8932-48C7-87FD-9F977A429011}" name="Cut Length3" dataDxfId="93"/>
    <tableColumn id="7" xr3:uid="{49302246-FEE6-46BA-AD74-8CBD256AAE04}" name="Cut Length4" dataDxfId="92"/>
    <tableColumn id="8" xr3:uid="{FF9F15B0-3B68-455B-98B7-2353C5CFC82E}" name="Cut Length5" dataDxfId="91"/>
    <tableColumn id="45" xr3:uid="{E42B4CA8-3FF0-495A-B8FF-E27FB640A8B8}" name="Total Cut Length" dataDxfId="90">
      <calculatedColumnFormula>SUM(Table211123133[[#This Row],[Cut Length1]:[Cut Length5]])</calculatedColumnFormula>
    </tableColumn>
    <tableColumn id="46" xr3:uid="{55018B40-D882-46D1-8F1F-ED41B304D279}" name="Total Waste">
      <calculatedColumnFormula>Table211123133[[#This Row],[Purchase Length]]-Table211123133[[#This Row],[Total Cut Length]]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FD0F0A-0483-484F-8429-63240761E071}" name="Table2111231333" displayName="Table2111231333" ref="A15:J23" totalsRowShown="0">
  <autoFilter ref="A15:J23" xr:uid="{FAFD0F0A-0483-484F-8429-63240761E071}"/>
  <tableColumns count="10">
    <tableColumn id="1" xr3:uid="{9B2DA885-5D0A-4EE9-BEE9-F27D9C335DBC}" name="Item Description"/>
    <tableColumn id="2" xr3:uid="{6A24341A-62FC-41E7-A5A7-682D7CE74DBE}" name="Raw Material" dataDxfId="89">
      <calculatedColumnFormula>VLOOKUP(C16,Summary!$C$2:$D$25,2,FALSE)</calculatedColumnFormula>
    </tableColumn>
    <tableColumn id="3" xr3:uid="{453076EF-9715-46D1-99E9-FFC29075750E}" name="Purchase Length" dataDxfId="88"/>
    <tableColumn id="4" xr3:uid="{A59FBA48-52E6-4D5D-8966-7EE7421295C7}" name="Cut Length1" dataDxfId="87"/>
    <tableColumn id="5" xr3:uid="{A5BF8DDA-D70B-42F1-8730-BE16E847EE93}" name="Cut Length2" dataDxfId="86"/>
    <tableColumn id="6" xr3:uid="{93214709-F55D-4B9D-8963-51D26F3E9DCD}" name="Cut Length3" dataDxfId="85"/>
    <tableColumn id="7" xr3:uid="{2E46FC33-3D55-45D3-9934-13FCFE616CB8}" name="Cut Length4" dataDxfId="84"/>
    <tableColumn id="8" xr3:uid="{85BCCAA6-770B-4A6C-8483-4C04D01C346E}" name="Cut Length5" dataDxfId="83"/>
    <tableColumn id="45" xr3:uid="{73E3998C-DE8B-4A36-AEAD-510C6C0096D3}" name="Total Cut Length" dataDxfId="82">
      <calculatedColumnFormula>SUM(Table2111231333[[#This Row],[Cut Length1]:[Cut Length5]])</calculatedColumnFormula>
    </tableColumn>
    <tableColumn id="46" xr3:uid="{0120BBEC-34E2-40CA-8336-151673C0E379}" name="Total Waste">
      <calculatedColumnFormula>Table2111231333[[#This Row],[Purchase Length]]-Table2111231333[[#This Row],[Total Cut Length]]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0BE8515-4CEE-493E-9AA0-28853D5EBF7A}" name="Table223203435" displayName="Table223203435" ref="A2:P8" totalsRowShown="0" headerRowDxfId="81" dataDxfId="79" headerRowBorderDxfId="80" tableBorderDxfId="78" totalsRowBorderDxfId="77">
  <autoFilter ref="A2:P8" xr:uid="{80BE8515-4CEE-493E-9AA0-28853D5EBF7A}"/>
  <tableColumns count="16">
    <tableColumn id="1" xr3:uid="{F6763272-01F4-46DE-BC8B-8252B8AAC1E9}" name="Item Description" dataDxfId="76"/>
    <tableColumn id="2" xr3:uid="{A3932348-A0C8-4644-9FF2-F828C2765FA5}" name="Raw Material" dataDxfId="75">
      <calculatedColumnFormula>VLOOKUP(C3,Summary!$C$2:$D$25,2,FALSE)</calculatedColumnFormula>
    </tableColumn>
    <tableColumn id="3" xr3:uid="{4C521326-9F31-438B-A188-6CFE833812AC}" name="Purchase Length" dataDxfId="74"/>
    <tableColumn id="4" xr3:uid="{CBF30B93-5684-41B7-8108-F2F6F7B9C63D}" name="Cut Length1" dataDxfId="73"/>
    <tableColumn id="5" xr3:uid="{FEA304A2-9CCA-4FA7-9B51-BEC8A0B7AC08}" name="Cut Length2" dataDxfId="72"/>
    <tableColumn id="6" xr3:uid="{642601AC-62AC-4AA2-9C8B-EAABDD6821BB}" name="Cut Length3" dataDxfId="71"/>
    <tableColumn id="7" xr3:uid="{E021396C-A9D8-4CBF-9FF9-BF20B9C3D908}" name="Cut Length4" dataDxfId="70"/>
    <tableColumn id="8" xr3:uid="{5B37E614-4978-4580-9A8B-1A503EA1F0DE}" name="Cut Length5" dataDxfId="69"/>
    <tableColumn id="9" xr3:uid="{D5AC4DF9-68A9-46CA-9599-6B59D4CD906F}" name="Cut Length6" dataDxfId="68"/>
    <tableColumn id="10" xr3:uid="{087B6C05-2751-40F0-B8B3-670D0EB6E108}" name="Cut Length7" dataDxfId="67"/>
    <tableColumn id="11" xr3:uid="{10DB2610-FD2F-4EBA-95DA-F2BA3F361047}" name="Cut Length8" dataDxfId="66"/>
    <tableColumn id="14" xr3:uid="{3409FE91-2317-4BAF-9D06-39FD58084B16}" name="Cut Length9" dataDxfId="65"/>
    <tableColumn id="15" xr3:uid="{18D77A06-6D66-4869-9CFB-046476D76141}" name="Cut Length10" dataDxfId="64"/>
    <tableColumn id="16" xr3:uid="{B778E2BC-F333-4BB6-8F7A-D56532BC7B86}" name="Cut Length11" dataDxfId="63"/>
    <tableColumn id="12" xr3:uid="{60CFE46D-8FEF-47F5-8D7F-B44D0B997E4B}" name="Total Cut Length" dataDxfId="62">
      <calculatedColumnFormula>SUM(Table223203435[[#This Row],[Cut Length1]:[Cut Length11]])</calculatedColumnFormula>
    </tableColumn>
    <tableColumn id="13" xr3:uid="{3A7654A5-4AE8-4C0F-A76F-B770EFD75435}" name="Total Waste" dataDxfId="61">
      <calculatedColumnFormula>C3-O3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51ED6575-049F-43A8-970D-B64ED1D7EE92}" name="Table2187336" displayName="Table2187336" ref="A2:M7" totalsRowShown="0" dataDxfId="60">
  <autoFilter ref="A2:M7" xr:uid="{51ED6575-049F-43A8-970D-B64ED1D7EE92}"/>
  <tableColumns count="13">
    <tableColumn id="1" xr3:uid="{63AD45D2-7575-4C83-92AA-F6ED26AE0F9E}" name="Item Description" dataDxfId="59"/>
    <tableColumn id="2" xr3:uid="{D3CC7A7C-96FA-4BFD-B65F-8B1BA1D0CE2A}" name="Raw Material" dataDxfId="58">
      <calculatedColumnFormula>VLOOKUP(C3,Summary!$C$2:$D$25,2,FALSE)</calculatedColumnFormula>
    </tableColumn>
    <tableColumn id="3" xr3:uid="{D6BA9EBC-A768-4D1C-81EB-43E75046CBE6}" name="Purchase Length" dataDxfId="57"/>
    <tableColumn id="4" xr3:uid="{969DD49A-9539-401A-8AFC-214909BBAEDD}" name="Cut Length1" dataDxfId="56"/>
    <tableColumn id="5" xr3:uid="{D30D1FDC-0170-463A-89A5-08D0339D606A}" name="Cut Length2" dataDxfId="55"/>
    <tableColumn id="6" xr3:uid="{61E4E2F8-8098-48EB-AF4B-8BDDDDC2BB5C}" name="Cut Length3" dataDxfId="54"/>
    <tableColumn id="7" xr3:uid="{568E3F82-4A17-4CAF-B029-ECFA370BA29F}" name="Cut Length4" dataDxfId="53"/>
    <tableColumn id="8" xr3:uid="{87C03B27-DD76-48BD-99B7-F177E8FF75C3}" name="Cut Length5" dataDxfId="52"/>
    <tableColumn id="9" xr3:uid="{9198DF69-5AD5-4AEB-9908-14E044AA0945}" name="Cut Length6" dataDxfId="51"/>
    <tableColumn id="10" xr3:uid="{7A9DAD8E-E009-4238-8F4F-560A71D91D07}" name="Cut Length7" dataDxfId="50"/>
    <tableColumn id="11" xr3:uid="{F331638D-B9E6-473F-99B1-C6F72985AAD5}" name="Cut Length8" dataDxfId="49"/>
    <tableColumn id="25" xr3:uid="{526763FB-4A80-45B7-8AE0-A8F7718A3F7B}" name="Total Cut Length" dataDxfId="48">
      <calculatedColumnFormula>SUM(Table2187336[[#This Row],[Cut Length1]:[Cut Length8]])</calculatedColumnFormula>
    </tableColumn>
    <tableColumn id="26" xr3:uid="{7ED309AF-291B-40BD-843C-280A637B00F8}" name="Total Waste" dataDxfId="47">
      <calculatedColumnFormula>Table2187336[[#This Row],[Purchase Length]]-Table2187336[[#This Row],[Total Cut Length]]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65D4CD9-D4BD-47A0-B76C-13073FC13F99}" name="Table2319383940" displayName="Table2319383940" ref="A2:N8" totalsRowShown="0" dataDxfId="46">
  <autoFilter ref="A2:N8" xr:uid="{665D4CD9-D4BD-47A0-B76C-13073FC13F99}"/>
  <tableColumns count="14">
    <tableColumn id="1" xr3:uid="{51876EF2-279E-46E1-A713-92855B4E3646}" name="Item Description" dataDxfId="45"/>
    <tableColumn id="2" xr3:uid="{D29E80CF-E588-4E54-AC90-7BCD35F163B7}" name="Raw Material" dataDxfId="44">
      <calculatedColumnFormula>VLOOKUP(C3,Summary!$C$2:$D$25,2,FALSE)</calculatedColumnFormula>
    </tableColumn>
    <tableColumn id="3" xr3:uid="{23141780-48D4-435E-9724-DDEEE602DE72}" name="Purchase Length" dataDxfId="43"/>
    <tableColumn id="4" xr3:uid="{A7A7C35B-A406-4DD6-9AC9-F7C4710441A2}" name="Cut Length1" dataDxfId="42"/>
    <tableColumn id="5" xr3:uid="{FF120966-5E23-4AE2-A02B-B77A3B20D880}" name="Cut Length2" dataDxfId="41"/>
    <tableColumn id="6" xr3:uid="{AF1A5D72-4049-49A2-AC7A-2C65012D0F98}" name="Cut Length3" dataDxfId="40"/>
    <tableColumn id="7" xr3:uid="{5B560AEE-94D2-4C04-8A24-5AC3A593AE6B}" name="Cut Length4" dataDxfId="39"/>
    <tableColumn id="8" xr3:uid="{1FB60A81-C5E2-4FE8-9411-24612369AC4F}" name="Cut Length5" dataDxfId="38"/>
    <tableColumn id="9" xr3:uid="{DDA81F3D-2761-431D-826C-F5E1DF45F42B}" name="Cut Length6" dataDxfId="37"/>
    <tableColumn id="10" xr3:uid="{A1AEDB22-24FF-41AC-80E2-D87794969D43}" name="Cut Length7" dataDxfId="36"/>
    <tableColumn id="11" xr3:uid="{F898375E-4E0F-4D8C-A509-C9F3D8F418B0}" name="Cut Length8" dataDxfId="35"/>
    <tableColumn id="12" xr3:uid="{A4979042-81AE-4E9D-871F-BD3C6EE42571}" name="Cut Length9" dataDxfId="34"/>
    <tableColumn id="38" xr3:uid="{B5652EB8-90C6-452E-A647-559C25E1E388}" name="Total Cut Length" dataDxfId="33">
      <calculatedColumnFormula>SUM(Table2319383940[[#This Row],[Cut Length1]:[Cut Length9]])</calculatedColumnFormula>
    </tableColumn>
    <tableColumn id="39" xr3:uid="{173D99D5-DC46-4ADD-858E-2E5F0D7D4DB1}" name="Total Waste" dataDxfId="32">
      <calculatedColumnFormula>Table2319383940[[#This Row],[Purchase Length]]-Table2319383940[[#This Row],[Total Cut Length]]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387B82C6-4CDB-4D46-8F7E-1D4643545FEB}" name="Table2131641" displayName="Table2131641" ref="A2:J9" totalsRowShown="0" dataDxfId="31">
  <autoFilter ref="A2:J9" xr:uid="{387B82C6-4CDB-4D46-8F7E-1D4643545FEB}"/>
  <tableColumns count="10">
    <tableColumn id="1" xr3:uid="{0E59CC4F-E317-4D38-865B-768B005BE320}" name="Item Description" dataDxfId="30"/>
    <tableColumn id="2" xr3:uid="{4B709C45-A868-410C-A4DB-2C2F6988F7EE}" name="Raw Material" dataDxfId="29">
      <calculatedColumnFormula>VLOOKUP(C3,Summary!$C$2:$D$25,2,FALSE)</calculatedColumnFormula>
    </tableColumn>
    <tableColumn id="3" xr3:uid="{4DA68B36-3ECA-4520-A263-425A2AD1FA04}" name="Purchase Length" dataDxfId="28"/>
    <tableColumn id="4" xr3:uid="{6798C1D9-5FA4-4192-86E1-DF1AEF051A23}" name="Cut Length1" dataDxfId="27"/>
    <tableColumn id="5" xr3:uid="{8CE52DB0-49EA-4F9B-8295-3708808E9FDA}" name="Cut Length2" dataDxfId="26"/>
    <tableColumn id="6" xr3:uid="{7A5DC837-41D3-4CA9-AF37-FAFC868E02FF}" name="Cut Length3" dataDxfId="25"/>
    <tableColumn id="7" xr3:uid="{8CF44674-F4C3-4A58-8D2E-B5547F3200CD}" name="Cut Length4" dataDxfId="24"/>
    <tableColumn id="8" xr3:uid="{4915673C-A761-477C-A782-9EA5861BE463}" name="Cut Length5" dataDxfId="23"/>
    <tableColumn id="45" xr3:uid="{ED20C4AA-BDF2-4C14-ABD7-0601DC20A02D}" name="Total Cut Length" dataDxfId="22">
      <calculatedColumnFormula>SUM(Table2131641[[#This Row],[Cut Length1]:[Cut Length5]])</calculatedColumnFormula>
    </tableColumn>
    <tableColumn id="46" xr3:uid="{9AE1392D-4569-4FF5-83DA-8DE1EF3C1698}" name="Total Waste" dataDxfId="21">
      <calculatedColumnFormula>Table2131641[[#This Row],[Purchase Length]]-Table2131641[[#This Row],[Total Cut Length]]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88925-A141-4EC9-BD60-32F5C9BB889F}">
  <dimension ref="A1:D22"/>
  <sheetViews>
    <sheetView workbookViewId="0">
      <selection activeCell="K8" sqref="K8"/>
    </sheetView>
  </sheetViews>
  <sheetFormatPr defaultRowHeight="14.4" x14ac:dyDescent="0.3"/>
  <cols>
    <col min="2" max="2" width="36.21875" bestFit="1" customWidth="1"/>
    <col min="3" max="3" width="19.44140625" bestFit="1" customWidth="1"/>
    <col min="4" max="4" width="17.21875" bestFit="1" customWidth="1"/>
    <col min="10" max="10" width="8.88671875" customWidth="1"/>
  </cols>
  <sheetData>
    <row r="1" spans="1:4" ht="15" thickBot="1" x14ac:dyDescent="0.35">
      <c r="A1" s="28" t="s">
        <v>60</v>
      </c>
      <c r="B1" s="29" t="s">
        <v>17</v>
      </c>
      <c r="C1" s="29" t="s">
        <v>13</v>
      </c>
      <c r="D1" s="29" t="s">
        <v>61</v>
      </c>
    </row>
    <row r="2" spans="1:4" ht="15" thickTop="1" x14ac:dyDescent="0.3">
      <c r="A2" s="30">
        <v>1</v>
      </c>
      <c r="B2" s="27" t="s">
        <v>25</v>
      </c>
      <c r="C2" s="29">
        <v>804</v>
      </c>
      <c r="D2" s="27" t="s">
        <v>24</v>
      </c>
    </row>
    <row r="3" spans="1:4" x14ac:dyDescent="0.3">
      <c r="A3" s="31">
        <v>2</v>
      </c>
      <c r="B3" s="27" t="s">
        <v>27</v>
      </c>
      <c r="C3" s="29">
        <v>756</v>
      </c>
      <c r="D3" s="27" t="s">
        <v>26</v>
      </c>
    </row>
    <row r="4" spans="1:4" x14ac:dyDescent="0.3">
      <c r="A4" s="30">
        <v>3</v>
      </c>
      <c r="B4" s="27" t="s">
        <v>29</v>
      </c>
      <c r="C4" s="29">
        <v>732</v>
      </c>
      <c r="D4" s="27" t="s">
        <v>28</v>
      </c>
    </row>
    <row r="5" spans="1:4" x14ac:dyDescent="0.3">
      <c r="A5" s="31">
        <v>4</v>
      </c>
      <c r="B5" s="33" t="s">
        <v>64</v>
      </c>
      <c r="C5" s="34">
        <v>720</v>
      </c>
      <c r="D5" s="33" t="s">
        <v>65</v>
      </c>
    </row>
    <row r="6" spans="1:4" x14ac:dyDescent="0.3">
      <c r="A6" s="30">
        <v>5</v>
      </c>
      <c r="B6" s="27" t="s">
        <v>31</v>
      </c>
      <c r="C6" s="29">
        <v>692</v>
      </c>
      <c r="D6" s="27" t="s">
        <v>30</v>
      </c>
    </row>
    <row r="7" spans="1:4" x14ac:dyDescent="0.3">
      <c r="A7" s="31">
        <v>6</v>
      </c>
      <c r="B7" s="27" t="s">
        <v>33</v>
      </c>
      <c r="C7" s="29">
        <v>672</v>
      </c>
      <c r="D7" s="27" t="s">
        <v>32</v>
      </c>
    </row>
    <row r="8" spans="1:4" x14ac:dyDescent="0.3">
      <c r="A8" s="30">
        <v>7</v>
      </c>
      <c r="B8" s="27" t="s">
        <v>35</v>
      </c>
      <c r="C8" s="29">
        <v>580</v>
      </c>
      <c r="D8" s="27" t="s">
        <v>34</v>
      </c>
    </row>
    <row r="9" spans="1:4" x14ac:dyDescent="0.3">
      <c r="A9" s="31">
        <v>8</v>
      </c>
      <c r="B9" s="27" t="s">
        <v>37</v>
      </c>
      <c r="C9" s="29">
        <v>568</v>
      </c>
      <c r="D9" s="27" t="s">
        <v>36</v>
      </c>
    </row>
    <row r="10" spans="1:4" x14ac:dyDescent="0.3">
      <c r="A10" s="30">
        <v>9</v>
      </c>
      <c r="B10" s="27" t="s">
        <v>39</v>
      </c>
      <c r="C10" s="29">
        <v>460</v>
      </c>
      <c r="D10" s="27" t="s">
        <v>38</v>
      </c>
    </row>
    <row r="11" spans="1:4" x14ac:dyDescent="0.3">
      <c r="A11" s="31">
        <v>10</v>
      </c>
      <c r="B11" s="27" t="s">
        <v>41</v>
      </c>
      <c r="C11" s="29">
        <v>440</v>
      </c>
      <c r="D11" s="27" t="s">
        <v>40</v>
      </c>
    </row>
    <row r="12" spans="1:4" x14ac:dyDescent="0.3">
      <c r="A12" s="30">
        <v>11</v>
      </c>
      <c r="B12" s="27" t="s">
        <v>43</v>
      </c>
      <c r="C12" s="29">
        <v>424</v>
      </c>
      <c r="D12" s="27" t="s">
        <v>42</v>
      </c>
    </row>
    <row r="13" spans="1:4" x14ac:dyDescent="0.3">
      <c r="A13" s="31">
        <v>12</v>
      </c>
      <c r="B13" s="27" t="s">
        <v>45</v>
      </c>
      <c r="C13" s="29">
        <v>764</v>
      </c>
      <c r="D13" s="27" t="s">
        <v>44</v>
      </c>
    </row>
    <row r="14" spans="1:4" x14ac:dyDescent="0.3">
      <c r="A14" s="30">
        <v>13</v>
      </c>
      <c r="B14" s="27" t="s">
        <v>47</v>
      </c>
      <c r="C14" s="29">
        <v>728</v>
      </c>
      <c r="D14" s="27" t="s">
        <v>46</v>
      </c>
    </row>
    <row r="15" spans="1:4" x14ac:dyDescent="0.3">
      <c r="A15" s="31">
        <v>14</v>
      </c>
      <c r="B15" s="27" t="s">
        <v>49</v>
      </c>
      <c r="C15" s="29">
        <v>688</v>
      </c>
      <c r="D15" s="27" t="s">
        <v>48</v>
      </c>
    </row>
    <row r="16" spans="1:4" x14ac:dyDescent="0.3">
      <c r="A16" s="30">
        <v>15</v>
      </c>
      <c r="B16" s="27" t="s">
        <v>51</v>
      </c>
      <c r="C16" s="29">
        <v>604</v>
      </c>
      <c r="D16" s="27" t="s">
        <v>50</v>
      </c>
    </row>
    <row r="17" spans="1:4" x14ac:dyDescent="0.3">
      <c r="A17" s="31">
        <v>16</v>
      </c>
      <c r="B17" s="33" t="s">
        <v>62</v>
      </c>
      <c r="C17" s="34">
        <v>600</v>
      </c>
      <c r="D17" s="33" t="s">
        <v>63</v>
      </c>
    </row>
    <row r="18" spans="1:4" x14ac:dyDescent="0.3">
      <c r="A18" s="30">
        <v>17</v>
      </c>
      <c r="B18" s="27" t="s">
        <v>53</v>
      </c>
      <c r="C18" s="29">
        <v>340</v>
      </c>
      <c r="D18" s="27" t="s">
        <v>52</v>
      </c>
    </row>
    <row r="19" spans="1:4" x14ac:dyDescent="0.3">
      <c r="A19" s="31">
        <v>18</v>
      </c>
      <c r="B19" s="27" t="s">
        <v>55</v>
      </c>
      <c r="C19" s="29">
        <v>332</v>
      </c>
      <c r="D19" s="27" t="s">
        <v>54</v>
      </c>
    </row>
    <row r="20" spans="1:4" x14ac:dyDescent="0.3">
      <c r="A20" s="30">
        <v>19</v>
      </c>
      <c r="B20" s="27" t="s">
        <v>57</v>
      </c>
      <c r="C20" s="29">
        <v>308</v>
      </c>
      <c r="D20" s="27" t="s">
        <v>56</v>
      </c>
    </row>
    <row r="21" spans="1:4" x14ac:dyDescent="0.3">
      <c r="A21" s="31">
        <v>21</v>
      </c>
      <c r="B21" s="27" t="s">
        <v>59</v>
      </c>
      <c r="C21" s="29">
        <v>700</v>
      </c>
      <c r="D21" s="27" t="s">
        <v>58</v>
      </c>
    </row>
    <row r="22" spans="1:4" x14ac:dyDescent="0.3">
      <c r="A22" s="30"/>
    </row>
  </sheetData>
  <phoneticPr fontId="4" type="noConversion"/>
  <conditionalFormatting sqref="C2:C21">
    <cfRule type="duplicateValues" dxfId="0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40E0-E2E8-44AC-9D30-293332A54B2C}">
  <sheetPr>
    <pageSetUpPr fitToPage="1"/>
  </sheetPr>
  <dimension ref="A1:Q13"/>
  <sheetViews>
    <sheetView workbookViewId="0">
      <selection activeCell="H18" sqref="H18"/>
    </sheetView>
  </sheetViews>
  <sheetFormatPr defaultRowHeight="14.4" x14ac:dyDescent="0.3"/>
  <cols>
    <col min="1" max="1" width="17.109375" bestFit="1" customWidth="1"/>
    <col min="2" max="2" width="14.33203125" bestFit="1" customWidth="1"/>
    <col min="3" max="3" width="15.33203125" customWidth="1"/>
    <col min="4" max="6" width="13.33203125" bestFit="1" customWidth="1"/>
    <col min="7" max="7" width="17.109375" customWidth="1"/>
    <col min="8" max="8" width="17.109375" bestFit="1" customWidth="1"/>
    <col min="9" max="9" width="13.109375" bestFit="1" customWidth="1"/>
    <col min="10" max="10" width="11.21875" customWidth="1"/>
    <col min="11" max="11" width="15.109375" bestFit="1" customWidth="1"/>
    <col min="12" max="12" width="18" customWidth="1"/>
  </cols>
  <sheetData>
    <row r="1" spans="1:17" x14ac:dyDescent="0.3">
      <c r="A1" s="40" t="s">
        <v>18</v>
      </c>
      <c r="B1" s="40"/>
      <c r="C1" s="40"/>
      <c r="D1" s="40"/>
      <c r="E1" s="40"/>
      <c r="F1" s="40"/>
      <c r="G1" s="40"/>
      <c r="H1" s="40"/>
      <c r="I1" s="40"/>
      <c r="J1" s="40"/>
      <c r="K1" s="39" t="s">
        <v>23</v>
      </c>
      <c r="L1" s="39"/>
    </row>
    <row r="2" spans="1:17" ht="29.4" customHeight="1" x14ac:dyDescent="0.3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3</v>
      </c>
      <c r="J2" t="s">
        <v>2</v>
      </c>
      <c r="K2" s="21" t="s">
        <v>21</v>
      </c>
      <c r="L2" s="22" t="s">
        <v>22</v>
      </c>
    </row>
    <row r="3" spans="1:17" x14ac:dyDescent="0.3">
      <c r="A3" t="s">
        <v>1</v>
      </c>
      <c r="B3" t="str">
        <f>VLOOKUP(C3,Summary!$C$2:$D$25,2,FALSE)</f>
        <v>804-05085</v>
      </c>
      <c r="C3">
        <v>756</v>
      </c>
      <c r="D3">
        <v>150.5</v>
      </c>
      <c r="E3">
        <v>150.5</v>
      </c>
      <c r="F3">
        <v>150.5</v>
      </c>
      <c r="G3">
        <v>150.5</v>
      </c>
      <c r="H3">
        <v>150.5</v>
      </c>
      <c r="I3">
        <f>SUM(Table2842527[[#This Row],[Cut Length1]:[Cut Length5]])</f>
        <v>752.5</v>
      </c>
      <c r="J3">
        <f>Table2842527[[#This Row],[Purchase Length]]-Table2842527[[#This Row],[Total Cut Length]]</f>
        <v>3.5</v>
      </c>
      <c r="K3">
        <f>(COUNTA(Table2842527[[#This Row],[Cut Length1]:[Cut Length5]])-1)*0.1875+1.5</f>
        <v>2.25</v>
      </c>
      <c r="L3">
        <f>Table2842527[[#This Row],[Total Waste]]-K3</f>
        <v>1.25</v>
      </c>
    </row>
    <row r="4" spans="1:17" x14ac:dyDescent="0.3">
      <c r="A4" t="s">
        <v>1</v>
      </c>
      <c r="B4" t="str">
        <f>VLOOKUP(C4,Summary!$C$2:$D$25,2,FALSE)</f>
        <v>804-05086</v>
      </c>
      <c r="C4">
        <v>732</v>
      </c>
      <c r="D4">
        <v>576.75</v>
      </c>
      <c r="E4">
        <v>150.5</v>
      </c>
      <c r="I4">
        <f>SUM(Table2842527[[#This Row],[Cut Length1]:[Cut Length5]])</f>
        <v>727.25</v>
      </c>
      <c r="J4">
        <f>Table2842527[[#This Row],[Purchase Length]]-Table2842527[[#This Row],[Total Cut Length]]</f>
        <v>4.75</v>
      </c>
      <c r="K4">
        <f>(COUNTA(Table2842527[[#This Row],[Cut Length1]:[Cut Length5]])-1)*0.1875+1.5</f>
        <v>1.6875</v>
      </c>
      <c r="L4">
        <f>Table2842527[[#This Row],[Total Waste]]-K4</f>
        <v>3.0625</v>
      </c>
    </row>
    <row r="5" spans="1:17" x14ac:dyDescent="0.3">
      <c r="A5" t="s">
        <v>1</v>
      </c>
      <c r="B5" t="str">
        <f>VLOOKUP(C5,Summary!$C$2:$D$25,2,FALSE)</f>
        <v>804-05089</v>
      </c>
      <c r="C5">
        <v>580</v>
      </c>
      <c r="D5">
        <v>576.75</v>
      </c>
      <c r="I5">
        <f>SUM(Table2842527[[#This Row],[Cut Length1]:[Cut Length5]])</f>
        <v>576.75</v>
      </c>
      <c r="J5">
        <f>Table2842527[[#This Row],[Purchase Length]]-Table2842527[[#This Row],[Total Cut Length]]</f>
        <v>3.25</v>
      </c>
      <c r="K5">
        <f>(COUNTA(Table2842527[[#This Row],[Cut Length1]:[Cut Length5]])-1)*0.1875+1.5</f>
        <v>1.5</v>
      </c>
      <c r="L5">
        <f>Table2842527[[#This Row],[Total Waste]]-K5</f>
        <v>1.75</v>
      </c>
    </row>
    <row r="6" spans="1:17" x14ac:dyDescent="0.3">
      <c r="A6" t="s">
        <v>0</v>
      </c>
      <c r="B6" t="str">
        <f>VLOOKUP(C6,Summary!$C$2:$D$25,2,FALSE)</f>
        <v>804-05094</v>
      </c>
      <c r="C6">
        <v>764</v>
      </c>
      <c r="D6">
        <v>150.5</v>
      </c>
      <c r="E6">
        <v>150.5</v>
      </c>
      <c r="F6">
        <v>150.5</v>
      </c>
      <c r="G6">
        <v>150.5</v>
      </c>
      <c r="H6">
        <v>150.5</v>
      </c>
      <c r="I6">
        <f>SUM(Table2842527[[#This Row],[Cut Length1]:[Cut Length5]])</f>
        <v>752.5</v>
      </c>
      <c r="J6">
        <f>Table2842527[[#This Row],[Purchase Length]]-Table2842527[[#This Row],[Total Cut Length]]</f>
        <v>11.5</v>
      </c>
      <c r="K6">
        <f>(COUNTA(Table2842527[[#This Row],[Cut Length1]:[Cut Length5]])-1)*0.1875+1.5</f>
        <v>2.25</v>
      </c>
      <c r="L6">
        <f>Table2842527[[#This Row],[Total Waste]]-K6</f>
        <v>9.25</v>
      </c>
      <c r="M6" s="20"/>
      <c r="N6" s="20"/>
      <c r="O6" s="20"/>
      <c r="P6" s="20"/>
      <c r="Q6" s="20"/>
    </row>
    <row r="7" spans="1:17" x14ac:dyDescent="0.3">
      <c r="A7" t="s">
        <v>0</v>
      </c>
      <c r="B7" t="str">
        <f>VLOOKUP(C7,Summary!$C$2:$D$25,2,FALSE)</f>
        <v>804-05094</v>
      </c>
      <c r="C7">
        <v>764</v>
      </c>
      <c r="D7">
        <v>150.5</v>
      </c>
      <c r="E7">
        <v>150.5</v>
      </c>
      <c r="F7">
        <v>150.5</v>
      </c>
      <c r="G7">
        <v>150.5</v>
      </c>
      <c r="H7">
        <v>150.5</v>
      </c>
      <c r="I7">
        <f>SUM(Table2842527[[#This Row],[Cut Length1]:[Cut Length5]])</f>
        <v>752.5</v>
      </c>
      <c r="J7">
        <f>Table2842527[[#This Row],[Purchase Length]]-Table2842527[[#This Row],[Total Cut Length]]</f>
        <v>11.5</v>
      </c>
      <c r="K7">
        <f>(COUNTA(Table2842527[[#This Row],[Cut Length1]:[Cut Length5]])-1)*0.1875+1.5</f>
        <v>2.25</v>
      </c>
      <c r="L7">
        <f>Table2842527[[#This Row],[Total Waste]]-K7</f>
        <v>9.25</v>
      </c>
      <c r="M7" s="20"/>
      <c r="N7" s="20"/>
      <c r="O7" s="20"/>
      <c r="P7" s="20"/>
      <c r="Q7" s="20"/>
    </row>
    <row r="8" spans="1:17" x14ac:dyDescent="0.3">
      <c r="A8" t="s">
        <v>0</v>
      </c>
      <c r="B8" t="str">
        <f>VLOOKUP(C8,Summary!$C$2:$D$25,2,FALSE)</f>
        <v>804-05100</v>
      </c>
      <c r="C8">
        <v>308</v>
      </c>
      <c r="D8">
        <v>150.5</v>
      </c>
      <c r="E8">
        <v>150.5</v>
      </c>
      <c r="I8">
        <f>SUM(Table2842527[[#This Row],[Cut Length1]:[Cut Length5]])</f>
        <v>301</v>
      </c>
      <c r="J8">
        <f>Table2842527[[#This Row],[Purchase Length]]-Table2842527[[#This Row],[Total Cut Length]]</f>
        <v>7</v>
      </c>
      <c r="K8">
        <f>(COUNTA(Table2842527[[#This Row],[Cut Length1]:[Cut Length5]])-1)*0.1875+1.5</f>
        <v>1.6875</v>
      </c>
      <c r="L8">
        <f>Table2842527[[#This Row],[Total Waste]]-K8</f>
        <v>5.3125</v>
      </c>
      <c r="M8" s="20"/>
      <c r="N8" s="20"/>
      <c r="O8" s="20"/>
      <c r="P8" s="20"/>
      <c r="Q8" s="20"/>
    </row>
    <row r="9" spans="1:17" x14ac:dyDescent="0.3">
      <c r="A9" t="s">
        <v>0</v>
      </c>
      <c r="B9" t="str">
        <f>VLOOKUP(C9,Summary!$C$2:$D$25,2,FALSE)</f>
        <v>804-05100</v>
      </c>
      <c r="C9">
        <v>308</v>
      </c>
      <c r="D9">
        <v>150.5</v>
      </c>
      <c r="E9">
        <v>150.5</v>
      </c>
      <c r="I9">
        <f>SUM(Table2842527[[#This Row],[Cut Length1]:[Cut Length5]])</f>
        <v>301</v>
      </c>
      <c r="J9">
        <f>Table2842527[[#This Row],[Purchase Length]]-Table2842527[[#This Row],[Total Cut Length]]</f>
        <v>7</v>
      </c>
      <c r="K9">
        <f>(COUNTA(Table2842527[[#This Row],[Cut Length1]:[Cut Length5]])-1)*0.1875+1.5</f>
        <v>1.6875</v>
      </c>
      <c r="L9">
        <f>Table2842527[[#This Row],[Total Waste]]-K9</f>
        <v>5.3125</v>
      </c>
    </row>
    <row r="10" spans="1:17" x14ac:dyDescent="0.3">
      <c r="A10" t="s">
        <v>0</v>
      </c>
      <c r="B10" t="str">
        <f>VLOOKUP(C10,Summary!$C$2:$D$25,2,FALSE)</f>
        <v>804-05099</v>
      </c>
      <c r="C10">
        <v>332</v>
      </c>
      <c r="D10">
        <v>150.5</v>
      </c>
      <c r="E10">
        <v>150.5</v>
      </c>
      <c r="F10">
        <v>27.125</v>
      </c>
      <c r="I10">
        <f>SUM(Table2842527[[#This Row],[Cut Length1]:[Cut Length5]])</f>
        <v>328.125</v>
      </c>
      <c r="J10">
        <f>Table2842527[[#This Row],[Purchase Length]]-Table2842527[[#This Row],[Total Cut Length]]</f>
        <v>3.875</v>
      </c>
      <c r="K10">
        <f>(COUNTA(Table2842527[[#This Row],[Cut Length1]:[Cut Length5]])-1)*0.1875+1.5</f>
        <v>1.875</v>
      </c>
      <c r="L10">
        <f>Table2842527[[#This Row],[Total Waste]]-K10</f>
        <v>2</v>
      </c>
    </row>
    <row r="12" spans="1:17" x14ac:dyDescent="0.3">
      <c r="C12">
        <f>SUM(Table2842527[Purchase Length])</f>
        <v>4544</v>
      </c>
      <c r="H12">
        <f>SUM(Table2842527[Total Cut Length])</f>
        <v>4491.625</v>
      </c>
      <c r="I12">
        <f>SUM(Table2842527[Total Waste])</f>
        <v>52.375</v>
      </c>
    </row>
    <row r="13" spans="1:17" x14ac:dyDescent="0.3">
      <c r="I13" s="1">
        <f>I12/C12</f>
        <v>1.152618838028169E-2</v>
      </c>
    </row>
  </sheetData>
  <mergeCells count="2">
    <mergeCell ref="K1:L1"/>
    <mergeCell ref="A1:J1"/>
  </mergeCells>
  <phoneticPr fontId="4" type="noConversion"/>
  <pageMargins left="0.7" right="0.7" top="0.75" bottom="0.75" header="0.3" footer="0.3"/>
  <pageSetup paperSize="3" scale="79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8B75B-97D1-4414-9FBF-862E07789775}">
  <sheetPr>
    <pageSetUpPr fitToPage="1"/>
  </sheetPr>
  <dimension ref="A1:N11"/>
  <sheetViews>
    <sheetView workbookViewId="0">
      <selection activeCell="B4" sqref="B4"/>
    </sheetView>
  </sheetViews>
  <sheetFormatPr defaultRowHeight="14.4" x14ac:dyDescent="0.3"/>
  <cols>
    <col min="1" max="1" width="17.109375" bestFit="1" customWidth="1"/>
    <col min="2" max="2" width="14.33203125" bestFit="1" customWidth="1"/>
    <col min="3" max="3" width="17.33203125" bestFit="1" customWidth="1"/>
    <col min="4" max="10" width="13.33203125" bestFit="1" customWidth="1"/>
    <col min="11" max="11" width="17.109375" bestFit="1" customWidth="1"/>
    <col min="12" max="12" width="13.109375" bestFit="1" customWidth="1"/>
    <col min="13" max="13" width="14.109375" customWidth="1"/>
    <col min="14" max="14" width="16.33203125" customWidth="1"/>
  </cols>
  <sheetData>
    <row r="1" spans="1:14" x14ac:dyDescent="0.3">
      <c r="A1" s="40" t="s">
        <v>18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9" t="s">
        <v>23</v>
      </c>
      <c r="N1" s="39"/>
    </row>
    <row r="2" spans="1:14" ht="43.2" x14ac:dyDescent="0.3">
      <c r="A2" s="3" t="s">
        <v>15</v>
      </c>
      <c r="B2" s="7" t="s">
        <v>14</v>
      </c>
      <c r="C2" s="7" t="s">
        <v>13</v>
      </c>
      <c r="D2" s="7" t="s">
        <v>12</v>
      </c>
      <c r="E2" s="7" t="s">
        <v>11</v>
      </c>
      <c r="F2" s="7" t="s">
        <v>10</v>
      </c>
      <c r="G2" s="7" t="s">
        <v>9</v>
      </c>
      <c r="H2" s="7" t="s">
        <v>8</v>
      </c>
      <c r="I2" s="7" t="s">
        <v>7</v>
      </c>
      <c r="J2" s="7" t="s">
        <v>6</v>
      </c>
      <c r="K2" s="7" t="s">
        <v>3</v>
      </c>
      <c r="L2" s="2" t="s">
        <v>2</v>
      </c>
      <c r="M2" s="25" t="s">
        <v>21</v>
      </c>
      <c r="N2" s="23" t="s">
        <v>22</v>
      </c>
    </row>
    <row r="3" spans="1:14" x14ac:dyDescent="0.3">
      <c r="A3" s="6" t="s">
        <v>1</v>
      </c>
      <c r="B3" s="5" t="str">
        <f>VLOOKUP(C3,Summary!$C$2:$D$25,2,FALSE)</f>
        <v>804-05090</v>
      </c>
      <c r="C3" s="5">
        <v>568</v>
      </c>
      <c r="D3" s="5">
        <v>563.75</v>
      </c>
      <c r="E3" s="5"/>
      <c r="F3" s="5"/>
      <c r="G3" s="5"/>
      <c r="H3" s="5"/>
      <c r="I3" s="5"/>
      <c r="J3" s="5"/>
      <c r="K3" s="5">
        <f>SUM(Table221928[[#This Row],[Cut Length1]:[Cut Length7]])</f>
        <v>563.75</v>
      </c>
      <c r="L3" s="4">
        <f>Table221928[[#This Row],[Purchase Length]]-Table221928[[#This Row],[Total Cut Length]]</f>
        <v>4.25</v>
      </c>
      <c r="M3">
        <f>(COUNTA(Table221928[[#This Row],[Cut Length1]:[Cut Length7]])-1)*0.1875+1.5</f>
        <v>1.5</v>
      </c>
      <c r="N3">
        <f>Table221928[[#This Row],[Total Waste]]-M3</f>
        <v>2.75</v>
      </c>
    </row>
    <row r="4" spans="1:14" x14ac:dyDescent="0.3">
      <c r="A4" s="6" t="s">
        <v>1</v>
      </c>
      <c r="B4" s="5" t="str">
        <f>VLOOKUP(C4,Summary!$C$2:$D$25,2,FALSE)</f>
        <v>804-05090</v>
      </c>
      <c r="C4" s="5">
        <v>568</v>
      </c>
      <c r="D4" s="5">
        <v>563.75</v>
      </c>
      <c r="E4" s="5"/>
      <c r="F4" s="5"/>
      <c r="G4" s="5"/>
      <c r="H4" s="5"/>
      <c r="I4" s="5"/>
      <c r="J4" s="5"/>
      <c r="K4" s="5">
        <f>SUM(Table221928[[#This Row],[Cut Length1]:[Cut Length7]])</f>
        <v>563.75</v>
      </c>
      <c r="L4" s="4">
        <f>Table221928[[#This Row],[Purchase Length]]-Table221928[[#This Row],[Total Cut Length]]</f>
        <v>4.25</v>
      </c>
      <c r="M4">
        <f>(COUNTA(Table221928[[#This Row],[Cut Length1]:[Cut Length7]])-1)*0.1875+1.5</f>
        <v>1.5</v>
      </c>
      <c r="N4">
        <f>Table221928[[#This Row],[Total Waste]]-M4</f>
        <v>2.75</v>
      </c>
    </row>
    <row r="5" spans="1:14" x14ac:dyDescent="0.3">
      <c r="A5" s="6" t="s">
        <v>1</v>
      </c>
      <c r="B5" s="5" t="str">
        <f>VLOOKUP(C5,Summary!$C$2:$D$25,2,FALSE)</f>
        <v>804-05092</v>
      </c>
      <c r="C5" s="5">
        <v>440</v>
      </c>
      <c r="D5" s="5">
        <v>145.5</v>
      </c>
      <c r="E5" s="5">
        <v>145.5</v>
      </c>
      <c r="F5" s="5">
        <v>145.5</v>
      </c>
      <c r="G5" s="5"/>
      <c r="H5" s="5"/>
      <c r="I5" s="5"/>
      <c r="J5" s="5"/>
      <c r="K5" s="5">
        <f>SUM(Table221928[[#This Row],[Cut Length1]:[Cut Length7]])</f>
        <v>436.5</v>
      </c>
      <c r="L5" s="4">
        <f>Table221928[[#This Row],[Purchase Length]]-Table221928[[#This Row],[Total Cut Length]]</f>
        <v>3.5</v>
      </c>
      <c r="M5">
        <f>(COUNTA(Table221928[[#This Row],[Cut Length1]:[Cut Length7]])-1)*0.1875+1.5</f>
        <v>1.875</v>
      </c>
      <c r="N5">
        <f>Table221928[[#This Row],[Total Waste]]-M5</f>
        <v>1.625</v>
      </c>
    </row>
    <row r="6" spans="1:14" x14ac:dyDescent="0.3">
      <c r="A6" s="6" t="s">
        <v>1</v>
      </c>
      <c r="B6" s="5" t="str">
        <f>VLOOKUP(C6,Summary!$C$2:$D$25,2,FALSE)</f>
        <v>804-05092</v>
      </c>
      <c r="C6" s="5">
        <v>440</v>
      </c>
      <c r="D6" s="5">
        <v>145.5</v>
      </c>
      <c r="E6" s="5">
        <v>145.5</v>
      </c>
      <c r="F6" s="5">
        <v>145.5</v>
      </c>
      <c r="G6" s="5"/>
      <c r="H6" s="5"/>
      <c r="I6" s="5"/>
      <c r="J6" s="5"/>
      <c r="K6" s="5">
        <f>SUM(Table221928[[#This Row],[Cut Length1]:[Cut Length7]])</f>
        <v>436.5</v>
      </c>
      <c r="L6" s="4">
        <f>Table221928[[#This Row],[Purchase Length]]-Table221928[[#This Row],[Total Cut Length]]</f>
        <v>3.5</v>
      </c>
      <c r="M6">
        <f>(COUNTA(Table221928[[#This Row],[Cut Length1]:[Cut Length7]])-1)*0.1875+1.5</f>
        <v>1.875</v>
      </c>
      <c r="N6">
        <f>Table221928[[#This Row],[Total Waste]]-M6</f>
        <v>1.625</v>
      </c>
    </row>
    <row r="7" spans="1:14" x14ac:dyDescent="0.3">
      <c r="A7" s="6" t="s">
        <v>0</v>
      </c>
      <c r="B7" s="5" t="str">
        <f>VLOOKUP(C7,Summary!$C$2:$D$25,2,FALSE)</f>
        <v>804-05095</v>
      </c>
      <c r="C7" s="5">
        <v>728</v>
      </c>
      <c r="D7" s="5">
        <v>145.5</v>
      </c>
      <c r="E7" s="5">
        <v>145.5</v>
      </c>
      <c r="F7" s="5">
        <v>145.5</v>
      </c>
      <c r="G7" s="5">
        <v>145.5</v>
      </c>
      <c r="H7" s="5">
        <v>115.5</v>
      </c>
      <c r="I7" s="5">
        <v>26.5</v>
      </c>
      <c r="J7" s="5"/>
      <c r="K7" s="5">
        <f>SUM(Table221928[[#This Row],[Cut Length1]:[Cut Length7]])</f>
        <v>724</v>
      </c>
      <c r="L7" s="4">
        <f>Table221928[[#This Row],[Purchase Length]]-Table221928[[#This Row],[Total Cut Length]]</f>
        <v>4</v>
      </c>
      <c r="M7">
        <f>(COUNTA(Table221928[[#This Row],[Cut Length1]:[Cut Length7]])-1)*0.1875+1.5</f>
        <v>2.4375</v>
      </c>
      <c r="N7">
        <f>Table221928[[#This Row],[Total Waste]]-M7</f>
        <v>1.5625</v>
      </c>
    </row>
    <row r="8" spans="1:14" x14ac:dyDescent="0.3">
      <c r="A8" s="6" t="s">
        <v>0</v>
      </c>
      <c r="B8" s="5" t="str">
        <f>VLOOKUP(C8,Summary!$C$2:$D$25,2,FALSE)</f>
        <v>804-05098</v>
      </c>
      <c r="C8" s="5">
        <v>340</v>
      </c>
      <c r="D8" s="5">
        <v>145.5</v>
      </c>
      <c r="E8" s="5">
        <v>82</v>
      </c>
      <c r="F8" s="5">
        <v>35.25</v>
      </c>
      <c r="G8" s="5">
        <v>35.25</v>
      </c>
      <c r="H8" s="5">
        <v>35.25</v>
      </c>
      <c r="I8" s="5"/>
      <c r="J8" s="5"/>
      <c r="K8" s="5">
        <f>SUM(Table221928[[#This Row],[Cut Length1]:[Cut Length7]])</f>
        <v>333.25</v>
      </c>
      <c r="L8" s="4">
        <f>Table221928[[#This Row],[Purchase Length]]-Table221928[[#This Row],[Total Cut Length]]</f>
        <v>6.75</v>
      </c>
      <c r="M8">
        <f>(COUNTA(Table221928[[#This Row],[Cut Length1]:[Cut Length7]])-1)*0.1875+1.5</f>
        <v>2.25</v>
      </c>
      <c r="N8">
        <f>Table221928[[#This Row],[Total Waste]]-M8</f>
        <v>4.5</v>
      </c>
    </row>
    <row r="10" spans="1:14" x14ac:dyDescent="0.3">
      <c r="C10">
        <f>SUM(Table221928[Purchase Length])</f>
        <v>3084</v>
      </c>
      <c r="K10">
        <f>SUM(Table221928[Total Cut Length])</f>
        <v>3057.75</v>
      </c>
      <c r="L10">
        <f>SUM(Table221928[Total Waste])</f>
        <v>26.25</v>
      </c>
    </row>
    <row r="11" spans="1:14" x14ac:dyDescent="0.3">
      <c r="L11" s="1">
        <f>L10/C10</f>
        <v>8.511673151750972E-3</v>
      </c>
    </row>
  </sheetData>
  <mergeCells count="2">
    <mergeCell ref="M1:N1"/>
    <mergeCell ref="A1:L1"/>
  </mergeCells>
  <phoneticPr fontId="4" type="noConversion"/>
  <pageMargins left="0.7" right="0.7" top="0.75" bottom="0.75" header="0.3" footer="0.3"/>
  <pageSetup paperSize="3" scale="79" orientation="landscape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8E153-EF88-4975-BFF2-0F44CD2C9F6E}">
  <sheetPr>
    <pageSetUpPr fitToPage="1"/>
  </sheetPr>
  <dimension ref="A1:S25"/>
  <sheetViews>
    <sheetView tabSelected="1" zoomScale="85" zoomScaleNormal="85" workbookViewId="0">
      <selection activeCell="Q13" sqref="Q13"/>
    </sheetView>
  </sheetViews>
  <sheetFormatPr defaultRowHeight="14.4" x14ac:dyDescent="0.3"/>
  <cols>
    <col min="1" max="1" width="17.109375" bestFit="1" customWidth="1"/>
    <col min="2" max="2" width="14.33203125" bestFit="1" customWidth="1"/>
    <col min="3" max="3" width="20.5546875" customWidth="1"/>
    <col min="4" max="7" width="13.33203125" bestFit="1" customWidth="1"/>
    <col min="8" max="8" width="17.109375" bestFit="1" customWidth="1"/>
    <col min="9" max="9" width="13.109375" bestFit="1" customWidth="1"/>
    <col min="11" max="11" width="12.109375" customWidth="1"/>
    <col min="12" max="12" width="21.21875" customWidth="1"/>
  </cols>
  <sheetData>
    <row r="1" spans="1:19" x14ac:dyDescent="0.3">
      <c r="A1" s="40" t="s">
        <v>18</v>
      </c>
      <c r="B1" s="40"/>
      <c r="C1" s="40"/>
      <c r="D1" s="40"/>
      <c r="E1" s="40"/>
      <c r="F1" s="40"/>
      <c r="G1" s="40"/>
      <c r="H1" s="40"/>
      <c r="I1" s="40"/>
      <c r="K1" s="39" t="s">
        <v>23</v>
      </c>
      <c r="L1" s="39"/>
    </row>
    <row r="2" spans="1:19" ht="43.2" x14ac:dyDescent="0.3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3</v>
      </c>
      <c r="J2" t="s">
        <v>2</v>
      </c>
      <c r="K2" s="25" t="s">
        <v>21</v>
      </c>
      <c r="L2" s="23" t="s">
        <v>22</v>
      </c>
    </row>
    <row r="3" spans="1:19" x14ac:dyDescent="0.3">
      <c r="A3" t="s">
        <v>1</v>
      </c>
      <c r="B3" t="str">
        <f>VLOOKUP(C3,Summary!$C$2:$D$25,2,FALSE)</f>
        <v>804-05089</v>
      </c>
      <c r="C3">
        <v>580</v>
      </c>
      <c r="D3">
        <v>577</v>
      </c>
      <c r="I3">
        <f>SUM(Table211123133[[#This Row],[Cut Length1]:[Cut Length5]])</f>
        <v>577</v>
      </c>
      <c r="J3">
        <f>Table211123133[[#This Row],[Purchase Length]]-Table211123133[[#This Row],[Total Cut Length]]</f>
        <v>3</v>
      </c>
      <c r="K3">
        <f>(COUNTA(Table211123133[[#This Row],[Cut Length1]:[Cut Length5]])-1)*0.1875+1.5</f>
        <v>1.5</v>
      </c>
      <c r="L3">
        <f>Table211123133[[#This Row],[Total Waste]]-K3</f>
        <v>1.5</v>
      </c>
    </row>
    <row r="4" spans="1:19" x14ac:dyDescent="0.3">
      <c r="A4" t="s">
        <v>1</v>
      </c>
      <c r="B4" t="str">
        <f>VLOOKUP(C4,Summary!$C$2:$D$25,2,FALSE)</f>
        <v>804-05089</v>
      </c>
      <c r="C4">
        <v>580</v>
      </c>
      <c r="D4">
        <v>577</v>
      </c>
      <c r="I4">
        <f>SUM(Table211123133[[#This Row],[Cut Length1]:[Cut Length5]])</f>
        <v>577</v>
      </c>
      <c r="J4">
        <f>Table211123133[[#This Row],[Purchase Length]]-Table211123133[[#This Row],[Total Cut Length]]</f>
        <v>3</v>
      </c>
      <c r="K4">
        <f>(COUNTA(Table211123133[[#This Row],[Cut Length1]:[Cut Length5]])-1)*0.1875+1.5</f>
        <v>1.5</v>
      </c>
      <c r="L4">
        <f>Table211123133[[#This Row],[Total Waste]]-K4</f>
        <v>1.5</v>
      </c>
    </row>
    <row r="5" spans="1:19" x14ac:dyDescent="0.3">
      <c r="A5" t="s">
        <v>1</v>
      </c>
      <c r="B5" t="str">
        <f>VLOOKUP(C5,Summary!$C$2:$D$25,2,FALSE)</f>
        <v>804-05091</v>
      </c>
      <c r="C5">
        <v>460</v>
      </c>
      <c r="D5">
        <v>152</v>
      </c>
      <c r="E5">
        <v>152</v>
      </c>
      <c r="F5">
        <v>152</v>
      </c>
      <c r="I5">
        <f>SUM(Table211123133[[#This Row],[Cut Length1]:[Cut Length5]])</f>
        <v>456</v>
      </c>
      <c r="J5">
        <f>Table211123133[[#This Row],[Purchase Length]]-Table211123133[[#This Row],[Total Cut Length]]</f>
        <v>4</v>
      </c>
      <c r="K5">
        <f>(COUNTA(Table211123133[[#This Row],[Cut Length1]:[Cut Length5]])-1)*0.1875+1.5</f>
        <v>1.875</v>
      </c>
      <c r="L5">
        <f>Table211123133[[#This Row],[Total Waste]]-K5</f>
        <v>2.125</v>
      </c>
      <c r="N5" s="43" t="s">
        <v>66</v>
      </c>
      <c r="O5" s="44"/>
      <c r="P5" s="44"/>
      <c r="Q5" s="44"/>
      <c r="R5" s="44"/>
      <c r="S5" s="44"/>
    </row>
    <row r="6" spans="1:19" x14ac:dyDescent="0.3">
      <c r="A6" t="s">
        <v>1</v>
      </c>
      <c r="B6" t="str">
        <f>VLOOKUP(C6,Summary!$C$2:$D$25,2,FALSE)</f>
        <v>804-05091</v>
      </c>
      <c r="C6">
        <v>460</v>
      </c>
      <c r="D6">
        <v>152</v>
      </c>
      <c r="E6">
        <v>152</v>
      </c>
      <c r="F6">
        <v>152</v>
      </c>
      <c r="I6">
        <f>SUM(Table211123133[[#This Row],[Cut Length1]:[Cut Length5]])</f>
        <v>456</v>
      </c>
      <c r="J6">
        <f>Table211123133[[#This Row],[Purchase Length]]-Table211123133[[#This Row],[Total Cut Length]]</f>
        <v>4</v>
      </c>
      <c r="K6">
        <f>(COUNTA(Table211123133[[#This Row],[Cut Length1]:[Cut Length5]])-1)*0.1875+1.5</f>
        <v>1.875</v>
      </c>
      <c r="L6">
        <f>Table211123133[[#This Row],[Total Waste]]-K6</f>
        <v>2.125</v>
      </c>
      <c r="N6" s="44"/>
      <c r="O6" s="44"/>
      <c r="P6" s="44"/>
      <c r="Q6" s="44"/>
      <c r="R6" s="44"/>
      <c r="S6" s="44"/>
    </row>
    <row r="7" spans="1:19" x14ac:dyDescent="0.3">
      <c r="A7" t="s">
        <v>0</v>
      </c>
      <c r="B7" t="str">
        <f>VLOOKUP(C7,Summary!$C$2:$D$25,2,FALSE)</f>
        <v>804-05094</v>
      </c>
      <c r="C7">
        <v>764</v>
      </c>
      <c r="D7">
        <v>152</v>
      </c>
      <c r="E7">
        <v>152</v>
      </c>
      <c r="F7">
        <v>152</v>
      </c>
      <c r="G7">
        <v>152</v>
      </c>
      <c r="H7">
        <v>152</v>
      </c>
      <c r="I7">
        <f>SUM(Table211123133[[#This Row],[Cut Length1]:[Cut Length5]])</f>
        <v>760</v>
      </c>
      <c r="J7">
        <f>Table211123133[[#This Row],[Purchase Length]]-Table211123133[[#This Row],[Total Cut Length]]</f>
        <v>4</v>
      </c>
      <c r="K7">
        <f>(COUNTA(Table211123133[[#This Row],[Cut Length1]:[Cut Length5]])-1)*0.1875+1.5</f>
        <v>2.25</v>
      </c>
      <c r="L7">
        <f>Table211123133[[#This Row],[Total Waste]]-K7</f>
        <v>1.75</v>
      </c>
      <c r="N7" s="44"/>
      <c r="O7" s="44"/>
      <c r="P7" s="44"/>
      <c r="Q7" s="44"/>
      <c r="R7" s="44"/>
      <c r="S7" s="44"/>
    </row>
    <row r="8" spans="1:19" x14ac:dyDescent="0.3">
      <c r="A8" t="s">
        <v>0</v>
      </c>
      <c r="B8" t="str">
        <f>VLOOKUP(C8,Summary!$C$2:$D$25,2,FALSE)</f>
        <v>804-05094</v>
      </c>
      <c r="C8">
        <v>764</v>
      </c>
      <c r="D8">
        <v>152</v>
      </c>
      <c r="E8">
        <v>152</v>
      </c>
      <c r="F8">
        <v>152</v>
      </c>
      <c r="G8">
        <v>152</v>
      </c>
      <c r="H8">
        <v>152</v>
      </c>
      <c r="I8">
        <f>SUM(Table211123133[[#This Row],[Cut Length1]:[Cut Length5]])</f>
        <v>760</v>
      </c>
      <c r="J8">
        <f>Table211123133[[#This Row],[Purchase Length]]-Table211123133[[#This Row],[Total Cut Length]]</f>
        <v>4</v>
      </c>
      <c r="K8">
        <f>(COUNTA(Table211123133[[#This Row],[Cut Length1]:[Cut Length5]])-1)*0.1875+1.5</f>
        <v>2.25</v>
      </c>
      <c r="L8">
        <f>Table211123133[[#This Row],[Total Waste]]-K8</f>
        <v>1.75</v>
      </c>
    </row>
    <row r="9" spans="1:19" x14ac:dyDescent="0.3">
      <c r="A9" t="s">
        <v>0</v>
      </c>
      <c r="B9" t="str">
        <f>VLOOKUP(C9,Summary!$C$2:$D$25,2,FALSE)</f>
        <v>804-05096</v>
      </c>
      <c r="C9">
        <v>688</v>
      </c>
      <c r="D9">
        <v>152</v>
      </c>
      <c r="E9">
        <v>152</v>
      </c>
      <c r="F9">
        <v>152</v>
      </c>
      <c r="G9">
        <v>152</v>
      </c>
      <c r="H9">
        <v>27</v>
      </c>
      <c r="I9">
        <f>SUM(Table211123133[[#This Row],[Cut Length1]:[Cut Length5]])</f>
        <v>635</v>
      </c>
      <c r="J9">
        <f>Table211123133[[#This Row],[Purchase Length]]-Table211123133[[#This Row],[Total Cut Length]]</f>
        <v>53</v>
      </c>
      <c r="K9">
        <f>(COUNTA(Table211123133[[#This Row],[Cut Length1]:[Cut Length5]])-1)*0.1875+1.5</f>
        <v>2.25</v>
      </c>
      <c r="L9">
        <f>Table211123133[[#This Row],[Total Waste]]-K9</f>
        <v>50.75</v>
      </c>
    </row>
    <row r="10" spans="1:19" hidden="1" x14ac:dyDescent="0.3"/>
    <row r="11" spans="1:19" x14ac:dyDescent="0.3">
      <c r="C11">
        <f>SUM(Table211123133[Purchase Length])</f>
        <v>4296</v>
      </c>
      <c r="I11">
        <f>SUM(Table211123133[Total Cut Length])</f>
        <v>4221</v>
      </c>
      <c r="J11">
        <f>SUM(Table211123133[Total Waste])</f>
        <v>75</v>
      </c>
    </row>
    <row r="12" spans="1:19" x14ac:dyDescent="0.3">
      <c r="J12" s="1">
        <f>J11/C11</f>
        <v>1.7458100558659217E-2</v>
      </c>
    </row>
    <row r="14" spans="1:19" x14ac:dyDescent="0.3">
      <c r="A14" s="40" t="s">
        <v>18</v>
      </c>
      <c r="B14" s="40"/>
      <c r="C14" s="40"/>
      <c r="D14" s="40"/>
      <c r="E14" s="40"/>
      <c r="F14" s="40"/>
      <c r="G14" s="40"/>
      <c r="H14" s="40"/>
      <c r="I14" s="40"/>
      <c r="K14" s="39" t="s">
        <v>23</v>
      </c>
      <c r="L14" s="39"/>
    </row>
    <row r="15" spans="1:19" ht="43.2" x14ac:dyDescent="0.3">
      <c r="A15" t="s">
        <v>15</v>
      </c>
      <c r="B15" t="s">
        <v>14</v>
      </c>
      <c r="C15" t="s">
        <v>13</v>
      </c>
      <c r="D15" t="s">
        <v>12</v>
      </c>
      <c r="E15" t="s">
        <v>11</v>
      </c>
      <c r="F15" t="s">
        <v>10</v>
      </c>
      <c r="G15" t="s">
        <v>9</v>
      </c>
      <c r="H15" t="s">
        <v>8</v>
      </c>
      <c r="I15" t="s">
        <v>3</v>
      </c>
      <c r="J15" t="s">
        <v>2</v>
      </c>
      <c r="K15" s="25" t="s">
        <v>21</v>
      </c>
      <c r="L15" s="23" t="s">
        <v>22</v>
      </c>
    </row>
    <row r="16" spans="1:19" x14ac:dyDescent="0.3">
      <c r="A16" t="s">
        <v>1</v>
      </c>
      <c r="B16" t="str">
        <f>VLOOKUP(C16,Summary!$C$2:$D$25,2,FALSE)</f>
        <v>804-05089</v>
      </c>
      <c r="C16">
        <v>580</v>
      </c>
      <c r="D16">
        <v>577</v>
      </c>
      <c r="I16">
        <f>SUM(Table2111231333[[#This Row],[Cut Length1]:[Cut Length5]])</f>
        <v>577</v>
      </c>
      <c r="J16">
        <f>Table2111231333[[#This Row],[Purchase Length]]-Table2111231333[[#This Row],[Total Cut Length]]</f>
        <v>3</v>
      </c>
      <c r="K16">
        <f>(COUNTA(Table2111231333[[#This Row],[Cut Length1]:[Cut Length5]])-1)*0.1875+1.5</f>
        <v>1.5</v>
      </c>
      <c r="L16">
        <f>Table2111231333[[#This Row],[Total Waste]]-K16</f>
        <v>1.5</v>
      </c>
    </row>
    <row r="17" spans="1:19" x14ac:dyDescent="0.3">
      <c r="A17" t="s">
        <v>1</v>
      </c>
      <c r="B17" t="str">
        <f>VLOOKUP(C17,Summary!$C$2:$D$25,2,FALSE)</f>
        <v>804-05089</v>
      </c>
      <c r="C17">
        <v>580</v>
      </c>
      <c r="D17">
        <v>577</v>
      </c>
      <c r="I17">
        <f>SUM(Table2111231333[[#This Row],[Cut Length1]:[Cut Length5]])</f>
        <v>577</v>
      </c>
      <c r="J17">
        <f>Table2111231333[[#This Row],[Purchase Length]]-Table2111231333[[#This Row],[Total Cut Length]]</f>
        <v>3</v>
      </c>
      <c r="K17">
        <f>(COUNTA(Table2111231333[[#This Row],[Cut Length1]:[Cut Length5]])-1)*0.1875+1.5</f>
        <v>1.5</v>
      </c>
      <c r="L17">
        <f>Table2111231333[[#This Row],[Total Waste]]-K17</f>
        <v>1.5</v>
      </c>
      <c r="N17" s="41" t="s">
        <v>67</v>
      </c>
      <c r="O17" s="42"/>
      <c r="P17" s="42"/>
      <c r="Q17" s="42"/>
      <c r="R17" s="42"/>
      <c r="S17" s="42"/>
    </row>
    <row r="18" spans="1:19" x14ac:dyDescent="0.3">
      <c r="A18" t="s">
        <v>1</v>
      </c>
      <c r="B18" t="str">
        <f>VLOOKUP(C18,Summary!$C$2:$D$25,2,FALSE)</f>
        <v>804-05091</v>
      </c>
      <c r="C18">
        <v>460</v>
      </c>
      <c r="D18">
        <v>152</v>
      </c>
      <c r="E18">
        <v>152</v>
      </c>
      <c r="F18">
        <v>152</v>
      </c>
      <c r="I18">
        <f>SUM(Table2111231333[[#This Row],[Cut Length1]:[Cut Length5]])</f>
        <v>456</v>
      </c>
      <c r="J18">
        <f>Table2111231333[[#This Row],[Purchase Length]]-Table2111231333[[#This Row],[Total Cut Length]]</f>
        <v>4</v>
      </c>
      <c r="K18">
        <f>(COUNTA(Table2111231333[[#This Row],[Cut Length1]:[Cut Length5]])-1)*0.1875+1.5</f>
        <v>1.875</v>
      </c>
      <c r="L18">
        <f>Table2111231333[[#This Row],[Total Waste]]-K18</f>
        <v>2.125</v>
      </c>
      <c r="N18" s="42"/>
      <c r="O18" s="42"/>
      <c r="P18" s="42"/>
      <c r="Q18" s="42"/>
      <c r="R18" s="42"/>
      <c r="S18" s="42"/>
    </row>
    <row r="19" spans="1:19" x14ac:dyDescent="0.3">
      <c r="A19" t="s">
        <v>1</v>
      </c>
      <c r="B19" t="str">
        <f>VLOOKUP(C19,Summary!$C$2:$D$25,2,FALSE)</f>
        <v>804-05091</v>
      </c>
      <c r="C19">
        <v>460</v>
      </c>
      <c r="D19">
        <v>152</v>
      </c>
      <c r="E19">
        <v>152</v>
      </c>
      <c r="F19">
        <v>152</v>
      </c>
      <c r="I19">
        <f>SUM(Table2111231333[[#This Row],[Cut Length1]:[Cut Length5]])</f>
        <v>456</v>
      </c>
      <c r="J19">
        <f>Table2111231333[[#This Row],[Purchase Length]]-Table2111231333[[#This Row],[Total Cut Length]]</f>
        <v>4</v>
      </c>
      <c r="K19">
        <f>(COUNTA(Table2111231333[[#This Row],[Cut Length1]:[Cut Length5]])-1)*0.1875+1.5</f>
        <v>1.875</v>
      </c>
      <c r="L19">
        <f>Table2111231333[[#This Row],[Total Waste]]-K19</f>
        <v>2.125</v>
      </c>
      <c r="N19" s="42"/>
      <c r="O19" s="42"/>
      <c r="P19" s="42"/>
      <c r="Q19" s="42"/>
      <c r="R19" s="42"/>
      <c r="S19" s="42"/>
    </row>
    <row r="20" spans="1:19" x14ac:dyDescent="0.3">
      <c r="A20" t="s">
        <v>0</v>
      </c>
      <c r="B20" t="str">
        <f>VLOOKUP(C20,Summary!$C$2:$D$25,2,FALSE)</f>
        <v>804-05094</v>
      </c>
      <c r="C20">
        <v>764</v>
      </c>
      <c r="D20">
        <v>152</v>
      </c>
      <c r="E20">
        <v>152</v>
      </c>
      <c r="F20">
        <v>152</v>
      </c>
      <c r="G20">
        <v>152</v>
      </c>
      <c r="H20">
        <v>152</v>
      </c>
      <c r="I20">
        <f>SUM(Table2111231333[[#This Row],[Cut Length1]:[Cut Length5]])</f>
        <v>760</v>
      </c>
      <c r="J20">
        <f>Table2111231333[[#This Row],[Purchase Length]]-Table2111231333[[#This Row],[Total Cut Length]]</f>
        <v>4</v>
      </c>
      <c r="K20">
        <f>(COUNTA(Table2111231333[[#This Row],[Cut Length1]:[Cut Length5]])-1)*0.1875+1.5</f>
        <v>2.25</v>
      </c>
      <c r="L20">
        <f>Table2111231333[[#This Row],[Total Waste]]-K20</f>
        <v>1.75</v>
      </c>
    </row>
    <row r="21" spans="1:19" x14ac:dyDescent="0.3">
      <c r="A21" t="s">
        <v>0</v>
      </c>
      <c r="B21" t="str">
        <f>VLOOKUP(C21,Summary!$C$2:$D$25,2,FALSE)</f>
        <v>804-05094</v>
      </c>
      <c r="C21">
        <v>764</v>
      </c>
      <c r="D21">
        <v>152</v>
      </c>
      <c r="E21">
        <v>152</v>
      </c>
      <c r="F21">
        <v>152</v>
      </c>
      <c r="G21">
        <v>152</v>
      </c>
      <c r="H21">
        <v>152</v>
      </c>
      <c r="I21">
        <f>SUM(Table2111231333[[#This Row],[Cut Length1]:[Cut Length5]])</f>
        <v>760</v>
      </c>
      <c r="J21">
        <f>Table2111231333[[#This Row],[Purchase Length]]-Table2111231333[[#This Row],[Total Cut Length]]</f>
        <v>4</v>
      </c>
      <c r="K21">
        <f>(COUNTA(Table2111231333[[#This Row],[Cut Length1]:[Cut Length5]])-1)*0.1875+1.5</f>
        <v>2.25</v>
      </c>
      <c r="L21">
        <f>Table2111231333[[#This Row],[Total Waste]]-K21</f>
        <v>1.75</v>
      </c>
    </row>
    <row r="22" spans="1:19" x14ac:dyDescent="0.3">
      <c r="A22" t="s">
        <v>0</v>
      </c>
      <c r="B22" t="str">
        <f>VLOOKUP(C22,Summary!$C$2:$D$25,2,FALSE)</f>
        <v>804-05100</v>
      </c>
      <c r="C22">
        <v>308</v>
      </c>
      <c r="D22">
        <v>152</v>
      </c>
      <c r="E22">
        <v>152</v>
      </c>
      <c r="I22">
        <f>SUM(Table2111231333[[#This Row],[Cut Length1]:[Cut Length5]])</f>
        <v>304</v>
      </c>
      <c r="J22">
        <f>Table2111231333[[#This Row],[Purchase Length]]-Table2111231333[[#This Row],[Total Cut Length]]</f>
        <v>4</v>
      </c>
      <c r="K22">
        <f>(COUNTA(Table2111231333[[#This Row],[Cut Length1]:[Cut Length5]])-1)*0.1875+1.5</f>
        <v>1.6875</v>
      </c>
      <c r="L22">
        <f>Table2111231333[[#This Row],[Total Waste]]-K22</f>
        <v>2.3125</v>
      </c>
    </row>
    <row r="23" spans="1:19" x14ac:dyDescent="0.3">
      <c r="A23" t="s">
        <v>0</v>
      </c>
      <c r="B23" t="str">
        <f>VLOOKUP(C23,Summary!$C$2:$D$25,2,FALSE)</f>
        <v>804-05098</v>
      </c>
      <c r="C23">
        <v>340</v>
      </c>
      <c r="D23">
        <v>152</v>
      </c>
      <c r="E23">
        <v>152</v>
      </c>
      <c r="F23">
        <v>27</v>
      </c>
      <c r="I23">
        <f>SUM(Table2111231333[[#This Row],[Cut Length1]:[Cut Length5]])</f>
        <v>331</v>
      </c>
      <c r="J23">
        <f>Table2111231333[[#This Row],[Purchase Length]]-Table2111231333[[#This Row],[Total Cut Length]]</f>
        <v>9</v>
      </c>
    </row>
    <row r="24" spans="1:19" x14ac:dyDescent="0.3">
      <c r="C24">
        <f>SUM(Table2111231333[Purchase Length])</f>
        <v>4256</v>
      </c>
      <c r="I24">
        <f>SUM(Table2111231333[Total Cut Length])</f>
        <v>4221</v>
      </c>
      <c r="J24">
        <f>SUM(Table2111231333[Total Waste])</f>
        <v>35</v>
      </c>
    </row>
    <row r="25" spans="1:19" x14ac:dyDescent="0.3">
      <c r="J25" s="1">
        <f>J24/C24</f>
        <v>8.2236842105263153E-3</v>
      </c>
    </row>
  </sheetData>
  <mergeCells count="6">
    <mergeCell ref="N17:S19"/>
    <mergeCell ref="K1:L1"/>
    <mergeCell ref="A1:I1"/>
    <mergeCell ref="A14:I14"/>
    <mergeCell ref="K14:L14"/>
    <mergeCell ref="N5:S7"/>
  </mergeCells>
  <phoneticPr fontId="4" type="noConversion"/>
  <pageMargins left="0.7" right="0.7" top="0.75" bottom="0.75" header="0.3" footer="0.3"/>
  <pageSetup paperSize="3" scale="79" orientation="landscape" horizontalDpi="1200" verticalDpi="12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26DF-545B-4524-8FFE-9DD209CBDDBE}">
  <dimension ref="A1:R27"/>
  <sheetViews>
    <sheetView workbookViewId="0">
      <selection activeCell="G19" sqref="G19"/>
    </sheetView>
  </sheetViews>
  <sheetFormatPr defaultColWidth="11.77734375" defaultRowHeight="14.4" x14ac:dyDescent="0.3"/>
  <cols>
    <col min="10" max="10" width="11.33203125" customWidth="1"/>
    <col min="11" max="11" width="14" bestFit="1" customWidth="1"/>
    <col min="12" max="12" width="9.6640625" customWidth="1"/>
    <col min="13" max="13" width="9" customWidth="1"/>
    <col min="14" max="14" width="7.5546875" customWidth="1"/>
    <col min="17" max="17" width="15" customWidth="1"/>
    <col min="18" max="18" width="17.6640625" customWidth="1"/>
  </cols>
  <sheetData>
    <row r="1" spans="1:18" x14ac:dyDescent="0.3">
      <c r="A1" s="40" t="s">
        <v>18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Q1" s="39" t="s">
        <v>23</v>
      </c>
      <c r="R1" s="39"/>
    </row>
    <row r="2" spans="1:18" ht="28.8" x14ac:dyDescent="0.3">
      <c r="A2" s="8" t="s">
        <v>15</v>
      </c>
      <c r="B2" s="9" t="s">
        <v>14</v>
      </c>
      <c r="C2" s="10" t="s">
        <v>13</v>
      </c>
      <c r="D2" s="10" t="s">
        <v>12</v>
      </c>
      <c r="E2" s="10" t="s">
        <v>11</v>
      </c>
      <c r="F2" s="10" t="s">
        <v>10</v>
      </c>
      <c r="G2" s="10" t="s">
        <v>9</v>
      </c>
      <c r="H2" s="10" t="s">
        <v>8</v>
      </c>
      <c r="I2" s="10" t="s">
        <v>7</v>
      </c>
      <c r="J2" s="10" t="s">
        <v>6</v>
      </c>
      <c r="K2" s="10" t="s">
        <v>5</v>
      </c>
      <c r="L2" s="10" t="s">
        <v>4</v>
      </c>
      <c r="M2" s="10" t="s">
        <v>19</v>
      </c>
      <c r="N2" s="10" t="s">
        <v>20</v>
      </c>
      <c r="O2" s="10" t="s">
        <v>3</v>
      </c>
      <c r="P2" s="11" t="s">
        <v>2</v>
      </c>
      <c r="Q2" s="25" t="s">
        <v>21</v>
      </c>
      <c r="R2" s="23" t="s">
        <v>22</v>
      </c>
    </row>
    <row r="3" spans="1:18" x14ac:dyDescent="0.3">
      <c r="A3" s="12" t="s">
        <v>1</v>
      </c>
      <c r="B3" s="13" t="str">
        <f>VLOOKUP(C3,Summary!$C$2:$D$25,2,FALSE)</f>
        <v>804-15017</v>
      </c>
      <c r="C3" s="14">
        <v>720</v>
      </c>
      <c r="D3" s="14">
        <v>495.75</v>
      </c>
      <c r="E3" s="14">
        <v>145.5</v>
      </c>
      <c r="F3" s="14">
        <v>73.5</v>
      </c>
      <c r="G3" s="14"/>
      <c r="H3" s="14"/>
      <c r="I3" s="14"/>
      <c r="J3" s="14"/>
      <c r="K3" s="14"/>
      <c r="L3" s="14"/>
      <c r="M3" s="14"/>
      <c r="N3" s="14"/>
      <c r="O3" s="14">
        <f>SUM(Table223203435[[#This Row],[Cut Length1]:[Cut Length11]])</f>
        <v>714.75</v>
      </c>
      <c r="P3" s="15">
        <f t="shared" ref="P3:P8" si="0">C3-O3</f>
        <v>5.25</v>
      </c>
      <c r="Q3">
        <f>(COUNTA(Table223203435[[#This Row],[Cut Length1]:[Cut Length11]])-1)*0.1875+1.5</f>
        <v>1.875</v>
      </c>
      <c r="R3">
        <f>Table223203435[[#This Row],[Total Waste]]-Q3</f>
        <v>3.375</v>
      </c>
    </row>
    <row r="4" spans="1:18" x14ac:dyDescent="0.3">
      <c r="A4" s="12" t="s">
        <v>1</v>
      </c>
      <c r="B4" s="13" t="str">
        <f>VLOOKUP(C4,Summary!$C$2:$D$25,2,FALSE)</f>
        <v>804-05084</v>
      </c>
      <c r="C4" s="14">
        <v>804</v>
      </c>
      <c r="D4" s="14">
        <v>495.75</v>
      </c>
      <c r="E4" s="14">
        <v>145.5</v>
      </c>
      <c r="F4" s="14">
        <v>145.5</v>
      </c>
      <c r="G4" s="14"/>
      <c r="H4" s="14"/>
      <c r="I4" s="14"/>
      <c r="J4" s="14"/>
      <c r="K4" s="14"/>
      <c r="L4" s="14"/>
      <c r="M4" s="14"/>
      <c r="N4" s="14"/>
      <c r="O4" s="14">
        <f>SUM(Table223203435[[#This Row],[Cut Length1]:[Cut Length11]])</f>
        <v>786.75</v>
      </c>
      <c r="P4" s="15">
        <f t="shared" si="0"/>
        <v>17.25</v>
      </c>
      <c r="Q4">
        <f>(COUNTA(Table223203435[[#This Row],[Cut Length1]:[Cut Length11]])-1)*0.1875+1.5</f>
        <v>1.875</v>
      </c>
      <c r="R4">
        <f>Table223203435[[#This Row],[Total Waste]]-Q4</f>
        <v>15.375</v>
      </c>
    </row>
    <row r="5" spans="1:18" x14ac:dyDescent="0.3">
      <c r="A5" s="12" t="s">
        <v>1</v>
      </c>
      <c r="B5" s="13" t="str">
        <f>VLOOKUP(C5,Summary!$C$2:$D$25,2,FALSE)</f>
        <v>804-05092</v>
      </c>
      <c r="C5" s="14">
        <v>440</v>
      </c>
      <c r="D5" s="14">
        <v>145.5</v>
      </c>
      <c r="E5" s="14">
        <v>145.5</v>
      </c>
      <c r="F5" s="14">
        <v>145.5</v>
      </c>
      <c r="G5" s="14"/>
      <c r="H5" s="14"/>
      <c r="I5" s="14"/>
      <c r="J5" s="14"/>
      <c r="K5" s="14"/>
      <c r="L5" s="14"/>
      <c r="M5" s="14"/>
      <c r="N5" s="14"/>
      <c r="O5" s="14">
        <f>SUM(Table223203435[[#This Row],[Cut Length1]:[Cut Length11]])</f>
        <v>436.5</v>
      </c>
      <c r="P5" s="15">
        <f t="shared" si="0"/>
        <v>3.5</v>
      </c>
      <c r="Q5">
        <f>(COUNTA(Table223203435[[#This Row],[Cut Length1]:[Cut Length11]])-1)*0.1875+1.5</f>
        <v>1.875</v>
      </c>
      <c r="R5">
        <f>Table223203435[[#This Row],[Total Waste]]-Q5</f>
        <v>1.625</v>
      </c>
    </row>
    <row r="6" spans="1:18" x14ac:dyDescent="0.3">
      <c r="A6" s="12" t="s">
        <v>0</v>
      </c>
      <c r="B6" s="13" t="str">
        <f>VLOOKUP(C6,Summary!$C$2:$D$25,2,FALSE)</f>
        <v>804-05096</v>
      </c>
      <c r="C6" s="14">
        <v>688</v>
      </c>
      <c r="D6" s="14">
        <v>145.5</v>
      </c>
      <c r="E6" s="14">
        <v>145.5</v>
      </c>
      <c r="F6" s="14">
        <v>145.5</v>
      </c>
      <c r="G6" s="19">
        <v>107</v>
      </c>
      <c r="H6" s="19">
        <v>35.25</v>
      </c>
      <c r="I6" s="14">
        <v>99.25</v>
      </c>
      <c r="J6" s="14"/>
      <c r="K6" s="14"/>
      <c r="L6" s="14"/>
      <c r="M6" s="14"/>
      <c r="N6" s="14"/>
      <c r="O6" s="14">
        <f>SUM(Table223203435[[#This Row],[Cut Length1]:[Cut Length11]])</f>
        <v>678</v>
      </c>
      <c r="P6" s="15">
        <f t="shared" si="0"/>
        <v>10</v>
      </c>
      <c r="Q6">
        <f>(COUNTA(Table223203435[[#This Row],[Cut Length1]:[Cut Length11]])-1)*0.1875+1.5</f>
        <v>2.4375</v>
      </c>
      <c r="R6">
        <f>Table223203435[[#This Row],[Total Waste]]-Q6</f>
        <v>7.5625</v>
      </c>
    </row>
    <row r="7" spans="1:18" x14ac:dyDescent="0.3">
      <c r="A7" s="12" t="s">
        <v>0</v>
      </c>
      <c r="B7" s="13" t="str">
        <f>VLOOKUP(C7,Summary!$C$2:$D$25,2,FALSE)</f>
        <v>804-05096</v>
      </c>
      <c r="C7" s="14">
        <v>688</v>
      </c>
      <c r="D7" s="14">
        <v>145.5</v>
      </c>
      <c r="E7" s="14">
        <v>145.5</v>
      </c>
      <c r="F7" s="14">
        <v>145.5</v>
      </c>
      <c r="G7" s="14">
        <v>145.5</v>
      </c>
      <c r="H7" s="14">
        <v>99.25</v>
      </c>
      <c r="I7" s="14"/>
      <c r="J7" s="14"/>
      <c r="K7" s="14"/>
      <c r="L7" s="14"/>
      <c r="M7" s="14"/>
      <c r="N7" s="14"/>
      <c r="O7" s="14">
        <f>SUM(Table223203435[[#This Row],[Cut Length1]:[Cut Length11]])</f>
        <v>681.25</v>
      </c>
      <c r="P7" s="15">
        <f>C7-O7</f>
        <v>6.75</v>
      </c>
      <c r="Q7">
        <f>(COUNTA(Table223203435[[#This Row],[Cut Length1]:[Cut Length11]])-1)*0.1875+1.5</f>
        <v>2.25</v>
      </c>
      <c r="R7">
        <f>Table223203435[[#This Row],[Total Waste]]-Q7</f>
        <v>4.5</v>
      </c>
    </row>
    <row r="8" spans="1:18" x14ac:dyDescent="0.3">
      <c r="A8" s="12" t="s">
        <v>0</v>
      </c>
      <c r="B8" s="13" t="e">
        <f>VLOOKUP(C8,Summary!$C$2:$D$25,2,FALSE)</f>
        <v>#N/A</v>
      </c>
      <c r="C8" s="14"/>
      <c r="D8" s="19"/>
      <c r="E8" s="19"/>
      <c r="F8" s="19"/>
      <c r="G8" s="19"/>
      <c r="H8" s="19"/>
      <c r="I8" s="19"/>
      <c r="J8" s="19"/>
      <c r="K8" s="19"/>
      <c r="L8" s="14"/>
      <c r="M8" s="14"/>
      <c r="N8" s="14"/>
      <c r="O8" s="14">
        <f>SUM(Table223203435[[#This Row],[Cut Length1]:[Cut Length11]])</f>
        <v>0</v>
      </c>
      <c r="P8" s="15">
        <f t="shared" si="0"/>
        <v>0</v>
      </c>
      <c r="Q8">
        <f>(COUNTA(Table223203435[[#This Row],[Cut Length1]:[Cut Length11]])-1)*0.1875+1.5</f>
        <v>1.3125</v>
      </c>
      <c r="R8">
        <f>Table223203435[[#This Row],[Total Waste]]-Q8</f>
        <v>-1.3125</v>
      </c>
    </row>
    <row r="9" spans="1:18" x14ac:dyDescent="0.3">
      <c r="A9" s="16"/>
      <c r="B9" s="1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8" x14ac:dyDescent="0.3">
      <c r="A10" s="16"/>
      <c r="B10" s="17"/>
      <c r="C10" s="16">
        <f>SUM(Table223203435[Purchase Length])</f>
        <v>3340</v>
      </c>
      <c r="D10" s="16"/>
      <c r="E10" s="16"/>
      <c r="F10" s="16"/>
      <c r="G10" s="16"/>
      <c r="H10" s="16"/>
      <c r="I10" s="16"/>
      <c r="J10" s="16"/>
      <c r="K10" s="16"/>
      <c r="L10" s="35">
        <f>SUM(Table223203435[Total Cut Length])</f>
        <v>3297.25</v>
      </c>
      <c r="M10" s="16">
        <f>SUM(Table223203435[Total Waste])</f>
        <v>42.75</v>
      </c>
    </row>
    <row r="11" spans="1:18" x14ac:dyDescent="0.3">
      <c r="A11" s="16"/>
      <c r="B11" s="17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">
        <f>M10/C10</f>
        <v>1.279940119760479E-2</v>
      </c>
    </row>
    <row r="12" spans="1:18" x14ac:dyDescent="0.3">
      <c r="F12" s="36"/>
    </row>
    <row r="13" spans="1:18" x14ac:dyDescent="0.3">
      <c r="F13" s="36"/>
      <c r="I13" s="37"/>
      <c r="J13" s="36"/>
    </row>
    <row r="14" spans="1:18" x14ac:dyDescent="0.3">
      <c r="F14" s="36"/>
      <c r="I14" s="37"/>
      <c r="J14" s="36"/>
    </row>
    <row r="15" spans="1:18" x14ac:dyDescent="0.3">
      <c r="F15" s="36"/>
      <c r="I15" s="37"/>
      <c r="J15" s="36"/>
    </row>
    <row r="16" spans="1:18" x14ac:dyDescent="0.3">
      <c r="F16" s="36"/>
      <c r="I16" s="37"/>
      <c r="J16" s="36"/>
    </row>
    <row r="17" spans="6:11" x14ac:dyDescent="0.3">
      <c r="F17" s="36"/>
      <c r="I17" s="37"/>
      <c r="J17" s="36"/>
    </row>
    <row r="18" spans="6:11" x14ac:dyDescent="0.3">
      <c r="F18" s="36"/>
      <c r="I18" s="37"/>
      <c r="J18" s="36"/>
    </row>
    <row r="19" spans="6:11" x14ac:dyDescent="0.3">
      <c r="F19" s="36"/>
      <c r="I19" s="37"/>
      <c r="J19" s="36"/>
    </row>
    <row r="20" spans="6:11" x14ac:dyDescent="0.3">
      <c r="F20" s="36"/>
      <c r="I20" s="37"/>
      <c r="J20" s="36"/>
    </row>
    <row r="21" spans="6:11" x14ac:dyDescent="0.3">
      <c r="F21" s="36"/>
      <c r="I21" s="37"/>
      <c r="J21" s="36"/>
    </row>
    <row r="22" spans="6:11" x14ac:dyDescent="0.3">
      <c r="F22" s="36"/>
      <c r="I22" s="37"/>
      <c r="J22" s="36"/>
    </row>
    <row r="23" spans="6:11" x14ac:dyDescent="0.3">
      <c r="F23" s="36"/>
      <c r="I23" s="37"/>
      <c r="J23" s="36"/>
    </row>
    <row r="24" spans="6:11" x14ac:dyDescent="0.3">
      <c r="F24" s="36"/>
      <c r="I24" s="37"/>
      <c r="J24" s="36"/>
    </row>
    <row r="25" spans="6:11" x14ac:dyDescent="0.3">
      <c r="F25" s="36"/>
      <c r="I25" s="37"/>
      <c r="J25" s="36"/>
    </row>
    <row r="27" spans="6:11" x14ac:dyDescent="0.3">
      <c r="J27" s="38"/>
      <c r="K27" s="38"/>
    </row>
  </sheetData>
  <mergeCells count="2">
    <mergeCell ref="Q1:R1"/>
    <mergeCell ref="A1:M1"/>
  </mergeCells>
  <phoneticPr fontId="4" type="noConversion"/>
  <pageMargins left="0.7" right="0.7" top="0.75" bottom="0.75" header="0.3" footer="0.3"/>
  <pageSetup paperSize="3" orientation="landscape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65D5-D134-40B7-9D6A-B121C6400558}">
  <sheetPr>
    <pageSetUpPr fitToPage="1"/>
  </sheetPr>
  <dimension ref="A1:O15"/>
  <sheetViews>
    <sheetView workbookViewId="0">
      <selection activeCell="G19" sqref="G19"/>
    </sheetView>
  </sheetViews>
  <sheetFormatPr defaultRowHeight="14.4" x14ac:dyDescent="0.3"/>
  <cols>
    <col min="1" max="1" width="14.44140625" customWidth="1"/>
    <col min="2" max="2" width="15" bestFit="1" customWidth="1"/>
    <col min="3" max="3" width="12.44140625" customWidth="1"/>
    <col min="4" max="7" width="13.6640625" bestFit="1" customWidth="1"/>
    <col min="8" max="8" width="17.6640625" bestFit="1" customWidth="1"/>
    <col min="9" max="9" width="13.88671875" bestFit="1" customWidth="1"/>
    <col min="14" max="14" width="13.44140625" customWidth="1"/>
    <col min="15" max="15" width="17.21875" customWidth="1"/>
  </cols>
  <sheetData>
    <row r="1" spans="1:15" x14ac:dyDescent="0.3">
      <c r="A1" s="40" t="s">
        <v>18</v>
      </c>
      <c r="B1" s="40"/>
      <c r="C1" s="40"/>
      <c r="D1" s="40"/>
      <c r="E1" s="40"/>
      <c r="F1" s="40"/>
      <c r="G1" s="40"/>
      <c r="H1" s="40"/>
      <c r="I1" s="40"/>
      <c r="N1" s="39" t="s">
        <v>23</v>
      </c>
      <c r="O1" s="39"/>
    </row>
    <row r="2" spans="1:15" ht="28.8" x14ac:dyDescent="0.3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  <c r="L2" t="s">
        <v>3</v>
      </c>
      <c r="M2" t="s">
        <v>2</v>
      </c>
      <c r="N2" s="24" t="s">
        <v>21</v>
      </c>
      <c r="O2" s="26" t="s">
        <v>22</v>
      </c>
    </row>
    <row r="3" spans="1:15" x14ac:dyDescent="0.3">
      <c r="A3" t="s">
        <v>1</v>
      </c>
      <c r="B3" t="str">
        <f>VLOOKUP(C3,Summary!$C$2:$D$25,2,FALSE)</f>
        <v>804-05090</v>
      </c>
      <c r="C3">
        <v>568</v>
      </c>
      <c r="D3">
        <v>563.75</v>
      </c>
      <c r="L3">
        <f>SUM(Table2187336[[#This Row],[Cut Length1]:[Cut Length8]])</f>
        <v>563.75</v>
      </c>
      <c r="M3">
        <f>Table2187336[[#This Row],[Purchase Length]]-Table2187336[[#This Row],[Total Cut Length]]</f>
        <v>4.25</v>
      </c>
      <c r="N3">
        <f>(COUNTA(Table2187336[[#This Row],[Cut Length1]:[Cut Length8]])-1)*0.1875+1.5</f>
        <v>1.5</v>
      </c>
      <c r="O3">
        <f>Table2187336[[#This Row],[Total Waste]]-N3</f>
        <v>2.75</v>
      </c>
    </row>
    <row r="4" spans="1:15" x14ac:dyDescent="0.3">
      <c r="A4" t="s">
        <v>1</v>
      </c>
      <c r="B4" t="str">
        <f>VLOOKUP(C4,Summary!$C$2:$D$25,2,FALSE)</f>
        <v>804-05090</v>
      </c>
      <c r="C4">
        <v>568</v>
      </c>
      <c r="D4">
        <v>563.75</v>
      </c>
      <c r="L4">
        <f>SUM(Table2187336[[#This Row],[Cut Length1]:[Cut Length8]])</f>
        <v>563.75</v>
      </c>
      <c r="M4">
        <f>Table2187336[[#This Row],[Purchase Length]]-Table2187336[[#This Row],[Total Cut Length]]</f>
        <v>4.25</v>
      </c>
      <c r="N4">
        <f>(COUNTA(Table2187336[[#This Row],[Cut Length1]:[Cut Length8]])-1)*0.1875+1.5</f>
        <v>1.5</v>
      </c>
      <c r="O4">
        <f>Table2187336[[#This Row],[Total Waste]]-N4</f>
        <v>2.75</v>
      </c>
    </row>
    <row r="5" spans="1:15" x14ac:dyDescent="0.3">
      <c r="A5" t="s">
        <v>1</v>
      </c>
      <c r="B5" t="str">
        <f>VLOOKUP(C5,Summary!$C$2:$D$25,2,FALSE)</f>
        <v>804-05086</v>
      </c>
      <c r="C5">
        <v>732</v>
      </c>
      <c r="D5">
        <v>145.5</v>
      </c>
      <c r="E5">
        <v>145.5</v>
      </c>
      <c r="F5">
        <v>145.5</v>
      </c>
      <c r="G5">
        <v>145.5</v>
      </c>
      <c r="H5">
        <v>145.5</v>
      </c>
      <c r="L5">
        <f>SUM(Table2187336[[#This Row],[Cut Length1]:[Cut Length8]])</f>
        <v>727.5</v>
      </c>
      <c r="M5">
        <f>Table2187336[[#This Row],[Purchase Length]]-Table2187336[[#This Row],[Total Cut Length]]</f>
        <v>4.5</v>
      </c>
      <c r="N5">
        <f>(COUNTA(Table2187336[[#This Row],[Cut Length1]:[Cut Length8]])-1)*0.1875+1.5</f>
        <v>2.25</v>
      </c>
      <c r="O5">
        <f>Table2187336[[#This Row],[Total Waste]]-N5</f>
        <v>2.25</v>
      </c>
    </row>
    <row r="6" spans="1:15" x14ac:dyDescent="0.3">
      <c r="A6" t="s">
        <v>0</v>
      </c>
      <c r="B6" t="str">
        <f>VLOOKUP(C6,Summary!$C$2:$D$25,2,FALSE)</f>
        <v>804-05100</v>
      </c>
      <c r="C6">
        <v>308</v>
      </c>
      <c r="D6">
        <v>145.5</v>
      </c>
      <c r="E6">
        <v>145.5</v>
      </c>
      <c r="L6">
        <f>SUM(Table2187336[[#This Row],[Cut Length1]:[Cut Length8]])</f>
        <v>291</v>
      </c>
      <c r="M6">
        <f>Table2187336[[#This Row],[Purchase Length]]-Table2187336[[#This Row],[Total Cut Length]]</f>
        <v>17</v>
      </c>
      <c r="N6">
        <f>(COUNTA(Table2187336[[#This Row],[Cut Length1]:[Cut Length8]])-1)*0.1875+1.5</f>
        <v>1.6875</v>
      </c>
      <c r="O6">
        <f>Table2187336[[#This Row],[Total Waste]]-N6</f>
        <v>15.3125</v>
      </c>
    </row>
    <row r="7" spans="1:15" x14ac:dyDescent="0.3">
      <c r="A7" t="s">
        <v>0</v>
      </c>
      <c r="B7" t="str">
        <f>VLOOKUP(C7,Summary!$C$2:$D$25,2,FALSE)</f>
        <v>804-15022</v>
      </c>
      <c r="C7">
        <v>600</v>
      </c>
      <c r="D7">
        <v>145.5</v>
      </c>
      <c r="E7">
        <v>145.5</v>
      </c>
      <c r="F7">
        <v>118.25</v>
      </c>
      <c r="G7">
        <v>35.25</v>
      </c>
      <c r="H7">
        <v>27.375</v>
      </c>
      <c r="L7">
        <f>SUM(Table2187336[[#This Row],[Cut Length1]:[Cut Length8]])</f>
        <v>471.875</v>
      </c>
      <c r="M7">
        <f>Table2187336[[#This Row],[Purchase Length]]-Table2187336[[#This Row],[Total Cut Length]]</f>
        <v>128.125</v>
      </c>
      <c r="N7">
        <f>(COUNTA(Table2187336[[#This Row],[Cut Length1]:[Cut Length8]])-1)*0.1875+1.5</f>
        <v>2.25</v>
      </c>
      <c r="O7">
        <f>Table2187336[[#This Row],[Total Waste]]-N7</f>
        <v>125.875</v>
      </c>
    </row>
    <row r="9" spans="1:15" x14ac:dyDescent="0.3">
      <c r="C9">
        <f>SUM(Table2187336[Purchase Length])</f>
        <v>2776</v>
      </c>
      <c r="H9">
        <f>SUM(Table2187336[Total Cut Length])</f>
        <v>2617.875</v>
      </c>
      <c r="I9">
        <f>SUM(Table2187336[Total Waste])</f>
        <v>158.125</v>
      </c>
    </row>
    <row r="10" spans="1:15" x14ac:dyDescent="0.3">
      <c r="I10" s="1">
        <f>I9/C9</f>
        <v>5.6961455331412107E-2</v>
      </c>
    </row>
    <row r="15" spans="1:15" x14ac:dyDescent="0.3">
      <c r="I15" s="1"/>
    </row>
  </sheetData>
  <mergeCells count="2">
    <mergeCell ref="N1:O1"/>
    <mergeCell ref="A1:I1"/>
  </mergeCells>
  <phoneticPr fontId="4" type="noConversion"/>
  <pageMargins left="0.7" right="0.7" top="0.75" bottom="0.75" header="0.3" footer="0.3"/>
  <pageSetup paperSize="3" scale="79" orientation="landscape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4FF47-3FAE-458D-95FF-BCDA4F3201BA}">
  <sheetPr>
    <pageSetUpPr fitToPage="1"/>
  </sheetPr>
  <dimension ref="A1:P11"/>
  <sheetViews>
    <sheetView workbookViewId="0">
      <selection activeCell="H19" sqref="H19"/>
    </sheetView>
  </sheetViews>
  <sheetFormatPr defaultRowHeight="14.4" x14ac:dyDescent="0.3"/>
  <cols>
    <col min="1" max="1" width="17.88671875" customWidth="1"/>
    <col min="2" max="2" width="14.6640625" customWidth="1"/>
    <col min="3" max="6" width="13.5546875" customWidth="1"/>
    <col min="7" max="7" width="11.77734375" customWidth="1"/>
    <col min="8" max="8" width="11.109375" customWidth="1"/>
    <col min="9" max="9" width="13.21875" customWidth="1"/>
    <col min="10" max="10" width="13.5546875" customWidth="1"/>
    <col min="12" max="12" width="6.21875" customWidth="1"/>
    <col min="15" max="15" width="12.77734375" customWidth="1"/>
    <col min="16" max="16" width="16.5546875" customWidth="1"/>
  </cols>
  <sheetData>
    <row r="1" spans="1:16" x14ac:dyDescent="0.3">
      <c r="A1" s="40" t="s">
        <v>18</v>
      </c>
      <c r="B1" s="40"/>
      <c r="C1" s="40"/>
      <c r="D1" s="40"/>
      <c r="E1" s="40"/>
      <c r="F1" s="40"/>
      <c r="G1" s="40"/>
      <c r="H1" s="40"/>
      <c r="I1" s="40"/>
      <c r="J1" s="40"/>
      <c r="O1" s="39" t="s">
        <v>23</v>
      </c>
      <c r="P1" s="39"/>
    </row>
    <row r="2" spans="1:16" ht="43.2" x14ac:dyDescent="0.3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  <c r="L2" t="s">
        <v>4</v>
      </c>
      <c r="M2" t="s">
        <v>3</v>
      </c>
      <c r="N2" t="s">
        <v>2</v>
      </c>
      <c r="O2" s="25" t="s">
        <v>21</v>
      </c>
      <c r="P2" s="23" t="s">
        <v>22</v>
      </c>
    </row>
    <row r="3" spans="1:16" x14ac:dyDescent="0.3">
      <c r="A3" t="s">
        <v>1</v>
      </c>
      <c r="B3" t="str">
        <f>VLOOKUP(C3,Summary!$C$2:$D$25,2,FALSE)</f>
        <v>804-05088</v>
      </c>
      <c r="C3">
        <v>672</v>
      </c>
      <c r="D3">
        <v>659.5</v>
      </c>
      <c r="M3">
        <f>SUM(Table2319383940[[#This Row],[Cut Length1]:[Cut Length9]])</f>
        <v>659.5</v>
      </c>
      <c r="N3">
        <f>Table2319383940[[#This Row],[Purchase Length]]-Table2319383940[[#This Row],[Total Cut Length]]</f>
        <v>12.5</v>
      </c>
      <c r="O3">
        <f>(COUNTA(Table2319383940[[#This Row],[Cut Length1]:[Cut Length9]])-1)*0.1875+1.5</f>
        <v>1.5</v>
      </c>
      <c r="P3">
        <f>Table2319383940[[#This Row],[Total Waste]]-O3</f>
        <v>11</v>
      </c>
    </row>
    <row r="4" spans="1:16" x14ac:dyDescent="0.3">
      <c r="A4" t="s">
        <v>1</v>
      </c>
      <c r="B4" t="str">
        <f>VLOOKUP(C4,Summary!$C$2:$D$25,2,FALSE)</f>
        <v>804-05084</v>
      </c>
      <c r="C4">
        <v>804</v>
      </c>
      <c r="D4">
        <v>659.5</v>
      </c>
      <c r="E4">
        <v>119.5</v>
      </c>
      <c r="M4">
        <f>SUM(Table2319383940[[#This Row],[Cut Length1]:[Cut Length9]])</f>
        <v>779</v>
      </c>
      <c r="N4">
        <f>Table2319383940[[#This Row],[Purchase Length]]-Table2319383940[[#This Row],[Total Cut Length]]</f>
        <v>25</v>
      </c>
      <c r="O4">
        <f>(COUNTA(Table2319383940[[#This Row],[Cut Length1]:[Cut Length9]])-1)*0.1875+1.5</f>
        <v>1.6875</v>
      </c>
      <c r="P4">
        <f>Table2319383940[[#This Row],[Total Waste]]-O4</f>
        <v>23.3125</v>
      </c>
    </row>
    <row r="5" spans="1:16" x14ac:dyDescent="0.3">
      <c r="A5" t="s">
        <v>1</v>
      </c>
      <c r="B5" t="str">
        <f>VLOOKUP(C5,Summary!$C$2:$D$25,2,FALSE)</f>
        <v>804-05093</v>
      </c>
      <c r="C5">
        <v>424</v>
      </c>
      <c r="D5">
        <v>119.5</v>
      </c>
      <c r="E5">
        <v>119.5</v>
      </c>
      <c r="F5">
        <v>119.5</v>
      </c>
      <c r="M5">
        <f>SUM(Table2319383940[[#This Row],[Cut Length1]:[Cut Length9]])</f>
        <v>358.5</v>
      </c>
      <c r="N5">
        <f>Table2319383940[[#This Row],[Purchase Length]]-Table2319383940[[#This Row],[Total Cut Length]]</f>
        <v>65.5</v>
      </c>
      <c r="O5">
        <f>(COUNTA(Table2319383940[[#This Row],[Cut Length1]:[Cut Length9]])-1)*0.1875+1.5</f>
        <v>1.875</v>
      </c>
      <c r="P5">
        <f>Table2319383940[[#This Row],[Total Waste]]-O5</f>
        <v>63.625</v>
      </c>
    </row>
    <row r="6" spans="1:16" x14ac:dyDescent="0.3">
      <c r="A6" t="s">
        <v>0</v>
      </c>
      <c r="B6" t="str">
        <f>VLOOKUP(C6,Summary!$C$2:$D$25,2,FALSE)</f>
        <v>804-05096</v>
      </c>
      <c r="C6">
        <v>688</v>
      </c>
      <c r="D6">
        <v>119.5</v>
      </c>
      <c r="E6">
        <v>119.5</v>
      </c>
      <c r="F6">
        <v>119.5</v>
      </c>
      <c r="G6">
        <v>119.5</v>
      </c>
      <c r="H6">
        <v>119.5</v>
      </c>
      <c r="I6">
        <v>83.75</v>
      </c>
      <c r="M6">
        <f>SUM(Table2319383940[[#This Row],[Cut Length1]:[Cut Length9]])</f>
        <v>681.25</v>
      </c>
      <c r="N6">
        <f>Table2319383940[[#This Row],[Purchase Length]]-Table2319383940[[#This Row],[Total Cut Length]]</f>
        <v>6.75</v>
      </c>
      <c r="O6">
        <f>(COUNTA(Table2319383940[[#This Row],[Cut Length1]:[Cut Length9]])-1)*0.1875+1.5</f>
        <v>2.4375</v>
      </c>
      <c r="P6">
        <f>Table2319383940[[#This Row],[Total Waste]]-O6</f>
        <v>4.3125</v>
      </c>
    </row>
    <row r="7" spans="1:16" x14ac:dyDescent="0.3">
      <c r="A7" t="s">
        <v>0</v>
      </c>
      <c r="B7" t="str">
        <f>VLOOKUP(C7,Summary!$C$2:$D$25,2,FALSE)</f>
        <v>804-15022</v>
      </c>
      <c r="C7">
        <v>600</v>
      </c>
      <c r="D7">
        <v>119.5</v>
      </c>
      <c r="E7">
        <v>119.5</v>
      </c>
      <c r="F7">
        <v>119.5</v>
      </c>
      <c r="G7">
        <v>119.5</v>
      </c>
      <c r="H7">
        <v>119.5</v>
      </c>
      <c r="M7">
        <f>SUM(Table2319383940[[#This Row],[Cut Length1]:[Cut Length9]])</f>
        <v>597.5</v>
      </c>
      <c r="N7">
        <f>Table2319383940[[#This Row],[Purchase Length]]-Table2319383940[[#This Row],[Total Cut Length]]</f>
        <v>2.5</v>
      </c>
      <c r="O7">
        <f>(COUNTA(Table2319383940[[#This Row],[Cut Length1]:[Cut Length9]])-1)*0.1875+1.5</f>
        <v>2.25</v>
      </c>
      <c r="P7">
        <f>Table2319383940[[#This Row],[Total Waste]]-O7</f>
        <v>0.25</v>
      </c>
    </row>
    <row r="8" spans="1:16" x14ac:dyDescent="0.3">
      <c r="A8" t="s">
        <v>0</v>
      </c>
      <c r="B8" t="str">
        <f>VLOOKUP(C8,Summary!$C$2:$D$25,2,FALSE)</f>
        <v>804-05100</v>
      </c>
      <c r="C8">
        <v>308</v>
      </c>
      <c r="D8">
        <v>119.5</v>
      </c>
      <c r="E8">
        <v>83.75</v>
      </c>
      <c r="F8">
        <v>47.5</v>
      </c>
      <c r="G8">
        <v>47.5</v>
      </c>
      <c r="M8">
        <f>SUM(Table2319383940[[#This Row],[Cut Length1]:[Cut Length9]])</f>
        <v>298.25</v>
      </c>
      <c r="N8">
        <f>Table2319383940[[#This Row],[Purchase Length]]-Table2319383940[[#This Row],[Total Cut Length]]</f>
        <v>9.75</v>
      </c>
      <c r="O8">
        <f>(COUNTA(Table2319383940[[#This Row],[Cut Length1]:[Cut Length9]])-1)*0.1875+1.5</f>
        <v>2.0625</v>
      </c>
      <c r="P8">
        <f>Table2319383940[[#This Row],[Total Waste]]-O8</f>
        <v>7.6875</v>
      </c>
    </row>
    <row r="10" spans="1:16" x14ac:dyDescent="0.3">
      <c r="C10">
        <f>SUM(Table2319383940[Purchase Length])</f>
        <v>3496</v>
      </c>
      <c r="I10">
        <f>SUM(Table2319383940[Total Cut Length])</f>
        <v>3374</v>
      </c>
      <c r="J10">
        <f>SUM(Table2319383940[Total Waste])</f>
        <v>122</v>
      </c>
    </row>
    <row r="11" spans="1:16" x14ac:dyDescent="0.3">
      <c r="J11" s="1">
        <f>J10/C10</f>
        <v>3.4897025171624713E-2</v>
      </c>
    </row>
  </sheetData>
  <mergeCells count="2">
    <mergeCell ref="O1:P1"/>
    <mergeCell ref="A1:J1"/>
  </mergeCells>
  <phoneticPr fontId="4" type="noConversion"/>
  <pageMargins left="0.7" right="0.7" top="0.75" bottom="0.75" header="0.3" footer="0.3"/>
  <pageSetup paperSize="4" scale="46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B5FF-0E80-4BB0-A8D1-8C425E0091B8}">
  <sheetPr>
    <pageSetUpPr fitToPage="1"/>
  </sheetPr>
  <dimension ref="A1:L25"/>
  <sheetViews>
    <sheetView topLeftCell="A2" zoomScale="85" zoomScaleNormal="85" workbookViewId="0">
      <selection activeCell="P11" sqref="P11"/>
    </sheetView>
  </sheetViews>
  <sheetFormatPr defaultRowHeight="14.4" x14ac:dyDescent="0.3"/>
  <cols>
    <col min="1" max="1" width="17.109375" bestFit="1" customWidth="1"/>
    <col min="2" max="2" width="14.33203125" bestFit="1" customWidth="1"/>
    <col min="3" max="3" width="17.33203125" bestFit="1" customWidth="1"/>
    <col min="4" max="7" width="13.33203125" bestFit="1" customWidth="1"/>
    <col min="8" max="8" width="17.109375" bestFit="1" customWidth="1"/>
    <col min="9" max="9" width="13.109375" bestFit="1" customWidth="1"/>
    <col min="11" max="11" width="14" customWidth="1"/>
    <col min="12" max="12" width="15.109375" customWidth="1"/>
  </cols>
  <sheetData>
    <row r="1" spans="1:12" x14ac:dyDescent="0.3">
      <c r="A1" s="40" t="s">
        <v>18</v>
      </c>
      <c r="B1" s="40"/>
      <c r="C1" s="40"/>
      <c r="D1" s="40"/>
      <c r="E1" s="40"/>
      <c r="F1" s="40"/>
      <c r="G1" s="40"/>
      <c r="H1" s="40"/>
      <c r="I1" s="40"/>
      <c r="K1" s="39" t="s">
        <v>23</v>
      </c>
      <c r="L1" s="39"/>
    </row>
    <row r="2" spans="1:12" ht="43.2" x14ac:dyDescent="0.3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3</v>
      </c>
      <c r="J2" t="s">
        <v>2</v>
      </c>
      <c r="K2" s="25" t="s">
        <v>21</v>
      </c>
      <c r="L2" s="23" t="s">
        <v>22</v>
      </c>
    </row>
    <row r="3" spans="1:12" x14ac:dyDescent="0.3">
      <c r="A3" t="s">
        <v>1</v>
      </c>
      <c r="B3" t="str">
        <f>VLOOKUP(C3,Summary!$C$2:$D$25,2,FALSE)</f>
        <v>804-05089</v>
      </c>
      <c r="C3">
        <v>580</v>
      </c>
      <c r="D3">
        <v>577</v>
      </c>
      <c r="I3">
        <f>SUM(Table2131641[[#This Row],[Cut Length1]:[Cut Length5]])</f>
        <v>577</v>
      </c>
      <c r="J3">
        <f>Table2131641[[#This Row],[Purchase Length]]-Table2131641[[#This Row],[Total Cut Length]]</f>
        <v>3</v>
      </c>
      <c r="K3">
        <f>(COUNTA(Table2131641[[#This Row],[Cut Length1]:[Cut Length5]])-1)*0.1875+1.5</f>
        <v>1.5</v>
      </c>
      <c r="L3">
        <f>Table2131641[[#This Row],[Total Waste]]-K3</f>
        <v>1.5</v>
      </c>
    </row>
    <row r="4" spans="1:12" x14ac:dyDescent="0.3">
      <c r="A4" t="s">
        <v>1</v>
      </c>
      <c r="B4" t="str">
        <f>VLOOKUP(C4,Summary!$C$2:$D$25,2,FALSE)</f>
        <v>804-05089</v>
      </c>
      <c r="C4">
        <v>580</v>
      </c>
      <c r="D4">
        <v>577</v>
      </c>
      <c r="I4">
        <f>SUM(Table2131641[[#This Row],[Cut Length1]:[Cut Length5]])</f>
        <v>577</v>
      </c>
      <c r="J4">
        <f>Table2131641[[#This Row],[Purchase Length]]-Table2131641[[#This Row],[Total Cut Length]]</f>
        <v>3</v>
      </c>
      <c r="K4">
        <f>(COUNTA(Table2131641[[#This Row],[Cut Length1]:[Cut Length5]])-1)*0.1875+1.5</f>
        <v>1.5</v>
      </c>
      <c r="L4">
        <f>Table2131641[[#This Row],[Total Waste]]-K4</f>
        <v>1.5</v>
      </c>
    </row>
    <row r="5" spans="1:12" x14ac:dyDescent="0.3">
      <c r="A5" t="s">
        <v>1</v>
      </c>
      <c r="B5" t="str">
        <f>VLOOKUP(C5,Summary!$C$2:$D$25,2,FALSE)</f>
        <v>804-05091</v>
      </c>
      <c r="C5">
        <v>460</v>
      </c>
      <c r="D5">
        <v>152</v>
      </c>
      <c r="E5">
        <v>152</v>
      </c>
      <c r="F5">
        <v>152</v>
      </c>
      <c r="I5">
        <f>SUM(Table2131641[[#This Row],[Cut Length1]:[Cut Length5]])</f>
        <v>456</v>
      </c>
      <c r="J5">
        <f>Table2131641[[#This Row],[Purchase Length]]-Table2131641[[#This Row],[Total Cut Length]]</f>
        <v>4</v>
      </c>
      <c r="K5">
        <f>(COUNTA(Table2131641[[#This Row],[Cut Length1]:[Cut Length5]])-1)*0.1875+1.5</f>
        <v>1.875</v>
      </c>
      <c r="L5">
        <f>Table2131641[[#This Row],[Total Waste]]-K5</f>
        <v>2.125</v>
      </c>
    </row>
    <row r="6" spans="1:12" x14ac:dyDescent="0.3">
      <c r="A6" t="s">
        <v>1</v>
      </c>
      <c r="B6" t="str">
        <f>VLOOKUP(C6,Summary!$C$2:$D$25,2,FALSE)</f>
        <v>804-05091</v>
      </c>
      <c r="C6">
        <v>460</v>
      </c>
      <c r="D6">
        <v>152</v>
      </c>
      <c r="E6">
        <v>152</v>
      </c>
      <c r="F6">
        <v>152</v>
      </c>
      <c r="I6">
        <f>SUM(Table2131641[[#This Row],[Cut Length1]:[Cut Length5]])</f>
        <v>456</v>
      </c>
      <c r="J6">
        <f>Table2131641[[#This Row],[Purchase Length]]-Table2131641[[#This Row],[Total Cut Length]]</f>
        <v>4</v>
      </c>
      <c r="K6">
        <f>(COUNTA(Table2131641[[#This Row],[Cut Length1]:[Cut Length5]])-1)*0.1875+1.5</f>
        <v>1.875</v>
      </c>
      <c r="L6">
        <f>Table2131641[[#This Row],[Total Waste]]-K6</f>
        <v>2.125</v>
      </c>
    </row>
    <row r="7" spans="1:12" x14ac:dyDescent="0.3">
      <c r="A7" t="s">
        <v>0</v>
      </c>
      <c r="B7" t="str">
        <f>VLOOKUP(C7,Summary!$C$2:$D$25,2,FALSE)</f>
        <v>804-05094</v>
      </c>
      <c r="C7">
        <v>764</v>
      </c>
      <c r="D7">
        <v>152</v>
      </c>
      <c r="E7">
        <v>152</v>
      </c>
      <c r="F7">
        <v>152</v>
      </c>
      <c r="G7">
        <v>152</v>
      </c>
      <c r="H7">
        <v>152</v>
      </c>
      <c r="I7">
        <f>SUM(Table2131641[[#This Row],[Cut Length1]:[Cut Length5]])</f>
        <v>760</v>
      </c>
      <c r="J7">
        <f>Table2131641[[#This Row],[Purchase Length]]-Table2131641[[#This Row],[Total Cut Length]]</f>
        <v>4</v>
      </c>
      <c r="K7">
        <f>(COUNTA(Table2131641[[#This Row],[Cut Length1]:[Cut Length5]])-1)*0.1875+1.5</f>
        <v>2.25</v>
      </c>
      <c r="L7">
        <f>Table2131641[[#This Row],[Total Waste]]-K7</f>
        <v>1.75</v>
      </c>
    </row>
    <row r="8" spans="1:12" x14ac:dyDescent="0.3">
      <c r="A8" t="s">
        <v>0</v>
      </c>
      <c r="B8" t="str">
        <f>VLOOKUP(C8,Summary!$C$2:$D$25,2,FALSE)</f>
        <v>804-05094</v>
      </c>
      <c r="C8">
        <v>764</v>
      </c>
      <c r="D8">
        <v>152</v>
      </c>
      <c r="E8">
        <v>152</v>
      </c>
      <c r="F8">
        <v>152</v>
      </c>
      <c r="G8">
        <v>152</v>
      </c>
      <c r="H8">
        <v>152</v>
      </c>
      <c r="I8">
        <f>SUM(Table2131641[[#This Row],[Cut Length1]:[Cut Length5]])</f>
        <v>760</v>
      </c>
      <c r="J8">
        <f>Table2131641[[#This Row],[Purchase Length]]-Table2131641[[#This Row],[Total Cut Length]]</f>
        <v>4</v>
      </c>
      <c r="K8">
        <f>(COUNTA(Table2131641[[#This Row],[Cut Length1]:[Cut Length5]])-1)*0.1875+1.5</f>
        <v>2.25</v>
      </c>
      <c r="L8">
        <f>Table2131641[[#This Row],[Total Waste]]-K8</f>
        <v>1.75</v>
      </c>
    </row>
    <row r="9" spans="1:12" x14ac:dyDescent="0.3">
      <c r="A9" t="s">
        <v>0</v>
      </c>
      <c r="B9" t="str">
        <f>VLOOKUP(C9,Summary!$C$2:$D$25,2,FALSE)</f>
        <v>804-05096</v>
      </c>
      <c r="C9">
        <v>688</v>
      </c>
      <c r="D9">
        <v>152</v>
      </c>
      <c r="E9">
        <v>152</v>
      </c>
      <c r="F9">
        <v>152</v>
      </c>
      <c r="G9">
        <v>152</v>
      </c>
      <c r="H9">
        <v>27</v>
      </c>
      <c r="I9">
        <f>SUM(Table2131641[[#This Row],[Cut Length1]:[Cut Length5]])</f>
        <v>635</v>
      </c>
      <c r="J9">
        <f>Table2131641[[#This Row],[Purchase Length]]-Table2131641[[#This Row],[Total Cut Length]]</f>
        <v>53</v>
      </c>
      <c r="K9">
        <f>(COUNTA(Table2131641[[#This Row],[Cut Length1]:[Cut Length5]])-1)*0.1875+1.5</f>
        <v>2.25</v>
      </c>
      <c r="L9">
        <f>Table2131641[[#This Row],[Total Waste]]-K9</f>
        <v>50.75</v>
      </c>
    </row>
    <row r="10" spans="1:12" hidden="1" x14ac:dyDescent="0.3"/>
    <row r="11" spans="1:12" x14ac:dyDescent="0.3">
      <c r="C11">
        <f>SUM(Table2131641[Purchase Length])</f>
        <v>4296</v>
      </c>
      <c r="H11">
        <f>SUM(Table2131641[Total Cut Length])</f>
        <v>4221</v>
      </c>
      <c r="I11">
        <f>SUM(Table2131641[Total Waste])</f>
        <v>75</v>
      </c>
    </row>
    <row r="12" spans="1:12" x14ac:dyDescent="0.3">
      <c r="I12" s="1">
        <f>I11/C11</f>
        <v>1.7458100558659217E-2</v>
      </c>
    </row>
    <row r="14" spans="1:12" x14ac:dyDescent="0.3">
      <c r="A14" s="40" t="s">
        <v>18</v>
      </c>
      <c r="B14" s="40"/>
      <c r="C14" s="40"/>
      <c r="D14" s="40"/>
      <c r="E14" s="40"/>
      <c r="F14" s="40"/>
      <c r="G14" s="40"/>
      <c r="H14" s="40"/>
      <c r="I14" s="40"/>
      <c r="K14" s="39" t="s">
        <v>23</v>
      </c>
      <c r="L14" s="39"/>
    </row>
    <row r="15" spans="1:12" ht="43.2" x14ac:dyDescent="0.3">
      <c r="A15" t="s">
        <v>15</v>
      </c>
      <c r="B15" t="s">
        <v>14</v>
      </c>
      <c r="C15" t="s">
        <v>13</v>
      </c>
      <c r="D15" t="s">
        <v>12</v>
      </c>
      <c r="E15" t="s">
        <v>11</v>
      </c>
      <c r="F15" t="s">
        <v>10</v>
      </c>
      <c r="G15" t="s">
        <v>9</v>
      </c>
      <c r="H15" t="s">
        <v>8</v>
      </c>
      <c r="I15" t="s">
        <v>3</v>
      </c>
      <c r="J15" t="s">
        <v>2</v>
      </c>
      <c r="K15" s="25" t="s">
        <v>21</v>
      </c>
      <c r="L15" s="23" t="s">
        <v>22</v>
      </c>
    </row>
    <row r="16" spans="1:12" x14ac:dyDescent="0.3">
      <c r="A16" t="s">
        <v>1</v>
      </c>
      <c r="B16" t="str">
        <f>VLOOKUP(C16,Summary!$C$2:$D$25,2,FALSE)</f>
        <v>804-05089</v>
      </c>
      <c r="C16">
        <v>580</v>
      </c>
      <c r="D16">
        <v>577</v>
      </c>
      <c r="I16">
        <f>SUM(Table21316414[[#This Row],[Cut Length1]:[Cut Length5]])</f>
        <v>577</v>
      </c>
      <c r="J16">
        <f>Table21316414[[#This Row],[Purchase Length]]-Table21316414[[#This Row],[Total Cut Length]]</f>
        <v>3</v>
      </c>
      <c r="K16">
        <f>(COUNTA(Table21316414[[#This Row],[Cut Length1]:[Cut Length5]])-1)*0.1875+1.5</f>
        <v>1.5</v>
      </c>
      <c r="L16">
        <f>Table21316414[[#This Row],[Total Waste]]-K16</f>
        <v>1.5</v>
      </c>
    </row>
    <row r="17" spans="1:12" x14ac:dyDescent="0.3">
      <c r="A17" t="s">
        <v>1</v>
      </c>
      <c r="B17" t="str">
        <f>VLOOKUP(C17,Summary!$C$2:$D$25,2,FALSE)</f>
        <v>804-05089</v>
      </c>
      <c r="C17">
        <v>580</v>
      </c>
      <c r="D17">
        <v>577</v>
      </c>
      <c r="I17">
        <f>SUM(Table21316414[[#This Row],[Cut Length1]:[Cut Length5]])</f>
        <v>577</v>
      </c>
      <c r="J17">
        <f>Table21316414[[#This Row],[Purchase Length]]-Table21316414[[#This Row],[Total Cut Length]]</f>
        <v>3</v>
      </c>
      <c r="K17">
        <f>(COUNTA(Table21316414[[#This Row],[Cut Length1]:[Cut Length5]])-1)*0.1875+1.5</f>
        <v>1.5</v>
      </c>
      <c r="L17">
        <f>Table21316414[[#This Row],[Total Waste]]-K17</f>
        <v>1.5</v>
      </c>
    </row>
    <row r="18" spans="1:12" x14ac:dyDescent="0.3">
      <c r="A18" t="s">
        <v>1</v>
      </c>
      <c r="B18" t="str">
        <f>VLOOKUP(C18,Summary!$C$2:$D$25,2,FALSE)</f>
        <v>804-05091</v>
      </c>
      <c r="C18">
        <v>460</v>
      </c>
      <c r="D18">
        <v>152</v>
      </c>
      <c r="E18">
        <v>152</v>
      </c>
      <c r="F18">
        <v>152</v>
      </c>
      <c r="I18">
        <f>SUM(Table21316414[[#This Row],[Cut Length1]:[Cut Length5]])</f>
        <v>456</v>
      </c>
      <c r="J18">
        <f>Table21316414[[#This Row],[Purchase Length]]-Table21316414[[#This Row],[Total Cut Length]]</f>
        <v>4</v>
      </c>
      <c r="K18">
        <f>(COUNTA(Table21316414[[#This Row],[Cut Length1]:[Cut Length5]])-1)*0.1875+1.5</f>
        <v>1.875</v>
      </c>
      <c r="L18">
        <f>Table21316414[[#This Row],[Total Waste]]-K18</f>
        <v>2.125</v>
      </c>
    </row>
    <row r="19" spans="1:12" x14ac:dyDescent="0.3">
      <c r="A19" t="s">
        <v>1</v>
      </c>
      <c r="B19" t="str">
        <f>VLOOKUP(C19,Summary!$C$2:$D$25,2,FALSE)</f>
        <v>804-05091</v>
      </c>
      <c r="C19">
        <v>460</v>
      </c>
      <c r="D19">
        <v>152</v>
      </c>
      <c r="E19">
        <v>152</v>
      </c>
      <c r="F19">
        <v>152</v>
      </c>
      <c r="I19">
        <f>SUM(Table21316414[[#This Row],[Cut Length1]:[Cut Length5]])</f>
        <v>456</v>
      </c>
      <c r="J19">
        <f>Table21316414[[#This Row],[Purchase Length]]-Table21316414[[#This Row],[Total Cut Length]]</f>
        <v>4</v>
      </c>
      <c r="K19">
        <f>(COUNTA(Table21316414[[#This Row],[Cut Length1]:[Cut Length5]])-1)*0.1875+1.5</f>
        <v>1.875</v>
      </c>
      <c r="L19">
        <f>Table21316414[[#This Row],[Total Waste]]-K19</f>
        <v>2.125</v>
      </c>
    </row>
    <row r="20" spans="1:12" x14ac:dyDescent="0.3">
      <c r="A20" t="s">
        <v>0</v>
      </c>
      <c r="B20" t="str">
        <f>VLOOKUP(C20,Summary!$C$2:$D$25,2,FALSE)</f>
        <v>804-05094</v>
      </c>
      <c r="C20">
        <v>764</v>
      </c>
      <c r="D20">
        <v>152</v>
      </c>
      <c r="E20">
        <v>152</v>
      </c>
      <c r="F20">
        <v>152</v>
      </c>
      <c r="G20">
        <v>152</v>
      </c>
      <c r="H20">
        <v>152</v>
      </c>
      <c r="I20">
        <f>SUM(Table21316414[[#This Row],[Cut Length1]:[Cut Length5]])</f>
        <v>760</v>
      </c>
      <c r="J20">
        <f>Table21316414[[#This Row],[Purchase Length]]-Table21316414[[#This Row],[Total Cut Length]]</f>
        <v>4</v>
      </c>
      <c r="K20">
        <f>(COUNTA(Table21316414[[#This Row],[Cut Length1]:[Cut Length5]])-1)*0.1875+1.5</f>
        <v>2.25</v>
      </c>
      <c r="L20">
        <f>Table21316414[[#This Row],[Total Waste]]-K20</f>
        <v>1.75</v>
      </c>
    </row>
    <row r="21" spans="1:12" x14ac:dyDescent="0.3">
      <c r="A21" t="s">
        <v>0</v>
      </c>
      <c r="B21" t="str">
        <f>VLOOKUP(C21,Summary!$C$2:$D$25,2,FALSE)</f>
        <v>804-05094</v>
      </c>
      <c r="C21">
        <v>764</v>
      </c>
      <c r="D21">
        <v>152</v>
      </c>
      <c r="E21">
        <v>152</v>
      </c>
      <c r="F21">
        <v>152</v>
      </c>
      <c r="G21">
        <v>152</v>
      </c>
      <c r="H21">
        <v>152</v>
      </c>
      <c r="I21">
        <f>SUM(Table21316414[[#This Row],[Cut Length1]:[Cut Length5]])</f>
        <v>760</v>
      </c>
      <c r="J21">
        <f>Table21316414[[#This Row],[Purchase Length]]-Table21316414[[#This Row],[Total Cut Length]]</f>
        <v>4</v>
      </c>
      <c r="K21">
        <f>(COUNTA(Table21316414[[#This Row],[Cut Length1]:[Cut Length5]])-1)*0.1875+1.5</f>
        <v>2.25</v>
      </c>
      <c r="L21">
        <f>Table21316414[[#This Row],[Total Waste]]-K21</f>
        <v>1.75</v>
      </c>
    </row>
    <row r="22" spans="1:12" x14ac:dyDescent="0.3">
      <c r="A22" t="s">
        <v>0</v>
      </c>
      <c r="B22" t="str">
        <f>VLOOKUP(C22,Summary!$C$2:$D$25,2,FALSE)</f>
        <v>804-05100</v>
      </c>
      <c r="C22">
        <v>308</v>
      </c>
      <c r="D22">
        <v>152</v>
      </c>
      <c r="E22">
        <v>152</v>
      </c>
      <c r="I22">
        <f>SUM(Table21316414[[#This Row],[Cut Length1]:[Cut Length5]])</f>
        <v>304</v>
      </c>
      <c r="J22">
        <f>Table21316414[[#This Row],[Purchase Length]]-Table21316414[[#This Row],[Total Cut Length]]</f>
        <v>4</v>
      </c>
      <c r="K22">
        <f>(COUNTA(Table21316414[[#This Row],[Cut Length1]:[Cut Length5]])-1)*0.1875+1.5</f>
        <v>1.6875</v>
      </c>
      <c r="L22">
        <f>Table21316414[[#This Row],[Total Waste]]-K22</f>
        <v>2.3125</v>
      </c>
    </row>
    <row r="23" spans="1:12" x14ac:dyDescent="0.3">
      <c r="A23" t="s">
        <v>0</v>
      </c>
      <c r="B23" t="str">
        <f>VLOOKUP(C23,Summary!$C$2:$D$25,2,FALSE)</f>
        <v>804-05098</v>
      </c>
      <c r="C23">
        <v>340</v>
      </c>
      <c r="D23">
        <v>152</v>
      </c>
      <c r="E23">
        <v>152</v>
      </c>
      <c r="F23">
        <v>27</v>
      </c>
      <c r="I23">
        <f>SUM(Table21316414[[#This Row],[Cut Length1]:[Cut Length5]])</f>
        <v>331</v>
      </c>
      <c r="J23">
        <f>Table21316414[[#This Row],[Purchase Length]]-Table21316414[[#This Row],[Total Cut Length]]</f>
        <v>9</v>
      </c>
    </row>
    <row r="24" spans="1:12" x14ac:dyDescent="0.3">
      <c r="C24">
        <f>SUM(Table21316414[Purchase Length])</f>
        <v>4256</v>
      </c>
      <c r="H24">
        <f>SUM(Table21316414[Total Cut Length])</f>
        <v>4221</v>
      </c>
      <c r="I24">
        <f>SUM(Table21316414[Total Waste])</f>
        <v>35</v>
      </c>
    </row>
    <row r="25" spans="1:12" x14ac:dyDescent="0.3">
      <c r="I25" s="1">
        <f>I24/C24</f>
        <v>8.2236842105263153E-3</v>
      </c>
    </row>
  </sheetData>
  <mergeCells count="4">
    <mergeCell ref="K1:L1"/>
    <mergeCell ref="A1:I1"/>
    <mergeCell ref="A14:I14"/>
    <mergeCell ref="K14:L14"/>
  </mergeCells>
  <phoneticPr fontId="4" type="noConversion"/>
  <pageMargins left="0.7" right="0.7" top="0.75" bottom="0.75" header="0.3" footer="0.3"/>
  <pageSetup paperSize="3" scale="79" orientation="landscape" horizontalDpi="1200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FDA2-F5D1-4631-A37A-2EEF4D71DE40}">
  <sheetPr>
    <pageSetUpPr fitToPage="1"/>
  </sheetPr>
  <dimension ref="A1:Q13"/>
  <sheetViews>
    <sheetView workbookViewId="0">
      <selection activeCell="H17" sqref="H17"/>
    </sheetView>
  </sheetViews>
  <sheetFormatPr defaultRowHeight="14.4" x14ac:dyDescent="0.3"/>
  <cols>
    <col min="1" max="1" width="11.77734375" customWidth="1"/>
    <col min="2" max="2" width="11.5546875" customWidth="1"/>
    <col min="3" max="3" width="14" customWidth="1"/>
    <col min="4" max="9" width="13.6640625" bestFit="1" customWidth="1"/>
    <col min="10" max="10" width="11.5546875" customWidth="1"/>
    <col min="11" max="11" width="9.6640625" customWidth="1"/>
    <col min="12" max="12" width="7.21875" customWidth="1"/>
    <col min="13" max="13" width="7.88671875" customWidth="1"/>
    <col min="16" max="16" width="10.33203125" customWidth="1"/>
    <col min="17" max="17" width="18.77734375" customWidth="1"/>
  </cols>
  <sheetData>
    <row r="1" spans="1:17" x14ac:dyDescent="0.3">
      <c r="A1" s="40" t="s">
        <v>18</v>
      </c>
      <c r="B1" s="40"/>
      <c r="C1" s="40"/>
      <c r="D1" s="40"/>
      <c r="E1" s="40"/>
      <c r="F1" s="40"/>
      <c r="G1" s="40"/>
      <c r="H1" s="40"/>
      <c r="I1" s="40"/>
      <c r="J1" s="40"/>
      <c r="K1" s="40"/>
      <c r="P1" s="39" t="s">
        <v>23</v>
      </c>
      <c r="Q1" s="39"/>
    </row>
    <row r="2" spans="1:17" ht="28.8" x14ac:dyDescent="0.3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  <c r="L2" t="s">
        <v>4</v>
      </c>
      <c r="M2" t="s">
        <v>19</v>
      </c>
      <c r="N2" t="s">
        <v>3</v>
      </c>
      <c r="O2" t="s">
        <v>2</v>
      </c>
      <c r="P2" s="24" t="s">
        <v>21</v>
      </c>
      <c r="Q2" s="26" t="s">
        <v>22</v>
      </c>
    </row>
    <row r="3" spans="1:17" x14ac:dyDescent="0.3">
      <c r="A3" t="s">
        <v>1</v>
      </c>
      <c r="B3" t="str">
        <f>VLOOKUP(C3,Summary!$C$2:$D$25,2,FALSE)</f>
        <v>804-05087</v>
      </c>
      <c r="C3">
        <v>692</v>
      </c>
      <c r="D3">
        <v>687.75</v>
      </c>
      <c r="N3">
        <f>SUM(Table215102942[[#This Row],[Cut Length1]:[Cut Length10]])</f>
        <v>687.75</v>
      </c>
      <c r="O3">
        <f>Table215102942[[#This Row],[Purchase Length]]-Table215102942[[#This Row],[Total Cut Length]]</f>
        <v>4.25</v>
      </c>
      <c r="P3">
        <f>(COUNTA(Table215102942[[#This Row],[Cut Length1]:[Cut Length10]])-1)*0.1875+1.5</f>
        <v>1.5</v>
      </c>
      <c r="Q3">
        <f>Table215102942[[#This Row],[Total Waste]]-P3</f>
        <v>2.75</v>
      </c>
    </row>
    <row r="4" spans="1:17" x14ac:dyDescent="0.3">
      <c r="A4" t="s">
        <v>1</v>
      </c>
      <c r="B4" t="str">
        <f>VLOOKUP(C4,Summary!$C$2:$D$25,2,FALSE)</f>
        <v>804-05087</v>
      </c>
      <c r="C4">
        <v>692</v>
      </c>
      <c r="D4">
        <v>687.75</v>
      </c>
      <c r="N4">
        <f>SUM(Table215102942[[#This Row],[Cut Length1]:[Cut Length10]])</f>
        <v>687.75</v>
      </c>
      <c r="O4">
        <f>Table215102942[[#This Row],[Purchase Length]]-Table215102942[[#This Row],[Total Cut Length]]</f>
        <v>4.25</v>
      </c>
      <c r="P4">
        <f>(COUNTA(Table215102942[[#This Row],[Cut Length1]:[Cut Length10]])-1)*0.1875+1.5</f>
        <v>1.5</v>
      </c>
      <c r="Q4">
        <f>Table215102942[[#This Row],[Total Waste]]-P4</f>
        <v>2.75</v>
      </c>
    </row>
    <row r="5" spans="1:17" x14ac:dyDescent="0.3">
      <c r="A5" t="s">
        <v>16</v>
      </c>
      <c r="B5" t="str">
        <f>VLOOKUP(C5,Summary!$C$2:$D$25,2,FALSE)</f>
        <v>804-05101</v>
      </c>
      <c r="C5">
        <v>700</v>
      </c>
      <c r="D5">
        <v>139.5</v>
      </c>
      <c r="E5">
        <v>139.5</v>
      </c>
      <c r="F5">
        <v>139.5</v>
      </c>
      <c r="G5">
        <v>139.5</v>
      </c>
      <c r="H5">
        <v>139.5</v>
      </c>
      <c r="N5">
        <f>SUM(Table215102942[[#This Row],[Cut Length1]:[Cut Length10]])</f>
        <v>697.5</v>
      </c>
      <c r="O5">
        <f>Table215102942[[#This Row],[Purchase Length]]-Table215102942[[#This Row],[Total Cut Length]]</f>
        <v>2.5</v>
      </c>
      <c r="P5">
        <f>(COUNTA(Table215102942[[#This Row],[Cut Length1]:[Cut Length10]])-1)*0.1875+1.5</f>
        <v>2.25</v>
      </c>
      <c r="Q5">
        <f>Table215102942[[#This Row],[Total Waste]]-P5</f>
        <v>0.25</v>
      </c>
    </row>
    <row r="6" spans="1:17" x14ac:dyDescent="0.3">
      <c r="A6" t="s">
        <v>16</v>
      </c>
      <c r="B6" t="str">
        <f>VLOOKUP(C6,Summary!$C$2:$D$25,2,FALSE)</f>
        <v>804-05101</v>
      </c>
      <c r="C6">
        <v>700</v>
      </c>
      <c r="D6">
        <v>139.5</v>
      </c>
      <c r="E6">
        <v>139.5</v>
      </c>
      <c r="F6">
        <v>139.5</v>
      </c>
      <c r="G6">
        <v>139.5</v>
      </c>
      <c r="H6">
        <v>62.75</v>
      </c>
      <c r="N6">
        <f>SUM(Table215102942[[#This Row],[Cut Length1]:[Cut Length10]])</f>
        <v>620.75</v>
      </c>
      <c r="O6">
        <f>Table215102942[[#This Row],[Purchase Length]]-Table215102942[[#This Row],[Total Cut Length]]</f>
        <v>79.25</v>
      </c>
      <c r="P6">
        <f>(COUNTA(Table215102942[[#This Row],[Cut Length1]:[Cut Length10]])-1)*0.1875+1.5</f>
        <v>2.25</v>
      </c>
      <c r="Q6">
        <f>Table215102942[[#This Row],[Total Waste]]-P6</f>
        <v>77</v>
      </c>
    </row>
    <row r="7" spans="1:17" x14ac:dyDescent="0.3">
      <c r="A7" t="s">
        <v>0</v>
      </c>
      <c r="B7" t="str">
        <f>VLOOKUP(C7,Summary!$C$2:$D$25,2,FALSE)</f>
        <v>804-05094</v>
      </c>
      <c r="C7">
        <v>764</v>
      </c>
      <c r="D7">
        <v>139.5</v>
      </c>
      <c r="E7" s="32">
        <v>139.5</v>
      </c>
      <c r="F7" s="32">
        <v>139.5</v>
      </c>
      <c r="G7" s="32">
        <v>91</v>
      </c>
      <c r="H7">
        <v>111.75</v>
      </c>
      <c r="I7" s="32">
        <v>139.5</v>
      </c>
      <c r="N7">
        <f>SUM(Table215102942[[#This Row],[Cut Length1]:[Cut Length10]])</f>
        <v>760.75</v>
      </c>
      <c r="O7">
        <f>Table215102942[[#This Row],[Purchase Length]]-Table215102942[[#This Row],[Total Cut Length]]</f>
        <v>3.25</v>
      </c>
      <c r="P7">
        <f>(COUNTA(Table215102942[[#This Row],[Cut Length1]:[Cut Length10]])-1)*0.1875+1.5</f>
        <v>2.4375</v>
      </c>
      <c r="Q7">
        <f>Table215102942[[#This Row],[Total Waste]]-P7</f>
        <v>0.8125</v>
      </c>
    </row>
    <row r="8" spans="1:17" x14ac:dyDescent="0.3">
      <c r="A8" t="s">
        <v>0</v>
      </c>
      <c r="B8" t="str">
        <f>VLOOKUP(C8,Summary!$C$2:$D$25,2,FALSE)</f>
        <v>804-05096</v>
      </c>
      <c r="C8">
        <v>688</v>
      </c>
      <c r="D8">
        <v>139.5</v>
      </c>
      <c r="E8">
        <v>139.5</v>
      </c>
      <c r="F8">
        <v>139.5</v>
      </c>
      <c r="G8">
        <v>139.5</v>
      </c>
      <c r="H8">
        <v>111.75</v>
      </c>
      <c r="I8" s="32"/>
      <c r="N8">
        <f>SUM(Table215102942[[#This Row],[Cut Length1]:[Cut Length10]])</f>
        <v>669.75</v>
      </c>
      <c r="O8">
        <f>Table215102942[[#This Row],[Purchase Length]]-Table215102942[[#This Row],[Total Cut Length]]</f>
        <v>18.25</v>
      </c>
      <c r="P8">
        <f>(COUNTA(Table215102942[[#This Row],[Cut Length1]:[Cut Length10]])-1)*0.1875+1.5</f>
        <v>2.25</v>
      </c>
      <c r="Q8">
        <f>Table215102942[[#This Row],[Total Waste]]-P8</f>
        <v>16</v>
      </c>
    </row>
    <row r="9" spans="1:17" x14ac:dyDescent="0.3">
      <c r="A9" t="s">
        <v>0</v>
      </c>
      <c r="B9" t="str">
        <f>VLOOKUP(C9,Summary!$C$2:$D$25,2,FALSE)</f>
        <v>804-05097</v>
      </c>
      <c r="C9">
        <v>604</v>
      </c>
      <c r="D9">
        <v>139.5</v>
      </c>
      <c r="E9">
        <v>139.5</v>
      </c>
      <c r="F9">
        <v>139.5</v>
      </c>
      <c r="G9">
        <v>139.5</v>
      </c>
      <c r="H9">
        <v>43.5</v>
      </c>
      <c r="N9">
        <f>SUM(Table215102942[[#This Row],[Cut Length1]:[Cut Length10]])</f>
        <v>601.5</v>
      </c>
      <c r="O9">
        <f>Table215102942[[#This Row],[Purchase Length]]-Table215102942[[#This Row],[Total Cut Length]]</f>
        <v>2.5</v>
      </c>
      <c r="P9">
        <f>(COUNTA(Table215102942[[#This Row],[Cut Length1]:[Cut Length10]])-1)*0.1875+1.5</f>
        <v>2.25</v>
      </c>
      <c r="Q9">
        <f>Table215102942[[#This Row],[Total Waste]]-P9</f>
        <v>0.25</v>
      </c>
    </row>
    <row r="10" spans="1:17" x14ac:dyDescent="0.3">
      <c r="A10" t="s">
        <v>0</v>
      </c>
      <c r="B10" t="str">
        <f>VLOOKUP(C10,Summary!$C$2:$D$25,2,FALSE)</f>
        <v>804-05099</v>
      </c>
      <c r="C10">
        <v>332</v>
      </c>
      <c r="D10">
        <v>139.5</v>
      </c>
      <c r="E10">
        <v>49.25</v>
      </c>
      <c r="F10">
        <v>48.5</v>
      </c>
      <c r="G10" s="32">
        <v>91</v>
      </c>
      <c r="N10">
        <f>SUM(Table215102942[[#This Row],[Cut Length1]:[Cut Length10]])</f>
        <v>328.25</v>
      </c>
      <c r="O10">
        <f>Table215102942[[#This Row],[Purchase Length]]-Table215102942[[#This Row],[Total Cut Length]]</f>
        <v>3.75</v>
      </c>
      <c r="P10">
        <f>(COUNTA(Table215102942[[#This Row],[Cut Length1]:[Cut Length10]])-1)*0.1875+1.5</f>
        <v>2.0625</v>
      </c>
      <c r="Q10">
        <f>Table215102942[[#This Row],[Total Waste]]-P10</f>
        <v>1.6875</v>
      </c>
    </row>
    <row r="12" spans="1:17" x14ac:dyDescent="0.3">
      <c r="C12">
        <f>SUM(Table215102942[Purchase Length])</f>
        <v>5172</v>
      </c>
      <c r="J12">
        <f>SUM(Table215102942[Total Cut Length])</f>
        <v>5054</v>
      </c>
      <c r="K12">
        <f>SUM(Table215102942[Total Waste])</f>
        <v>118</v>
      </c>
    </row>
    <row r="13" spans="1:17" x14ac:dyDescent="0.3">
      <c r="K13" s="1">
        <f>K12/C12</f>
        <v>2.2815158546017015E-2</v>
      </c>
    </row>
  </sheetData>
  <mergeCells count="2">
    <mergeCell ref="P1:Q1"/>
    <mergeCell ref="A1:K1"/>
  </mergeCells>
  <phoneticPr fontId="4" type="noConversion"/>
  <pageMargins left="0.7" right="0.7" top="0.75" bottom="0.75" header="0.3" footer="0.3"/>
  <pageSetup paperSize="3" scale="79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CGX P01643 DetailedNesting</vt:lpstr>
      <vt:lpstr>CYO P01633 DetailedNesting</vt:lpstr>
      <vt:lpstr>QTS P01533 DetailedNesting</vt:lpstr>
      <vt:lpstr>P01664 Yondr Nesting BOM</vt:lpstr>
      <vt:lpstr>CYO P01316 DetailedNesting</vt:lpstr>
      <vt:lpstr>STA P01554 DetailedNesting</vt:lpstr>
      <vt:lpstr>QTS P01597 DetailedNesting</vt:lpstr>
      <vt:lpstr>NTT P01560 DetailedNesting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Wallace, Brad</dc:creator>
  <cp:lastModifiedBy>SIVAS-1</cp:lastModifiedBy>
  <cp:lastPrinted>2022-12-06T14:55:52Z</cp:lastPrinted>
  <dcterms:created xsi:type="dcterms:W3CDTF">2022-11-29T18:40:01Z</dcterms:created>
  <dcterms:modified xsi:type="dcterms:W3CDTF">2023-03-16T12:38:40Z</dcterms:modified>
</cp:coreProperties>
</file>