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ess\Dropbox\PDF'S - All Machines, Smart Products (SP Holdings, Inc.)\Automated Lumber Recovery\Data &amp; OEM\PBC Linear\2022, PBC App Review\Calc's\"/>
    </mc:Choice>
  </mc:AlternateContent>
  <xr:revisionPtr revIDLastSave="0" documentId="13_ncr:1_{C17711C7-5EFE-4DD7-8016-9F430E99D44C}" xr6:coauthVersionLast="47" xr6:coauthVersionMax="47" xr10:uidLastSave="{00000000-0000-0000-0000-000000000000}"/>
  <bookViews>
    <workbookView xWindow="-120" yWindow="-120" windowWidth="25440" windowHeight="15390" activeTab="4" xr2:uid="{73D848FB-1DD1-41BB-A13C-B044CD400FA3}"/>
  </bookViews>
  <sheets>
    <sheet name=" Cutting Force" sheetId="11" r:id="rId1"/>
    <sheet name="Circular&amp;Band Saw-Wood Research" sheetId="7" r:id="rId2"/>
    <sheet name="Circular &amp; Band Saw-Milling GD" sheetId="8" r:id="rId3"/>
    <sheet name="Blade Force" sheetId="2" r:id="rId4"/>
    <sheet name="Disc Wedge Force" sheetId="10" r:id="rId5"/>
    <sheet name="Impact Force" sheetId="4" r:id="rId6"/>
    <sheet name="Tooth Chip Load" sheetId="9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0" l="1"/>
  <c r="H1" i="10"/>
  <c r="H4" i="10" s="1"/>
  <c r="F6" i="10"/>
  <c r="F4" i="10"/>
  <c r="F7" i="10" s="1"/>
  <c r="F1" i="10"/>
  <c r="C32" i="9"/>
  <c r="I38" i="9"/>
  <c r="I37" i="9"/>
  <c r="I36" i="9"/>
  <c r="F12" i="8"/>
  <c r="F4" i="8"/>
  <c r="D12" i="8"/>
  <c r="F3" i="8"/>
  <c r="E4" i="9"/>
  <c r="G4" i="9"/>
  <c r="B1" i="10"/>
  <c r="D1" i="10"/>
  <c r="D7" i="8"/>
  <c r="B7" i="8"/>
  <c r="D7" i="7"/>
  <c r="C35" i="9"/>
  <c r="L38" i="9"/>
  <c r="C36" i="9"/>
  <c r="C33" i="9"/>
  <c r="C34" i="9" s="1"/>
  <c r="O32" i="9"/>
  <c r="I35" i="9"/>
  <c r="L33" i="9"/>
  <c r="L31" i="9"/>
  <c r="I33" i="9"/>
  <c r="I31" i="9"/>
  <c r="G24" i="9"/>
  <c r="E24" i="9"/>
  <c r="C24" i="9"/>
  <c r="C22" i="9"/>
  <c r="E12" i="11"/>
  <c r="C12" i="11"/>
  <c r="E11" i="11"/>
  <c r="E9" i="11"/>
  <c r="E10" i="11" s="1"/>
  <c r="C10" i="11"/>
  <c r="E7" i="11"/>
  <c r="C7" i="11"/>
  <c r="E5" i="11"/>
  <c r="C5" i="11"/>
  <c r="H9" i="10" l="1"/>
  <c r="H7" i="10"/>
  <c r="F10" i="10"/>
  <c r="F11" i="10" s="1"/>
  <c r="F8" i="10"/>
  <c r="F9" i="10"/>
  <c r="D4" i="10"/>
  <c r="F67" i="7"/>
  <c r="H13" i="7" s="1"/>
  <c r="H6" i="7"/>
  <c r="H9" i="7"/>
  <c r="H10" i="7" s="1"/>
  <c r="H12" i="7"/>
  <c r="G9" i="9"/>
  <c r="E9" i="9"/>
  <c r="C9" i="9"/>
  <c r="C7" i="9"/>
  <c r="H10" i="10" l="1"/>
  <c r="H11" i="10" s="1"/>
  <c r="H8" i="10"/>
  <c r="E7" i="9"/>
  <c r="E19" i="9"/>
  <c r="E22" i="9" s="1"/>
  <c r="G7" i="9"/>
  <c r="G19" i="9"/>
  <c r="G22" i="9" s="1"/>
  <c r="B4" i="10"/>
  <c r="B7" i="10" s="1"/>
  <c r="D9" i="10"/>
  <c r="D7" i="10"/>
  <c r="F13" i="8"/>
  <c r="F14" i="8" s="1"/>
  <c r="F9" i="8"/>
  <c r="F10" i="8" s="1"/>
  <c r="F6" i="8"/>
  <c r="F6" i="7"/>
  <c r="F13" i="7"/>
  <c r="F12" i="7"/>
  <c r="F9" i="7"/>
  <c r="F10" i="7" s="1"/>
  <c r="B9" i="7"/>
  <c r="B10" i="7" s="1"/>
  <c r="D8" i="7"/>
  <c r="D9" i="7" s="1"/>
  <c r="D10" i="7" s="1"/>
  <c r="B12" i="8"/>
  <c r="D9" i="8"/>
  <c r="D10" i="8" s="1"/>
  <c r="D15" i="8" s="1"/>
  <c r="B9" i="8"/>
  <c r="B10" i="8" s="1"/>
  <c r="B15" i="8" s="1"/>
  <c r="D14" i="8"/>
  <c r="B14" i="8"/>
  <c r="D4" i="8"/>
  <c r="B4" i="8"/>
  <c r="D14" i="7"/>
  <c r="B14" i="7"/>
  <c r="D4" i="7"/>
  <c r="D12" i="7" s="1"/>
  <c r="B4" i="7"/>
  <c r="B12" i="7" s="1"/>
  <c r="B10" i="10" l="1"/>
  <c r="B11" i="10" s="1"/>
  <c r="B8" i="10"/>
  <c r="B9" i="10"/>
  <c r="D10" i="10"/>
  <c r="D11" i="10" s="1"/>
  <c r="D8" i="10"/>
  <c r="F14" i="7"/>
  <c r="H14" i="7"/>
  <c r="H15" i="7" s="1"/>
  <c r="H16" i="7" l="1"/>
  <c r="H17" i="7"/>
  <c r="E4" i="4" l="1"/>
  <c r="F4" i="4"/>
  <c r="G4" i="4" l="1"/>
  <c r="H4" i="4" s="1"/>
  <c r="C4" i="2"/>
  <c r="C5" i="2" s="1"/>
  <c r="C6" i="2" s="1"/>
  <c r="B15" i="7" l="1"/>
  <c r="B16" i="8"/>
  <c r="F7" i="7" l="1"/>
  <c r="F15" i="7" s="1"/>
  <c r="D15" i="7"/>
  <c r="B17" i="8"/>
  <c r="B18" i="8"/>
  <c r="B19" i="8" s="1"/>
  <c r="B17" i="7"/>
  <c r="B16" i="7"/>
  <c r="F7" i="8"/>
  <c r="F16" i="8" s="1"/>
  <c r="D16" i="8"/>
  <c r="F18" i="8" l="1"/>
  <c r="F19" i="8" s="1"/>
  <c r="F17" i="8"/>
  <c r="D17" i="7"/>
  <c r="D16" i="7"/>
  <c r="D17" i="8"/>
  <c r="D18" i="8"/>
  <c r="D19" i="8" s="1"/>
  <c r="F16" i="7"/>
  <c r="F17" i="7"/>
</calcChain>
</file>

<file path=xl/sharedStrings.xml><?xml version="1.0" encoding="utf-8"?>
<sst xmlns="http://schemas.openxmlformats.org/spreadsheetml/2006/main" count="347" uniqueCount="138">
  <si>
    <t>in</t>
  </si>
  <si>
    <t>mm</t>
  </si>
  <si>
    <t>N</t>
  </si>
  <si>
    <t>lbs</t>
  </si>
  <si>
    <t>LB-IN</t>
  </si>
  <si>
    <t>Diameter of the Tire</t>
  </si>
  <si>
    <t>FT</t>
  </si>
  <si>
    <t>IN</t>
  </si>
  <si>
    <t>lb</t>
  </si>
  <si>
    <t>LB</t>
  </si>
  <si>
    <t>Blade Force due to the torque applied</t>
  </si>
  <si>
    <t>Tangential Force on Tire</t>
  </si>
  <si>
    <t>kN</t>
  </si>
  <si>
    <t>Inputs</t>
  </si>
  <si>
    <t>Value</t>
  </si>
  <si>
    <t>Symbol</t>
  </si>
  <si>
    <t>Unit</t>
  </si>
  <si>
    <t>Dynamic Energy of the Moving Object (DE) in  
ft Lb</t>
  </si>
  <si>
    <t>Distance of travel of pallet after impact (a) in feet</t>
  </si>
  <si>
    <r>
      <t xml:space="preserve"> = 0.5*m*v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</si>
  <si>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 = e* SQRT (S)</t>
  </si>
  <si>
    <t xml:space="preserve"> = DE / a</t>
  </si>
  <si>
    <t>Pallet Weight</t>
  </si>
  <si>
    <t>m</t>
  </si>
  <si>
    <t>Lb</t>
  </si>
  <si>
    <t>Pallet velocity</t>
  </si>
  <si>
    <t>v</t>
  </si>
  <si>
    <t>ft/sec</t>
  </si>
  <si>
    <t>Travel Distance before Impact</t>
  </si>
  <si>
    <t>S</t>
  </si>
  <si>
    <t>coefficient of restitution</t>
  </si>
  <si>
    <t>e</t>
  </si>
  <si>
    <t>ft</t>
  </si>
  <si>
    <t>Force=Torque/Radius of the tire</t>
  </si>
  <si>
    <t>Gear Box Output Torque- Calculated (C2)</t>
  </si>
  <si>
    <t>Torque/Radius of the tire</t>
  </si>
  <si>
    <t>Calculation of the Impact force for the Pallets - Movement through Blade (Fx)</t>
  </si>
  <si>
    <t>Impact Force in Lb (Fx)</t>
  </si>
  <si>
    <t>Radius of the Tire (C5)</t>
  </si>
  <si>
    <t>Feed rate</t>
  </si>
  <si>
    <t>Cutting Speed</t>
  </si>
  <si>
    <t>in/s</t>
  </si>
  <si>
    <t>ft/min</t>
  </si>
  <si>
    <t>m/s</t>
  </si>
  <si>
    <t>HP</t>
  </si>
  <si>
    <t>Efficiency</t>
  </si>
  <si>
    <t>https://www.carrlane.com/engineering-resources/technical-information/power-workholding/design-information/machining-operations-fixture-layout</t>
  </si>
  <si>
    <t>For Milling operation</t>
  </si>
  <si>
    <t>hp</t>
  </si>
  <si>
    <t>rpm</t>
  </si>
  <si>
    <t>Feed</t>
  </si>
  <si>
    <t>MPa</t>
  </si>
  <si>
    <t>Horse Power</t>
  </si>
  <si>
    <t>Ref:</t>
  </si>
  <si>
    <t>http://www.woodresearch.sk/wr/201405/11.pdf</t>
  </si>
  <si>
    <t>Blade Diameter</t>
  </si>
  <si>
    <t>Blade Radius</t>
  </si>
  <si>
    <t>No. of Teeth</t>
  </si>
  <si>
    <t>Tooth Width (b)</t>
  </si>
  <si>
    <t>Depth of Cut (e)</t>
  </si>
  <si>
    <r>
      <t>Feed Velocicty (V</t>
    </r>
    <r>
      <rPr>
        <vertAlign val="subscript"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)</t>
    </r>
  </si>
  <si>
    <t>mm/sec</t>
  </si>
  <si>
    <t>Blade Speed</t>
  </si>
  <si>
    <t>Cutting Velocicty (Vc)</t>
  </si>
  <si>
    <t>Specific Cutting Force (Kc)</t>
  </si>
  <si>
    <t>Kgf/mm2</t>
  </si>
  <si>
    <t xml:space="preserve">Cutting Force </t>
  </si>
  <si>
    <t>lbf</t>
  </si>
  <si>
    <t>https://asia.kyocera.com/products/cuttingtools/wp-content/uploads/2016/11/R.Tehnical-information-cmp.pdf</t>
  </si>
  <si>
    <t>m/min</t>
  </si>
  <si>
    <t>Feed per tooth</t>
  </si>
  <si>
    <t>mm/min</t>
  </si>
  <si>
    <t>mm/t</t>
  </si>
  <si>
    <t>Power</t>
  </si>
  <si>
    <t>KW</t>
  </si>
  <si>
    <t>Tooth Width-Kerf (b)</t>
  </si>
  <si>
    <t>Depth of Cut-Dia of Nail (e)</t>
  </si>
  <si>
    <t>BandSaw</t>
  </si>
  <si>
    <t xml:space="preserve"> Blade Cutting Force</t>
  </si>
  <si>
    <t>Blade Type</t>
  </si>
  <si>
    <t>Circular Saw</t>
  </si>
  <si>
    <r>
      <t>Feed Velocicty (V</t>
    </r>
    <r>
      <rPr>
        <b/>
        <vertAlign val="subscript"/>
        <sz val="12"/>
        <color theme="1"/>
        <rFont val="Calibri"/>
        <family val="2"/>
        <scheme val="minor"/>
      </rPr>
      <t>f</t>
    </r>
    <r>
      <rPr>
        <b/>
        <sz val="12"/>
        <color theme="1"/>
        <rFont val="Calibri"/>
        <family val="2"/>
        <scheme val="minor"/>
      </rPr>
      <t>)</t>
    </r>
  </si>
  <si>
    <t>Shaft Speed</t>
  </si>
  <si>
    <t>Blade Cutting Force</t>
  </si>
  <si>
    <t>Tip Velocity</t>
  </si>
  <si>
    <t xml:space="preserve">Blade Dia </t>
  </si>
  <si>
    <t>Feed Rate</t>
  </si>
  <si>
    <t>Chip Load</t>
  </si>
  <si>
    <t>Teeth</t>
  </si>
  <si>
    <t>Bite/tooth</t>
  </si>
  <si>
    <t>Aqua Klippa</t>
  </si>
  <si>
    <t>600mm Circular Saw</t>
  </si>
  <si>
    <t>270mm Circular Saw</t>
  </si>
  <si>
    <t>http://www.fao.org/3/xii/0886-a2.htm</t>
  </si>
  <si>
    <t>kgf/mm</t>
  </si>
  <si>
    <t>Chip thickness</t>
  </si>
  <si>
    <t xml:space="preserve">Force </t>
  </si>
  <si>
    <t>Specific force</t>
  </si>
  <si>
    <t>Coefficient of friction</t>
  </si>
  <si>
    <t>deg</t>
  </si>
  <si>
    <t>Fc</t>
  </si>
  <si>
    <t>Nd</t>
  </si>
  <si>
    <t>Wedge Force P</t>
  </si>
  <si>
    <t>Nb</t>
  </si>
  <si>
    <t>Nc</t>
  </si>
  <si>
    <t>Penetration</t>
  </si>
  <si>
    <t>Wedge Angle (See drawing below)</t>
  </si>
  <si>
    <t>https://www.engineeringtoolbox.com/friction-coefficients-d_778.html</t>
  </si>
  <si>
    <t>Specific Gravity of wood (SG)</t>
  </si>
  <si>
    <t>Diameter of Nail(D)</t>
  </si>
  <si>
    <t xml:space="preserve">https://www.dapra.com/resources/milling-formulas </t>
  </si>
  <si>
    <t>BandSaw (Nail)</t>
  </si>
  <si>
    <t>BandSaw (Wood)</t>
  </si>
  <si>
    <t>Nail Withdrawal force (2 Wedges)</t>
  </si>
  <si>
    <t xml:space="preserve"> Band Saw</t>
  </si>
  <si>
    <t xml:space="preserve"> Circular Saw</t>
  </si>
  <si>
    <t>Cutting Force Available Based on Power (90%)</t>
  </si>
  <si>
    <t>Cutting Force Available Based on Power (75%)</t>
  </si>
  <si>
    <t>Band Saw</t>
  </si>
  <si>
    <t>Length of Blade</t>
  </si>
  <si>
    <t>No. of Teeth/in</t>
  </si>
  <si>
    <t>Total no. of Teeth</t>
  </si>
  <si>
    <t>Rpm</t>
  </si>
  <si>
    <t>Gear Reduction Ratio</t>
  </si>
  <si>
    <t>Output RPM</t>
  </si>
  <si>
    <t>in/sec</t>
  </si>
  <si>
    <t>in/min</t>
  </si>
  <si>
    <t>teeth/blade</t>
  </si>
  <si>
    <t>Motor RPM</t>
  </si>
  <si>
    <t>Blade Diameter (Tire Dia for Band Saw)</t>
  </si>
  <si>
    <t>Teeth (Circum.)</t>
  </si>
  <si>
    <t>Average for 30'</t>
  </si>
  <si>
    <t>Average for 1'</t>
  </si>
  <si>
    <t>Tire Circumference</t>
  </si>
  <si>
    <t>Teeth/Circumference</t>
  </si>
  <si>
    <t>Profile Technology Suggestions (Circular Saw Blade OEM)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</si>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</sst>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000_);_(* \(#,##0.0000\);_(* &quot;-&quot;??_);_(@_)"/>
    <numFmt numFmtId="167" formatCode="0.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164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 applyAlignment="1"/>
    <xf numFmtId="0" fontId="5" fillId="0" borderId="0" xfId="1"/>
    <xf numFmtId="0" fontId="6" fillId="0" borderId="1" xfId="0" applyFont="1" applyBorder="1"/>
    <xf numFmtId="0" fontId="8" fillId="0" borderId="1" xfId="0" applyFont="1" applyBorder="1"/>
    <xf numFmtId="0" fontId="6" fillId="0" borderId="0" xfId="0" applyFont="1"/>
    <xf numFmtId="0" fontId="6" fillId="0" borderId="1" xfId="0" applyFont="1" applyFill="1" applyBorder="1"/>
    <xf numFmtId="0" fontId="8" fillId="0" borderId="1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2" applyNumberFormat="1" applyFont="1" applyBorder="1" applyAlignment="1">
      <alignment horizontal="right"/>
    </xf>
    <xf numFmtId="43" fontId="0" fillId="0" borderId="1" xfId="2" applyFont="1" applyBorder="1" applyAlignment="1">
      <alignment horizontal="right"/>
    </xf>
    <xf numFmtId="166" fontId="0" fillId="0" borderId="1" xfId="2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/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</xdr:colOff>
      <xdr:row>3</xdr:row>
      <xdr:rowOff>76201</xdr:rowOff>
    </xdr:from>
    <xdr:to>
      <xdr:col>14</xdr:col>
      <xdr:colOff>456490</xdr:colOff>
      <xdr:row>10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4D584C-3605-43BD-9E8B-93D56FBB8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420" y="723901"/>
          <a:ext cx="5335195" cy="1257300"/>
        </a:xfrm>
        <a:prstGeom prst="rect">
          <a:avLst/>
        </a:prstGeom>
      </xdr:spPr>
    </xdr:pic>
    <xdr:clientData/>
  </xdr:twoCellAnchor>
  <xdr:oneCellAnchor>
    <xdr:from>
      <xdr:col>1</xdr:col>
      <xdr:colOff>708660</xdr:colOff>
      <xdr:row>2</xdr:row>
      <xdr:rowOff>144780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EDA8D7E-0AB9-40E6-AC8C-7C0413771608}"/>
            </a:ext>
          </a:extLst>
        </xdr:cNvPr>
        <xdr:cNvSpPr txBox="1"/>
      </xdr:nvSpPr>
      <xdr:spPr>
        <a:xfrm>
          <a:off x="822960" y="6019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 b="1"/>
        </a:p>
      </xdr:txBody>
    </xdr:sp>
    <xdr:clientData/>
  </xdr:oneCellAnchor>
  <xdr:twoCellAnchor editAs="oneCell">
    <xdr:from>
      <xdr:col>15</xdr:col>
      <xdr:colOff>419100</xdr:colOff>
      <xdr:row>4</xdr:row>
      <xdr:rowOff>39755</xdr:rowOff>
    </xdr:from>
    <xdr:to>
      <xdr:col>21</xdr:col>
      <xdr:colOff>249001</xdr:colOff>
      <xdr:row>8</xdr:row>
      <xdr:rowOff>167507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939480-E71B-476D-8DAD-4F133B669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77955"/>
          <a:ext cx="3567511" cy="889752"/>
        </a:xfrm>
        <a:prstGeom prst="rect">
          <a:avLst/>
        </a:prstGeom>
      </xdr:spPr>
    </xdr:pic>
    <xdr:clientData/>
  </xdr:twoCellAnchor>
  <xdr:twoCellAnchor editAs="oneCell">
    <xdr:from>
      <xdr:col>7</xdr:col>
      <xdr:colOff>575552</xdr:colOff>
      <xdr:row>95</xdr:row>
      <xdr:rowOff>97155</xdr:rowOff>
    </xdr:from>
    <xdr:to>
      <xdr:col>18</xdr:col>
      <xdr:colOff>189381</xdr:colOff>
      <xdr:row>118</xdr:row>
      <xdr:rowOff>166882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3BC01A-24B5-4186-9BF0-A78CBB2C3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90652" y="17775555"/>
          <a:ext cx="6309904" cy="4451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20</xdr:row>
      <xdr:rowOff>15240</xdr:rowOff>
    </xdr:from>
    <xdr:to>
      <xdr:col>21</xdr:col>
      <xdr:colOff>494071</xdr:colOff>
      <xdr:row>29</xdr:row>
      <xdr:rowOff>16939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126DA2-3A95-42BA-B8F9-D5C498EBC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2960" y="3642360"/>
          <a:ext cx="9828571" cy="1784779"/>
        </a:xfrm>
        <a:prstGeom prst="rect">
          <a:avLst/>
        </a:prstGeom>
      </xdr:spPr>
    </xdr:pic>
    <xdr:clientData/>
  </xdr:twoCellAnchor>
  <xdr:twoCellAnchor editAs="oneCell">
    <xdr:from>
      <xdr:col>14</xdr:col>
      <xdr:colOff>198120</xdr:colOff>
      <xdr:row>2</xdr:row>
      <xdr:rowOff>107982</xdr:rowOff>
    </xdr:from>
    <xdr:to>
      <xdr:col>20</xdr:col>
      <xdr:colOff>423840</xdr:colOff>
      <xdr:row>19</xdr:row>
      <xdr:rowOff>113533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E917E8-028F-469E-A11A-0CB128A64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9180" y="504222"/>
          <a:ext cx="3883320" cy="3465031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129540</xdr:colOff>
      <xdr:row>49</xdr:row>
      <xdr:rowOff>114300</xdr:rowOff>
    </xdr:from>
    <xdr:to>
      <xdr:col>9</xdr:col>
      <xdr:colOff>338835</xdr:colOff>
      <xdr:row>53</xdr:row>
      <xdr:rowOff>144685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F02EAD-B0F8-468E-9DF1-9535ED022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9121140"/>
          <a:ext cx="2038095" cy="7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32</xdr:row>
      <xdr:rowOff>60960</xdr:rowOff>
    </xdr:from>
    <xdr:to>
      <xdr:col>10</xdr:col>
      <xdr:colOff>552081</xdr:colOff>
      <xdr:row>47</xdr:row>
      <xdr:rowOff>155855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08383C-C260-4843-BD9A-38D0C974F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61560" y="5958840"/>
          <a:ext cx="2952381" cy="2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579120</xdr:colOff>
      <xdr:row>55</xdr:row>
      <xdr:rowOff>108782</xdr:rowOff>
    </xdr:from>
    <xdr:to>
      <xdr:col>20</xdr:col>
      <xdr:colOff>452221</xdr:colOff>
      <xdr:row>79</xdr:row>
      <xdr:rowOff>89739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C4355A-DA95-448C-B935-9C370EF61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21780" y="10746302"/>
          <a:ext cx="7188301" cy="43700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274320</xdr:colOff>
      <xdr:row>0</xdr:row>
      <xdr:rowOff>45720</xdr:rowOff>
    </xdr:from>
    <xdr:to>
      <xdr:col>18</xdr:col>
      <xdr:colOff>107217</xdr:colOff>
      <xdr:row>30</xdr:row>
      <xdr:rowOff>170524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A756C0-733E-4606-BC94-B981CADEA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8280" y="45720"/>
          <a:ext cx="6538497" cy="61141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265706</xdr:colOff>
      <xdr:row>2</xdr:row>
      <xdr:rowOff>64713</xdr:rowOff>
    </xdr:from>
    <xdr:to>
      <xdr:col>16</xdr:col>
      <xdr:colOff>85614</xdr:colOff>
      <xdr:row>23</xdr:row>
      <xdr:rowOff>166526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C341A6-4AB1-4D90-A2F5-B696B801B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863" y="614678"/>
          <a:ext cx="6525508" cy="3997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135173</xdr:rowOff>
    </xdr:from>
    <xdr:to>
      <xdr:col>1</xdr:col>
      <xdr:colOff>575050</xdr:colOff>
      <xdr:row>14</xdr:row>
      <xdr:rowOff>87417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119E3F-5D77-488B-AAD2-0A2D5D4949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5320"/>
        <a:stretch/>
      </xdr:blipFill>
      <xdr:spPr>
        <a:xfrm>
          <a:off x="0" y="2169382"/>
          <a:ext cx="2079172" cy="6943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10</xdr:row>
      <xdr:rowOff>109298</xdr:rowOff>
    </xdr:from>
    <xdr:to>
      <xdr:col>17</xdr:col>
      <xdr:colOff>492105</xdr:colOff>
      <xdr:row>31</xdr:row>
      <xdr:rowOff>115280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432E6-2D06-4DA2-9888-9BDFAF0C8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0360" y="2120978"/>
          <a:ext cx="5361285" cy="3846462"/>
        </a:xfrm>
        <a:prstGeom prst="rect">
          <a:avLst/>
        </a:prstGeom>
      </xdr:spPr>
    </xdr:pic>
    <xdr:clientData/>
  </xdr:twoCellAnchor>
  <xdr:twoCellAnchor editAs="oneCell">
    <xdr:from>
      <xdr:col>17</xdr:col>
      <xdr:colOff>577623</xdr:colOff>
      <xdr:row>10</xdr:row>
      <xdr:rowOff>99060</xdr:rowOff>
    </xdr:from>
    <xdr:to>
      <xdr:col>25</xdr:col>
      <xdr:colOff>396839</xdr:colOff>
      <xdr:row>28</xdr:row>
      <xdr:rowOff>141948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B499E1-46CB-427F-965E-137B4A510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7163" y="2110740"/>
          <a:ext cx="4696016" cy="3334728"/>
        </a:xfrm>
        <a:prstGeom prst="rect">
          <a:avLst/>
        </a:prstGeom>
      </xdr:spPr>
    </xdr:pic>
    <xdr:clientData/>
  </xdr:twoCellAnchor>
  <xdr:twoCellAnchor editAs="oneCell">
    <xdr:from>
      <xdr:col>4</xdr:col>
      <xdr:colOff>342899</xdr:colOff>
      <xdr:row>32</xdr:row>
      <xdr:rowOff>16248</xdr:rowOff>
    </xdr:from>
    <xdr:to>
      <xdr:col>17</xdr:col>
      <xdr:colOff>486214</xdr:colOff>
      <xdr:row>40</xdr:row>
      <xdr:rowOff>22860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469201-9BAB-42F6-9C5A-AE8F050A1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8539" y="5868408"/>
          <a:ext cx="7847135" cy="1469652"/>
        </a:xfrm>
        <a:prstGeom prst="rect">
          <a:avLst/>
        </a:prstGeom>
      </xdr:spPr>
    </xdr:pic>
    <xdr:clientData/>
  </xdr:twoCellAnchor>
  <xdr:twoCellAnchor editAs="oneCell">
    <xdr:from>
      <xdr:col>9</xdr:col>
      <xdr:colOff>335280</xdr:colOff>
      <xdr:row>0</xdr:row>
      <xdr:rowOff>0</xdr:rowOff>
    </xdr:from>
    <xdr:to>
      <xdr:col>22</xdr:col>
      <xdr:colOff>415758</xdr:colOff>
      <xdr:row>7</xdr:row>
      <xdr:rowOff>58601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3CC2A9-45B7-459F-9688-53F2ED759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8020" y="0"/>
          <a:ext cx="8005278" cy="1521641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</xdr:colOff>
      <xdr:row>41</xdr:row>
      <xdr:rowOff>114414</xdr:rowOff>
    </xdr:from>
    <xdr:to>
      <xdr:col>18</xdr:col>
      <xdr:colOff>374098</xdr:colOff>
      <xdr:row>50</xdr:row>
      <xdr:rowOff>176925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92401B-4D7D-4970-8B3D-BA5D4BC0C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0" y="7978254"/>
          <a:ext cx="8474158" cy="1708431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53</xdr:row>
      <xdr:rowOff>43180</xdr:rowOff>
    </xdr:from>
    <xdr:to>
      <xdr:col>18</xdr:col>
      <xdr:colOff>43948</xdr:colOff>
      <xdr:row>60</xdr:row>
      <xdr:rowOff>53045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312608-CC2B-9E73-1576-E696FC5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72940" y="9918700"/>
          <a:ext cx="7740148" cy="12900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11</xdr:row>
      <xdr:rowOff>0</xdr:rowOff>
    </xdr:from>
    <xdr:to>
      <xdr:col>6</xdr:col>
      <xdr:colOff>701040</xdr:colOff>
      <xdr:row>31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A5C8BE-DD56-4D4C-9B74-42A1B756C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160" y="2194560"/>
          <a:ext cx="6149340" cy="3817620"/>
        </a:xfrm>
        <a:prstGeom prst="rect">
          <a:avLst/>
        </a:prstGeom>
        <a:noFill/>
        <a:ln w="12700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411480</xdr:colOff>
      <xdr:row>33</xdr:row>
      <xdr:rowOff>30480</xdr:rowOff>
    </xdr:from>
    <xdr:to>
      <xdr:col>10</xdr:col>
      <xdr:colOff>152400</xdr:colOff>
      <xdr:row>48</xdr:row>
      <xdr:rowOff>53340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FDC188D-F7E1-4063-832A-4E5749CA120C}"/>
            </a:ext>
          </a:extLst>
        </xdr:cNvPr>
        <xdr:cNvGrpSpPr/>
      </xdr:nvGrpSpPr>
      <xdr:grpSpPr>
        <a:xfrm>
          <a:off x="411480" y="7250430"/>
          <a:ext cx="8332470" cy="2880360"/>
          <a:chOff x="601980" y="7627620"/>
          <a:chExt cx="8968740" cy="2766060"/>
        </a:xfrm>
      </xdr:grpSpPr>
      <xdr:pic>
        <xdr:nvPicPr>
          <xdr:cNvPr id="4" name="Picture 4">
            <a:extLst>
              <a:ext uri="{FF2B5EF4-FFF2-40B4-BE49-F238E27FC236}">
                <a16:creationId xmlns:a16="http://schemas.microsoft.com/office/drawing/2014/main" id="{C6C5B47B-95CA-4898-A58E-BA7809F32F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601980" y="7627620"/>
            <a:ext cx="8968740" cy="1402080"/>
          </a:xfrm>
          <a:prstGeom prst="rect">
            <a:avLst/>
          </a:prstGeom>
          <a:noFill/>
          <a:ln w="12700">
            <a:solidFill>
              <a:schemeClr val="tx1"/>
            </a:solidFill>
            <a:miter lim="800000"/>
            <a:headEnd/>
            <a:tailEnd type="none" w="med" len="med"/>
          </a:ln>
          <a:effectLst/>
        </xdr:spPr>
      </xdr:pic>
      <xdr:pic>
        <xdr:nvPicPr>
          <xdr:cNvPr id="5" name="Picture 5">
            <a:extLst>
              <a:ext uri="{FF2B5EF4-FFF2-40B4-BE49-F238E27FC236}">
                <a16:creationId xmlns:a16="http://schemas.microsoft.com/office/drawing/2014/main" id="{16FA784A-6EB6-41D0-B902-BCB4B87C1D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617220" y="9052560"/>
            <a:ext cx="2049780" cy="1341120"/>
          </a:xfrm>
          <a:prstGeom prst="rect">
            <a:avLst/>
          </a:prstGeom>
          <a:noFill/>
          <a:ln w="12700">
            <a:solidFill>
              <a:schemeClr val="tx1"/>
            </a:solidFill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 editAs="oneCell">
    <xdr:from>
      <xdr:col>0</xdr:col>
      <xdr:colOff>419100</xdr:colOff>
      <xdr:row>50</xdr:row>
      <xdr:rowOff>30480</xdr:rowOff>
    </xdr:from>
    <xdr:to>
      <xdr:col>15</xdr:col>
      <xdr:colOff>441960</xdr:colOff>
      <xdr:row>58</xdr:row>
      <xdr:rowOff>53340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E30D650F-8F09-472E-AECE-EA30BC955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19100" y="10119360"/>
          <a:ext cx="11826240" cy="1485900"/>
        </a:xfrm>
        <a:prstGeom prst="rect">
          <a:avLst/>
        </a:prstGeom>
        <a:noFill/>
        <a:ln w="12700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apra.com/resources/milling-formulas" TargetMode="External"/><Relationship Id="rId1" Type="http://schemas.openxmlformats.org/officeDocument/2006/relationships/hyperlink" Target="https://www.carrlane.com/engineering-resources/technical-information/power-workholding/design-information/machining-operations-fixture-layou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sia.kyocera.com/products/cuttingtools/wp-content/uploads/2016/11/R.Tehnical-information-cmp.pdf" TargetMode="External"/><Relationship Id="rId2" Type="http://schemas.openxmlformats.org/officeDocument/2006/relationships/hyperlink" Target="http://www.fao.org/3/xii/0886-a2.htm" TargetMode="External"/><Relationship Id="rId1" Type="http://schemas.openxmlformats.org/officeDocument/2006/relationships/hyperlink" Target="http://www.woodresearch.sk/wr/201405/11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asia.kyocera.com/products/cuttingtools/wp-content/uploads/2016/11/R.Tehnical-information-cmp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E07A-C658-4587-A82F-BC110ED9BE3E}">
  <dimension ref="B2:V75"/>
  <sheetViews>
    <sheetView zoomScaleNormal="100" workbookViewId="0"/>
  </sheetViews>
  <sheetFormatPr defaultRowHeight="15" x14ac:dyDescent="0.25"/>
  <cols>
    <col min="1" max="1" width="1.7109375" customWidth="1"/>
    <col min="2" max="2" width="42" style="1" customWidth="1"/>
    <col min="3" max="3" width="10.7109375" style="2" customWidth="1"/>
    <col min="4" max="4" width="8.7109375" customWidth="1"/>
    <col min="5" max="5" width="10.7109375" customWidth="1"/>
    <col min="6" max="6" width="8.7109375" customWidth="1"/>
    <col min="7" max="7" width="11.7109375" customWidth="1"/>
    <col min="8" max="10" width="8.7109375" customWidth="1"/>
    <col min="11" max="11" width="11" customWidth="1"/>
    <col min="12" max="14" width="8.7109375" customWidth="1"/>
    <col min="15" max="15" width="10.7109375" customWidth="1"/>
    <col min="16" max="18" width="8.7109375" customWidth="1"/>
    <col min="19" max="19" width="12.28515625" customWidth="1"/>
    <col min="20" max="22" width="8.7109375" customWidth="1"/>
  </cols>
  <sheetData>
    <row r="2" spans="2:6" ht="21" x14ac:dyDescent="0.35">
      <c r="B2" s="35" t="s">
        <v>47</v>
      </c>
      <c r="C2" s="35"/>
      <c r="D2" s="35"/>
      <c r="E2" s="35"/>
      <c r="F2" s="35"/>
    </row>
    <row r="3" spans="2:6" x14ac:dyDescent="0.25">
      <c r="B3" s="18"/>
      <c r="C3" s="36" t="s">
        <v>114</v>
      </c>
      <c r="D3" s="37"/>
      <c r="E3" s="36" t="s">
        <v>115</v>
      </c>
      <c r="F3" s="37"/>
    </row>
    <row r="4" spans="2:6" x14ac:dyDescent="0.25">
      <c r="B4" s="8" t="s">
        <v>39</v>
      </c>
      <c r="C4" s="29">
        <v>3.5</v>
      </c>
      <c r="D4" s="26" t="s">
        <v>41</v>
      </c>
      <c r="E4" s="29">
        <v>2.5</v>
      </c>
      <c r="F4" s="26" t="s">
        <v>41</v>
      </c>
    </row>
    <row r="5" spans="2:6" x14ac:dyDescent="0.25">
      <c r="B5" s="8" t="s">
        <v>39</v>
      </c>
      <c r="C5" s="30">
        <f>C4*0.0254</f>
        <v>8.8899999999999993E-2</v>
      </c>
      <c r="D5" s="26" t="s">
        <v>43</v>
      </c>
      <c r="E5" s="30">
        <f>E4*0.0254</f>
        <v>6.3500000000000001E-2</v>
      </c>
      <c r="F5" s="26" t="s">
        <v>43</v>
      </c>
    </row>
    <row r="6" spans="2:6" x14ac:dyDescent="0.25">
      <c r="B6" s="8" t="s">
        <v>40</v>
      </c>
      <c r="C6" s="28">
        <v>4160</v>
      </c>
      <c r="D6" s="26" t="s">
        <v>42</v>
      </c>
      <c r="E6" s="28">
        <v>1800</v>
      </c>
      <c r="F6" s="26" t="s">
        <v>49</v>
      </c>
    </row>
    <row r="7" spans="2:6" x14ac:dyDescent="0.25">
      <c r="B7" s="8" t="s">
        <v>40</v>
      </c>
      <c r="C7" s="30">
        <f>C6*12*0.0254/60</f>
        <v>21.132799999999996</v>
      </c>
      <c r="D7" s="26" t="s">
        <v>43</v>
      </c>
      <c r="E7" s="30">
        <f>2*3.14*0.3*E6/60</f>
        <v>56.519999999999996</v>
      </c>
      <c r="F7" s="26" t="s">
        <v>43</v>
      </c>
    </row>
    <row r="8" spans="2:6" x14ac:dyDescent="0.25">
      <c r="B8" s="8" t="s">
        <v>44</v>
      </c>
      <c r="C8" s="28">
        <v>20</v>
      </c>
      <c r="D8" s="26" t="s">
        <v>48</v>
      </c>
      <c r="E8" s="28">
        <v>10</v>
      </c>
      <c r="F8" s="26" t="s">
        <v>48</v>
      </c>
    </row>
    <row r="9" spans="2:6" x14ac:dyDescent="0.25">
      <c r="B9" s="8" t="s">
        <v>45</v>
      </c>
      <c r="C9" s="29">
        <v>0.9</v>
      </c>
      <c r="D9" s="26"/>
      <c r="E9" s="29">
        <f>C9</f>
        <v>0.9</v>
      </c>
      <c r="F9" s="26"/>
    </row>
    <row r="10" spans="2:6" x14ac:dyDescent="0.25">
      <c r="B10" s="8" t="s">
        <v>116</v>
      </c>
      <c r="C10" s="30">
        <f>C8*C9*33000/C6</f>
        <v>142.78846153846155</v>
      </c>
      <c r="D10" s="26" t="s">
        <v>3</v>
      </c>
      <c r="E10" s="30">
        <f>E8*E9*33000/E6</f>
        <v>165</v>
      </c>
      <c r="F10" s="26" t="s">
        <v>3</v>
      </c>
    </row>
    <row r="11" spans="2:6" x14ac:dyDescent="0.25">
      <c r="B11" s="8" t="s">
        <v>45</v>
      </c>
      <c r="C11" s="29">
        <v>0.75</v>
      </c>
      <c r="D11" s="27"/>
      <c r="E11" s="29">
        <f>C11</f>
        <v>0.75</v>
      </c>
      <c r="F11" s="27"/>
    </row>
    <row r="12" spans="2:6" x14ac:dyDescent="0.25">
      <c r="B12" s="8" t="s">
        <v>117</v>
      </c>
      <c r="C12" s="30">
        <f>C8*C11*33000/C6</f>
        <v>118.99038461538461</v>
      </c>
      <c r="D12" s="27" t="s">
        <v>3</v>
      </c>
      <c r="E12" s="30">
        <f>E8*E11*33000/E6</f>
        <v>137.5</v>
      </c>
      <c r="F12" s="27" t="s">
        <v>3</v>
      </c>
    </row>
    <row r="14" spans="2:6" x14ac:dyDescent="0.25">
      <c r="B14" s="19" t="s">
        <v>46</v>
      </c>
    </row>
    <row r="15" spans="2:6" x14ac:dyDescent="0.25">
      <c r="B15" s="19" t="s">
        <v>110</v>
      </c>
    </row>
    <row r="24" spans="2:22" x14ac:dyDescent="0.25">
      <c r="B24"/>
      <c r="C24"/>
    </row>
    <row r="25" spans="2:22" x14ac:dyDescent="0.25">
      <c r="B25"/>
      <c r="C25"/>
    </row>
    <row r="26" spans="2:22" x14ac:dyDescent="0.25">
      <c r="B26"/>
      <c r="C26"/>
    </row>
    <row r="27" spans="2:22" s="1" customForma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2:22" x14ac:dyDescent="0.25">
      <c r="B28"/>
      <c r="C28"/>
    </row>
    <row r="29" spans="2:22" x14ac:dyDescent="0.25">
      <c r="B29"/>
      <c r="C29"/>
    </row>
    <row r="30" spans="2:22" x14ac:dyDescent="0.25">
      <c r="B30"/>
      <c r="C30"/>
    </row>
    <row r="31" spans="2:22" x14ac:dyDescent="0.25">
      <c r="B31"/>
      <c r="C31"/>
    </row>
    <row r="32" spans="2:22" x14ac:dyDescent="0.25">
      <c r="B32"/>
      <c r="C32"/>
    </row>
    <row r="33" spans="2:3" x14ac:dyDescent="0.25">
      <c r="B33"/>
      <c r="C33"/>
    </row>
    <row r="34" spans="2:3" ht="45" customHeight="1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</sheetData>
  <mergeCells count="3">
    <mergeCell ref="B2:F2"/>
    <mergeCell ref="C3:D3"/>
    <mergeCell ref="E3:F3"/>
  </mergeCells>
  <hyperlinks>
    <hyperlink ref="B14" r:id="rId1" xr:uid="{1A7AC718-181A-4699-BDD0-09560BD1D5A4}"/>
    <hyperlink ref="B15" r:id="rId2" xr:uid="{84AFEF42-1498-4FCE-970E-043103D8401A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D769-E973-415B-8764-E3BE845896D7}">
  <dimension ref="A1:N67"/>
  <sheetViews>
    <sheetView workbookViewId="0">
      <selection sqref="A1:G1"/>
    </sheetView>
  </sheetViews>
  <sheetFormatPr defaultRowHeight="15" x14ac:dyDescent="0.25"/>
  <cols>
    <col min="1" max="1" width="28" bestFit="1" customWidth="1"/>
    <col min="5" max="5" width="12.42578125" bestFit="1" customWidth="1"/>
  </cols>
  <sheetData>
    <row r="1" spans="1:12" ht="15.75" x14ac:dyDescent="0.25">
      <c r="A1" s="40" t="s">
        <v>78</v>
      </c>
      <c r="B1" s="40"/>
      <c r="C1" s="40"/>
      <c r="D1" s="40"/>
      <c r="E1" s="40"/>
      <c r="F1" s="40"/>
      <c r="G1" s="40"/>
      <c r="H1" s="25"/>
      <c r="I1" s="25"/>
      <c r="K1" s="1" t="s">
        <v>53</v>
      </c>
      <c r="L1" s="19" t="s">
        <v>54</v>
      </c>
    </row>
    <row r="2" spans="1:12" ht="15.75" x14ac:dyDescent="0.25">
      <c r="A2" s="24" t="s">
        <v>79</v>
      </c>
      <c r="B2" s="41" t="s">
        <v>80</v>
      </c>
      <c r="C2" s="41"/>
      <c r="D2" s="41"/>
      <c r="E2" s="41"/>
      <c r="F2" s="39" t="s">
        <v>111</v>
      </c>
      <c r="G2" s="39"/>
      <c r="H2" s="36" t="s">
        <v>112</v>
      </c>
      <c r="I2" s="37"/>
      <c r="K2" s="1"/>
      <c r="L2" s="19"/>
    </row>
    <row r="3" spans="1:12" ht="15.75" x14ac:dyDescent="0.25">
      <c r="A3" s="21" t="s">
        <v>55</v>
      </c>
      <c r="B3" s="20">
        <v>270</v>
      </c>
      <c r="C3" s="20" t="s">
        <v>1</v>
      </c>
      <c r="D3" s="20">
        <v>600</v>
      </c>
      <c r="E3" s="20" t="s">
        <v>1</v>
      </c>
      <c r="F3" s="6"/>
      <c r="G3" s="6"/>
      <c r="H3" s="6"/>
      <c r="I3" s="6"/>
      <c r="J3" s="1"/>
    </row>
    <row r="4" spans="1:12" ht="15.75" x14ac:dyDescent="0.25">
      <c r="A4" s="21" t="s">
        <v>56</v>
      </c>
      <c r="B4" s="20">
        <f>B3/2</f>
        <v>135</v>
      </c>
      <c r="C4" s="20" t="s">
        <v>1</v>
      </c>
      <c r="D4" s="20">
        <f>D3/2</f>
        <v>300</v>
      </c>
      <c r="E4" s="20" t="s">
        <v>1</v>
      </c>
      <c r="F4" s="6"/>
      <c r="G4" s="6"/>
      <c r="H4" s="6"/>
      <c r="I4" s="6"/>
    </row>
    <row r="5" spans="1:12" ht="15.75" x14ac:dyDescent="0.25">
      <c r="A5" s="21" t="s">
        <v>57</v>
      </c>
      <c r="B5" s="20">
        <v>42</v>
      </c>
      <c r="C5" s="20"/>
      <c r="D5" s="20">
        <v>78</v>
      </c>
      <c r="E5" s="20"/>
      <c r="F5" s="6"/>
      <c r="G5" s="6"/>
      <c r="H5" s="6"/>
      <c r="I5" s="6"/>
    </row>
    <row r="6" spans="1:12" ht="15.75" x14ac:dyDescent="0.25">
      <c r="A6" s="21" t="s">
        <v>75</v>
      </c>
      <c r="B6" s="20">
        <v>3</v>
      </c>
      <c r="C6" s="20" t="s">
        <v>1</v>
      </c>
      <c r="D6" s="20">
        <v>4.2</v>
      </c>
      <c r="E6" s="20" t="s">
        <v>1</v>
      </c>
      <c r="F6" s="6">
        <f>0.065*25.4</f>
        <v>1.651</v>
      </c>
      <c r="G6" s="20" t="s">
        <v>1</v>
      </c>
      <c r="H6" s="6">
        <f>0.065*25.4</f>
        <v>1.651</v>
      </c>
      <c r="I6" s="20" t="s">
        <v>1</v>
      </c>
    </row>
    <row r="7" spans="1:12" ht="15.75" x14ac:dyDescent="0.25">
      <c r="A7" s="21" t="s">
        <v>76</v>
      </c>
      <c r="B7" s="20">
        <v>3.4289999999999998</v>
      </c>
      <c r="C7" s="20" t="s">
        <v>1</v>
      </c>
      <c r="D7" s="20">
        <f>B7</f>
        <v>3.4289999999999998</v>
      </c>
      <c r="E7" s="20" t="s">
        <v>1</v>
      </c>
      <c r="F7" s="6">
        <f>D7</f>
        <v>3.4289999999999998</v>
      </c>
      <c r="G7" s="20" t="s">
        <v>1</v>
      </c>
      <c r="H7" s="6">
        <v>139.69999999999999</v>
      </c>
      <c r="I7" s="20" t="s">
        <v>1</v>
      </c>
    </row>
    <row r="8" spans="1:12" ht="18.75" x14ac:dyDescent="0.35">
      <c r="A8" s="21" t="s">
        <v>81</v>
      </c>
      <c r="B8" s="20">
        <v>2.5</v>
      </c>
      <c r="C8" s="20" t="s">
        <v>41</v>
      </c>
      <c r="D8" s="20">
        <f>B8</f>
        <v>2.5</v>
      </c>
      <c r="E8" s="20" t="s">
        <v>41</v>
      </c>
      <c r="F8" s="6">
        <v>3.5</v>
      </c>
      <c r="G8" s="20" t="s">
        <v>41</v>
      </c>
      <c r="H8" s="6">
        <v>5</v>
      </c>
      <c r="I8" s="20" t="s">
        <v>41</v>
      </c>
    </row>
    <row r="9" spans="1:12" ht="18.75" x14ac:dyDescent="0.35">
      <c r="A9" s="21" t="s">
        <v>81</v>
      </c>
      <c r="B9" s="20">
        <f>B8*60/12</f>
        <v>12.5</v>
      </c>
      <c r="C9" s="20" t="s">
        <v>42</v>
      </c>
      <c r="D9" s="20">
        <f>D8*60/12</f>
        <v>12.5</v>
      </c>
      <c r="E9" s="20" t="s">
        <v>42</v>
      </c>
      <c r="F9" s="20">
        <f>F8*60/12</f>
        <v>17.5</v>
      </c>
      <c r="G9" s="20" t="s">
        <v>42</v>
      </c>
      <c r="H9" s="20">
        <f>H8*60/12</f>
        <v>25</v>
      </c>
      <c r="I9" s="20" t="s">
        <v>42</v>
      </c>
    </row>
    <row r="10" spans="1:12" ht="18.75" x14ac:dyDescent="0.35">
      <c r="A10" s="21" t="s">
        <v>81</v>
      </c>
      <c r="B10" s="20">
        <f>B9*5.08</f>
        <v>63.5</v>
      </c>
      <c r="C10" s="20" t="s">
        <v>61</v>
      </c>
      <c r="D10" s="20">
        <f>D9*5.08</f>
        <v>63.5</v>
      </c>
      <c r="E10" s="20" t="s">
        <v>61</v>
      </c>
      <c r="F10" s="20">
        <f>F9*5.08</f>
        <v>88.9</v>
      </c>
      <c r="G10" s="20" t="s">
        <v>61</v>
      </c>
      <c r="H10" s="20">
        <f>H9*5.08</f>
        <v>127</v>
      </c>
      <c r="I10" s="20" t="s">
        <v>61</v>
      </c>
    </row>
    <row r="11" spans="1:12" ht="15.75" x14ac:dyDescent="0.25">
      <c r="A11" s="21" t="s">
        <v>62</v>
      </c>
      <c r="B11" s="20">
        <v>1800</v>
      </c>
      <c r="C11" s="20" t="s">
        <v>49</v>
      </c>
      <c r="D11" s="20">
        <v>1800</v>
      </c>
      <c r="E11" s="20" t="s">
        <v>49</v>
      </c>
      <c r="F11" s="6">
        <v>4160</v>
      </c>
      <c r="G11" s="23" t="s">
        <v>42</v>
      </c>
      <c r="H11" s="6">
        <v>4160</v>
      </c>
      <c r="I11" s="23" t="s">
        <v>42</v>
      </c>
    </row>
    <row r="12" spans="1:12" ht="15.75" x14ac:dyDescent="0.25">
      <c r="A12" s="21" t="s">
        <v>63</v>
      </c>
      <c r="B12" s="20">
        <f>(2*3.14*B4/60)*B11</f>
        <v>25434</v>
      </c>
      <c r="C12" s="20" t="s">
        <v>61</v>
      </c>
      <c r="D12" s="20">
        <f>(2*3.14*D4/60)*D11</f>
        <v>56520</v>
      </c>
      <c r="E12" s="20" t="s">
        <v>61</v>
      </c>
      <c r="F12" s="6">
        <f>F11*12*25.4/60</f>
        <v>21132.799999999999</v>
      </c>
      <c r="G12" s="20" t="s">
        <v>61</v>
      </c>
      <c r="H12" s="6">
        <f>H11*12*25.4/60</f>
        <v>21132.799999999999</v>
      </c>
      <c r="I12" s="20" t="s">
        <v>61</v>
      </c>
    </row>
    <row r="13" spans="1:12" ht="15.75" x14ac:dyDescent="0.25">
      <c r="A13" s="21" t="s">
        <v>64</v>
      </c>
      <c r="B13" s="20">
        <v>245</v>
      </c>
      <c r="C13" s="20" t="s">
        <v>65</v>
      </c>
      <c r="D13" s="20">
        <v>245</v>
      </c>
      <c r="E13" s="20" t="s">
        <v>65</v>
      </c>
      <c r="F13" s="6">
        <f>D13</f>
        <v>245</v>
      </c>
      <c r="G13" s="20" t="s">
        <v>65</v>
      </c>
      <c r="H13" s="6">
        <f>F67</f>
        <v>10.815789473684211</v>
      </c>
      <c r="I13" s="20" t="s">
        <v>65</v>
      </c>
    </row>
    <row r="14" spans="1:12" ht="15.75" x14ac:dyDescent="0.25">
      <c r="A14" s="21" t="s">
        <v>64</v>
      </c>
      <c r="B14" s="20">
        <f>B13*9.807</f>
        <v>2402.7150000000001</v>
      </c>
      <c r="C14" s="20" t="s">
        <v>51</v>
      </c>
      <c r="D14" s="20">
        <f>D13*9.807</f>
        <v>2402.7150000000001</v>
      </c>
      <c r="E14" s="20" t="s">
        <v>51</v>
      </c>
      <c r="F14" s="20">
        <f>F13*9.807</f>
        <v>2402.7150000000001</v>
      </c>
      <c r="G14" s="20" t="s">
        <v>51</v>
      </c>
      <c r="H14" s="20">
        <f>H13*9.807</f>
        <v>106.07044736842106</v>
      </c>
      <c r="I14" s="20" t="s">
        <v>51</v>
      </c>
    </row>
    <row r="15" spans="1:12" ht="15.75" x14ac:dyDescent="0.25">
      <c r="A15" s="21" t="s">
        <v>66</v>
      </c>
      <c r="B15" s="21">
        <f>B14*B6*B7*B10/B12</f>
        <v>61.709220119426746</v>
      </c>
      <c r="C15" s="21" t="s">
        <v>2</v>
      </c>
      <c r="D15" s="21">
        <f>D14*D6*D7*D10/D12</f>
        <v>38.876808675238856</v>
      </c>
      <c r="E15" s="21" t="s">
        <v>2</v>
      </c>
      <c r="F15" s="21">
        <f>F14*F6*F7*F10/F12</f>
        <v>57.221802768867185</v>
      </c>
      <c r="G15" s="21" t="s">
        <v>2</v>
      </c>
      <c r="H15" s="21">
        <f>H14*H6*H7*H10/H12</f>
        <v>147.02275548170229</v>
      </c>
      <c r="I15" s="21" t="s">
        <v>2</v>
      </c>
    </row>
    <row r="16" spans="1:12" ht="15.75" x14ac:dyDescent="0.25">
      <c r="A16" s="21" t="s">
        <v>66</v>
      </c>
      <c r="B16" s="21">
        <f>B15/4.448</f>
        <v>13.873475746273998</v>
      </c>
      <c r="C16" s="21" t="s">
        <v>67</v>
      </c>
      <c r="D16" s="21">
        <f>D15/4.448</f>
        <v>8.7402897201526191</v>
      </c>
      <c r="E16" s="21" t="s">
        <v>67</v>
      </c>
      <c r="F16" s="21">
        <f>F15/4.448</f>
        <v>12.864613931849636</v>
      </c>
      <c r="G16" s="21" t="s">
        <v>67</v>
      </c>
      <c r="H16" s="21">
        <f>H15/4.448</f>
        <v>33.053677041749616</v>
      </c>
      <c r="I16" s="21" t="s">
        <v>67</v>
      </c>
    </row>
    <row r="17" spans="1:13" ht="15.75" x14ac:dyDescent="0.25">
      <c r="A17" s="21" t="s">
        <v>52</v>
      </c>
      <c r="B17" s="21">
        <f>B15*B12/1000/746</f>
        <v>2.1039038934550938</v>
      </c>
      <c r="C17" s="21" t="s">
        <v>44</v>
      </c>
      <c r="D17" s="21">
        <f>D15*D12/1000/746</f>
        <v>2.9454654508371316</v>
      </c>
      <c r="E17" s="21" t="s">
        <v>44</v>
      </c>
      <c r="F17" s="21">
        <f>F15*F12/1000/746</f>
        <v>1.6209878197773677</v>
      </c>
      <c r="G17" s="21" t="s">
        <v>44</v>
      </c>
      <c r="H17" s="21">
        <f>H15*H12/1000/746</f>
        <v>4.1648826904071283</v>
      </c>
      <c r="I17" s="21" t="s">
        <v>44</v>
      </c>
    </row>
    <row r="18" spans="1:13" ht="15.75" x14ac:dyDescent="0.25">
      <c r="A18" s="22"/>
      <c r="B18" s="22"/>
      <c r="C18" s="22"/>
      <c r="D18" s="22"/>
      <c r="E18" s="22"/>
    </row>
    <row r="19" spans="1:13" ht="15.75" x14ac:dyDescent="0.25">
      <c r="A19" s="22"/>
      <c r="B19" s="22"/>
      <c r="C19" s="22"/>
      <c r="D19" s="22"/>
      <c r="E19" s="22"/>
    </row>
    <row r="20" spans="1:13" ht="15.75" x14ac:dyDescent="0.25">
      <c r="A20" s="22"/>
      <c r="B20" s="22"/>
      <c r="C20" s="22"/>
      <c r="D20" s="22"/>
      <c r="E20" s="22"/>
    </row>
    <row r="21" spans="1:13" ht="15.75" x14ac:dyDescent="0.25">
      <c r="A21" s="22"/>
      <c r="B21" s="22"/>
      <c r="C21" s="22"/>
      <c r="D21" s="22"/>
      <c r="E21" s="22"/>
    </row>
    <row r="22" spans="1:13" ht="15.75" x14ac:dyDescent="0.25">
      <c r="A22" s="22"/>
      <c r="B22" s="22"/>
      <c r="C22" s="22"/>
      <c r="D22" s="22"/>
      <c r="E22" s="22"/>
    </row>
    <row r="23" spans="1:13" ht="15.75" x14ac:dyDescent="0.25">
      <c r="A23" s="22"/>
      <c r="B23" s="22"/>
      <c r="C23" s="22"/>
      <c r="D23" s="22"/>
      <c r="E23" s="22"/>
    </row>
    <row r="24" spans="1:13" ht="15.75" x14ac:dyDescent="0.25">
      <c r="A24" s="22"/>
      <c r="B24" s="22"/>
      <c r="C24" s="22"/>
      <c r="D24" s="22"/>
      <c r="E24" s="22"/>
    </row>
    <row r="25" spans="1:13" ht="15.75" x14ac:dyDescent="0.25">
      <c r="A25" s="22"/>
      <c r="B25" s="22"/>
      <c r="C25" s="22"/>
      <c r="D25" s="22"/>
      <c r="E25" s="22"/>
    </row>
    <row r="26" spans="1:13" ht="15.75" x14ac:dyDescent="0.25">
      <c r="A26" s="22"/>
      <c r="B26" s="22"/>
      <c r="C26" s="22"/>
      <c r="D26" s="22"/>
      <c r="E26" s="22"/>
    </row>
    <row r="27" spans="1:13" ht="15.75" x14ac:dyDescent="0.25">
      <c r="A27" s="22"/>
      <c r="B27" s="22"/>
      <c r="C27" s="22"/>
      <c r="D27" s="22"/>
      <c r="E27" s="22"/>
    </row>
    <row r="28" spans="1:13" ht="15.75" x14ac:dyDescent="0.25">
      <c r="A28" s="22"/>
      <c r="B28" s="22"/>
      <c r="C28" s="22"/>
      <c r="D28" s="22"/>
      <c r="E28" s="22"/>
    </row>
    <row r="29" spans="1:13" ht="15.75" x14ac:dyDescent="0.25">
      <c r="A29" s="22"/>
      <c r="B29" s="22"/>
      <c r="C29" s="22"/>
      <c r="D29" s="22"/>
      <c r="E29" s="22"/>
    </row>
    <row r="30" spans="1:13" ht="15.75" x14ac:dyDescent="0.25">
      <c r="A30" s="22"/>
      <c r="B30" s="22"/>
      <c r="C30" s="22"/>
      <c r="D30" s="22"/>
      <c r="E30" s="22"/>
    </row>
    <row r="31" spans="1:13" ht="15.75" x14ac:dyDescent="0.25">
      <c r="A31" s="22"/>
      <c r="B31" s="22"/>
      <c r="C31" s="22"/>
      <c r="D31" s="22"/>
      <c r="E31" s="22"/>
      <c r="G31" s="19" t="s">
        <v>68</v>
      </c>
      <c r="K31" s="1"/>
      <c r="L31" s="1"/>
      <c r="M31" s="1"/>
    </row>
    <row r="32" spans="1:13" ht="15.75" x14ac:dyDescent="0.25">
      <c r="A32" s="22"/>
      <c r="B32" s="22"/>
      <c r="C32" s="22"/>
      <c r="D32" s="22"/>
      <c r="E32" s="22"/>
      <c r="G32" s="38" t="s">
        <v>64</v>
      </c>
      <c r="H32" s="38"/>
      <c r="I32" s="38"/>
      <c r="J32" s="38"/>
      <c r="K32" s="38"/>
      <c r="L32" s="38"/>
      <c r="M32" s="38"/>
    </row>
    <row r="37" spans="14:14" x14ac:dyDescent="0.25">
      <c r="N37" s="1"/>
    </row>
    <row r="62" spans="6:6" x14ac:dyDescent="0.25">
      <c r="F62" s="19" t="s">
        <v>93</v>
      </c>
    </row>
    <row r="65" spans="5:7" x14ac:dyDescent="0.25">
      <c r="E65" t="s">
        <v>96</v>
      </c>
      <c r="F65">
        <v>8.2200000000000006</v>
      </c>
      <c r="G65" t="s">
        <v>94</v>
      </c>
    </row>
    <row r="66" spans="5:7" x14ac:dyDescent="0.25">
      <c r="E66" t="s">
        <v>95</v>
      </c>
      <c r="F66">
        <v>0.76</v>
      </c>
      <c r="G66" t="s">
        <v>1</v>
      </c>
    </row>
    <row r="67" spans="5:7" x14ac:dyDescent="0.25">
      <c r="E67" t="s">
        <v>97</v>
      </c>
      <c r="F67">
        <f>F65/F66</f>
        <v>10.815789473684211</v>
      </c>
    </row>
  </sheetData>
  <mergeCells count="5">
    <mergeCell ref="G32:M32"/>
    <mergeCell ref="F2:G2"/>
    <mergeCell ref="A1:G1"/>
    <mergeCell ref="B2:E2"/>
    <mergeCell ref="H2:I2"/>
  </mergeCells>
  <hyperlinks>
    <hyperlink ref="L1" r:id="rId1" xr:uid="{1F7E754D-CE4C-489D-A396-17F8C1814C1A}"/>
    <hyperlink ref="F62" r:id="rId2" xr:uid="{06759D86-1941-4D9D-BF17-B4DC5DCACDAC}"/>
    <hyperlink ref="G31" r:id="rId3" xr:uid="{6329C42F-0702-4D75-AD93-ED5C6CD33A6D}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8B59-43AF-4064-9F44-9B53B101FA9C}">
  <dimension ref="A1:G34"/>
  <sheetViews>
    <sheetView workbookViewId="0">
      <selection sqref="A1:G1"/>
    </sheetView>
  </sheetViews>
  <sheetFormatPr defaultRowHeight="15" x14ac:dyDescent="0.25"/>
  <cols>
    <col min="1" max="1" width="37.85546875" bestFit="1" customWidth="1"/>
  </cols>
  <sheetData>
    <row r="1" spans="1:7" ht="15.75" x14ac:dyDescent="0.25">
      <c r="A1" s="42" t="s">
        <v>83</v>
      </c>
      <c r="B1" s="43"/>
      <c r="C1" s="43"/>
      <c r="D1" s="43"/>
      <c r="E1" s="43"/>
      <c r="F1" s="43"/>
      <c r="G1" s="43"/>
    </row>
    <row r="2" spans="1:7" ht="15.75" x14ac:dyDescent="0.25">
      <c r="A2" s="24" t="s">
        <v>79</v>
      </c>
      <c r="B2" s="41" t="s">
        <v>80</v>
      </c>
      <c r="C2" s="41"/>
      <c r="D2" s="41"/>
      <c r="E2" s="41"/>
      <c r="F2" s="39" t="s">
        <v>77</v>
      </c>
      <c r="G2" s="39"/>
    </row>
    <row r="3" spans="1:7" ht="15.75" x14ac:dyDescent="0.25">
      <c r="A3" s="20" t="s">
        <v>129</v>
      </c>
      <c r="B3" s="20">
        <v>270</v>
      </c>
      <c r="C3" s="20" t="s">
        <v>1</v>
      </c>
      <c r="D3" s="20">
        <v>600</v>
      </c>
      <c r="E3" s="20" t="s">
        <v>1</v>
      </c>
      <c r="F3" s="6">
        <f>31.8*25.4</f>
        <v>807.72</v>
      </c>
      <c r="G3" s="6" t="s">
        <v>1</v>
      </c>
    </row>
    <row r="4" spans="1:7" ht="15.75" x14ac:dyDescent="0.25">
      <c r="A4" s="20" t="s">
        <v>56</v>
      </c>
      <c r="B4" s="20">
        <f>B3/2</f>
        <v>135</v>
      </c>
      <c r="C4" s="20" t="s">
        <v>1</v>
      </c>
      <c r="D4" s="20">
        <f>D3/2</f>
        <v>300</v>
      </c>
      <c r="E4" s="20" t="s">
        <v>1</v>
      </c>
      <c r="F4" s="6">
        <f>F3/2</f>
        <v>403.86</v>
      </c>
      <c r="G4" s="6" t="s">
        <v>1</v>
      </c>
    </row>
    <row r="5" spans="1:7" ht="15.75" x14ac:dyDescent="0.25">
      <c r="A5" s="20" t="s">
        <v>57</v>
      </c>
      <c r="B5" s="20">
        <v>42</v>
      </c>
      <c r="C5" s="20"/>
      <c r="D5" s="20">
        <v>78</v>
      </c>
      <c r="E5" s="20"/>
      <c r="F5" s="6"/>
      <c r="G5" s="6"/>
    </row>
    <row r="6" spans="1:7" ht="15.75" x14ac:dyDescent="0.25">
      <c r="A6" s="20" t="s">
        <v>58</v>
      </c>
      <c r="B6" s="20">
        <v>3</v>
      </c>
      <c r="C6" s="20" t="s">
        <v>1</v>
      </c>
      <c r="D6" s="20">
        <v>4.2</v>
      </c>
      <c r="E6" s="20" t="s">
        <v>1</v>
      </c>
      <c r="F6" s="6">
        <f>0.065*25.4</f>
        <v>1.651</v>
      </c>
      <c r="G6" s="20" t="s">
        <v>1</v>
      </c>
    </row>
    <row r="7" spans="1:7" ht="15.75" x14ac:dyDescent="0.25">
      <c r="A7" s="20" t="s">
        <v>59</v>
      </c>
      <c r="B7" s="20">
        <f>'Circular&amp;Band Saw-Wood Research'!B7</f>
        <v>3.4289999999999998</v>
      </c>
      <c r="C7" s="20" t="s">
        <v>1</v>
      </c>
      <c r="D7" s="20">
        <f>B7</f>
        <v>3.4289999999999998</v>
      </c>
      <c r="E7" s="20" t="s">
        <v>1</v>
      </c>
      <c r="F7" s="6">
        <f>D7</f>
        <v>3.4289999999999998</v>
      </c>
      <c r="G7" s="20" t="s">
        <v>1</v>
      </c>
    </row>
    <row r="8" spans="1:7" ht="18.75" x14ac:dyDescent="0.35">
      <c r="A8" s="20" t="s">
        <v>60</v>
      </c>
      <c r="B8" s="20">
        <v>2.5</v>
      </c>
      <c r="C8" s="20" t="s">
        <v>41</v>
      </c>
      <c r="D8" s="20">
        <v>2.5</v>
      </c>
      <c r="E8" s="20" t="s">
        <v>41</v>
      </c>
      <c r="F8" s="6">
        <v>3.5</v>
      </c>
      <c r="G8" s="20" t="s">
        <v>41</v>
      </c>
    </row>
    <row r="9" spans="1:7" ht="18.75" x14ac:dyDescent="0.35">
      <c r="A9" s="20" t="s">
        <v>60</v>
      </c>
      <c r="B9" s="20">
        <f>B8*60/12</f>
        <v>12.5</v>
      </c>
      <c r="C9" s="20" t="s">
        <v>42</v>
      </c>
      <c r="D9" s="20">
        <f>D8*60/12</f>
        <v>12.5</v>
      </c>
      <c r="E9" s="20" t="s">
        <v>42</v>
      </c>
      <c r="F9" s="20">
        <f>F8*60/12</f>
        <v>17.5</v>
      </c>
      <c r="G9" s="20" t="s">
        <v>42</v>
      </c>
    </row>
    <row r="10" spans="1:7" ht="18.75" x14ac:dyDescent="0.35">
      <c r="A10" s="20" t="s">
        <v>60</v>
      </c>
      <c r="B10" s="20">
        <f>B9*5.08*60</f>
        <v>3810</v>
      </c>
      <c r="C10" s="20" t="s">
        <v>71</v>
      </c>
      <c r="D10" s="20">
        <f>D9*5.08*60</f>
        <v>3810</v>
      </c>
      <c r="E10" s="20" t="s">
        <v>71</v>
      </c>
      <c r="F10" s="20">
        <f>F9*5.08*60</f>
        <v>5334</v>
      </c>
      <c r="G10" s="20" t="s">
        <v>71</v>
      </c>
    </row>
    <row r="11" spans="1:7" ht="15.75" x14ac:dyDescent="0.25">
      <c r="A11" s="20" t="s">
        <v>128</v>
      </c>
      <c r="B11" s="20">
        <v>1800</v>
      </c>
      <c r="C11" s="20" t="s">
        <v>49</v>
      </c>
      <c r="D11" s="20">
        <v>1800</v>
      </c>
      <c r="E11" s="20" t="s">
        <v>49</v>
      </c>
      <c r="F11" s="6">
        <v>505</v>
      </c>
      <c r="G11" s="23" t="s">
        <v>49</v>
      </c>
    </row>
    <row r="12" spans="1:7" ht="15.75" x14ac:dyDescent="0.25">
      <c r="A12" s="20" t="s">
        <v>63</v>
      </c>
      <c r="B12" s="20">
        <f>3.14*B3*B11/1000</f>
        <v>1526.0400000000002</v>
      </c>
      <c r="C12" s="20" t="s">
        <v>69</v>
      </c>
      <c r="D12" s="20">
        <f>3.14*D3*D11/1000</f>
        <v>3391.2</v>
      </c>
      <c r="E12" s="20" t="s">
        <v>69</v>
      </c>
      <c r="F12" s="6">
        <f>3.14*F3*F11/1000</f>
        <v>1280.801604</v>
      </c>
      <c r="G12" s="20" t="s">
        <v>69</v>
      </c>
    </row>
    <row r="13" spans="1:7" ht="15.75" x14ac:dyDescent="0.25">
      <c r="A13" s="20" t="s">
        <v>64</v>
      </c>
      <c r="B13" s="20">
        <v>245</v>
      </c>
      <c r="C13" s="20" t="s">
        <v>65</v>
      </c>
      <c r="D13" s="20">
        <v>245</v>
      </c>
      <c r="E13" s="20" t="s">
        <v>65</v>
      </c>
      <c r="F13" s="6">
        <f>D13</f>
        <v>245</v>
      </c>
      <c r="G13" s="20" t="s">
        <v>65</v>
      </c>
    </row>
    <row r="14" spans="1:7" ht="15.75" x14ac:dyDescent="0.25">
      <c r="A14" s="20" t="s">
        <v>64</v>
      </c>
      <c r="B14" s="20">
        <f>B13*9.807</f>
        <v>2402.7150000000001</v>
      </c>
      <c r="C14" s="20" t="s">
        <v>51</v>
      </c>
      <c r="D14" s="20">
        <f>D13*9.807</f>
        <v>2402.7150000000001</v>
      </c>
      <c r="E14" s="20" t="s">
        <v>51</v>
      </c>
      <c r="F14" s="20">
        <f>F13*9.807</f>
        <v>2402.7150000000001</v>
      </c>
      <c r="G14" s="20" t="s">
        <v>51</v>
      </c>
    </row>
    <row r="15" spans="1:7" ht="15.75" x14ac:dyDescent="0.25">
      <c r="A15" s="20" t="s">
        <v>70</v>
      </c>
      <c r="B15" s="20">
        <f>B10/(B5*B11)</f>
        <v>5.0396825396825398E-2</v>
      </c>
      <c r="C15" s="20" t="s">
        <v>72</v>
      </c>
      <c r="D15" s="20">
        <f>D10/(D5*D11)</f>
        <v>2.7136752136752137E-2</v>
      </c>
      <c r="E15" s="20" t="s">
        <v>72</v>
      </c>
      <c r="F15" s="21"/>
      <c r="G15" s="21"/>
    </row>
    <row r="16" spans="1:7" ht="15.75" x14ac:dyDescent="0.25">
      <c r="A16" s="21" t="s">
        <v>73</v>
      </c>
      <c r="B16" s="21">
        <f>B13*B6*B15*B5*B11*B7/(6120000*0.75)</f>
        <v>2.0920261764705885</v>
      </c>
      <c r="C16" s="21" t="s">
        <v>74</v>
      </c>
      <c r="D16" s="21">
        <f>D13*D6*D15*D5*D11*D7/(6120000*0.75)</f>
        <v>2.9288366470588238</v>
      </c>
      <c r="E16" s="21" t="s">
        <v>74</v>
      </c>
      <c r="F16" s="21">
        <f>F13*F6*F10*F7/(6120000*0.75)</f>
        <v>1.6118364347647058</v>
      </c>
      <c r="G16" s="21" t="s">
        <v>74</v>
      </c>
    </row>
    <row r="17" spans="1:7" ht="15.75" x14ac:dyDescent="0.25">
      <c r="A17" s="21" t="s">
        <v>73</v>
      </c>
      <c r="B17" s="21">
        <f>B16*1000/746</f>
        <v>2.8043246333385903</v>
      </c>
      <c r="C17" s="21" t="s">
        <v>44</v>
      </c>
      <c r="D17" s="21">
        <f>D16*1000/746</f>
        <v>3.9260544866740266</v>
      </c>
      <c r="E17" s="21" t="s">
        <v>44</v>
      </c>
      <c r="F17" s="21">
        <f>F16*1000/746</f>
        <v>2.160638652499606</v>
      </c>
      <c r="G17" s="21" t="s">
        <v>44</v>
      </c>
    </row>
    <row r="18" spans="1:7" ht="15.75" x14ac:dyDescent="0.25">
      <c r="A18" s="21" t="s">
        <v>66</v>
      </c>
      <c r="B18" s="21">
        <f>B16*1000/(B12/60)</f>
        <v>82.253132675575529</v>
      </c>
      <c r="C18" s="21" t="s">
        <v>2</v>
      </c>
      <c r="D18" s="21">
        <f>D16*1000/(D12/60)</f>
        <v>51.819473585612599</v>
      </c>
      <c r="E18" s="21" t="s">
        <v>2</v>
      </c>
      <c r="F18" s="21">
        <f>F16*1000/(F12/60)</f>
        <v>75.507546042925128</v>
      </c>
      <c r="G18" s="21" t="s">
        <v>2</v>
      </c>
    </row>
    <row r="19" spans="1:7" ht="15.75" x14ac:dyDescent="0.25">
      <c r="A19" s="21" t="s">
        <v>66</v>
      </c>
      <c r="B19" s="21">
        <f>B18/4.448</f>
        <v>18.492161123106008</v>
      </c>
      <c r="C19" s="21" t="s">
        <v>8</v>
      </c>
      <c r="D19" s="21">
        <f>D18/4.448</f>
        <v>11.650061507556789</v>
      </c>
      <c r="E19" s="21" t="s">
        <v>8</v>
      </c>
      <c r="F19" s="21">
        <f>F18/4.448</f>
        <v>16.97561736576554</v>
      </c>
      <c r="G19" s="21" t="s">
        <v>8</v>
      </c>
    </row>
    <row r="20" spans="1:7" ht="15.75" x14ac:dyDescent="0.25">
      <c r="A20" s="22"/>
      <c r="B20" s="22"/>
      <c r="C20" s="22"/>
      <c r="D20" s="22"/>
      <c r="E20" s="22"/>
    </row>
    <row r="21" spans="1:7" ht="15.75" x14ac:dyDescent="0.25">
      <c r="A21" s="22"/>
      <c r="B21" s="22"/>
      <c r="C21" s="22"/>
      <c r="D21" s="22"/>
      <c r="E21" s="22"/>
    </row>
    <row r="22" spans="1:7" ht="15.75" x14ac:dyDescent="0.25">
      <c r="A22" s="22"/>
      <c r="B22" s="22"/>
      <c r="C22" s="22"/>
      <c r="D22" s="22"/>
      <c r="E22" s="22"/>
    </row>
    <row r="23" spans="1:7" ht="15.75" x14ac:dyDescent="0.25">
      <c r="A23" s="22"/>
      <c r="B23" s="22"/>
      <c r="C23" s="22"/>
      <c r="D23" s="22"/>
      <c r="E23" s="22"/>
    </row>
    <row r="24" spans="1:7" ht="15.75" x14ac:dyDescent="0.25">
      <c r="A24" s="22"/>
      <c r="B24" s="22"/>
      <c r="C24" s="22"/>
      <c r="D24" s="22"/>
      <c r="E24" s="22"/>
    </row>
    <row r="25" spans="1:7" ht="15.75" x14ac:dyDescent="0.25">
      <c r="A25" s="22"/>
      <c r="B25" s="22"/>
      <c r="C25" s="22"/>
      <c r="D25" s="22"/>
      <c r="E25" s="22"/>
    </row>
    <row r="26" spans="1:7" ht="15.75" x14ac:dyDescent="0.25">
      <c r="D26" s="22"/>
      <c r="E26" s="22"/>
    </row>
    <row r="27" spans="1:7" ht="15.75" x14ac:dyDescent="0.25">
      <c r="D27" s="22"/>
      <c r="E27" s="22"/>
    </row>
    <row r="34" spans="7:7" x14ac:dyDescent="0.25">
      <c r="G34" s="19" t="s">
        <v>68</v>
      </c>
    </row>
  </sheetData>
  <mergeCells count="3">
    <mergeCell ref="B2:E2"/>
    <mergeCell ref="F2:G2"/>
    <mergeCell ref="A1:G1"/>
  </mergeCells>
  <hyperlinks>
    <hyperlink ref="G34" r:id="rId1" xr:uid="{C5BFE784-3C6C-43D2-836B-6609A13D8C98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07F9-4CF5-4EAD-8FCD-BCD08518F90D}">
  <dimension ref="A1:D10"/>
  <sheetViews>
    <sheetView zoomScale="115" zoomScaleNormal="115" workbookViewId="0">
      <selection sqref="A1:C1"/>
    </sheetView>
  </sheetViews>
  <sheetFormatPr defaultRowHeight="15" x14ac:dyDescent="0.25"/>
  <cols>
    <col min="1" max="1" width="21.85546875" customWidth="1"/>
    <col min="4" max="4" width="20.85546875" customWidth="1"/>
  </cols>
  <sheetData>
    <row r="1" spans="1:4" x14ac:dyDescent="0.25">
      <c r="A1" s="44" t="s">
        <v>10</v>
      </c>
      <c r="B1" s="44"/>
      <c r="C1" s="44"/>
    </row>
    <row r="2" spans="1:4" ht="45" x14ac:dyDescent="0.25">
      <c r="A2" s="3" t="s">
        <v>34</v>
      </c>
      <c r="B2" s="4" t="s">
        <v>4</v>
      </c>
      <c r="C2" s="6">
        <v>2481.7427620068856</v>
      </c>
    </row>
    <row r="3" spans="1:4" x14ac:dyDescent="0.25">
      <c r="A3" s="3" t="s">
        <v>5</v>
      </c>
      <c r="B3" s="5" t="s">
        <v>6</v>
      </c>
      <c r="C3" s="6">
        <v>2.65</v>
      </c>
    </row>
    <row r="4" spans="1:4" x14ac:dyDescent="0.25">
      <c r="A4" s="3" t="s">
        <v>5</v>
      </c>
      <c r="B4" s="5" t="s">
        <v>7</v>
      </c>
      <c r="C4" s="6">
        <f>C3*12</f>
        <v>31.799999999999997</v>
      </c>
    </row>
    <row r="5" spans="1:4" x14ac:dyDescent="0.25">
      <c r="A5" s="3" t="s">
        <v>38</v>
      </c>
      <c r="B5" s="5" t="s">
        <v>7</v>
      </c>
      <c r="C5" s="6">
        <f>C4/2</f>
        <v>15.899999999999999</v>
      </c>
    </row>
    <row r="6" spans="1:4" ht="30" x14ac:dyDescent="0.25">
      <c r="A6" s="3" t="s">
        <v>11</v>
      </c>
      <c r="B6" s="7" t="s">
        <v>9</v>
      </c>
      <c r="C6" s="17">
        <f>C2/C5</f>
        <v>156.08445044068463</v>
      </c>
      <c r="D6" t="s">
        <v>35</v>
      </c>
    </row>
    <row r="10" spans="1:4" x14ac:dyDescent="0.25">
      <c r="A10" t="s">
        <v>33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BF4F1-4010-4F76-8A09-22E9AF561DB8}">
  <dimension ref="A1:I52"/>
  <sheetViews>
    <sheetView tabSelected="1" workbookViewId="0"/>
  </sheetViews>
  <sheetFormatPr defaultRowHeight="15" x14ac:dyDescent="0.25"/>
  <cols>
    <col min="1" max="1" width="29.5703125" bestFit="1" customWidth="1"/>
    <col min="5" max="5" width="5.7109375" customWidth="1"/>
  </cols>
  <sheetData>
    <row r="1" spans="1:9" x14ac:dyDescent="0.25">
      <c r="A1" s="8" t="s">
        <v>109</v>
      </c>
      <c r="B1" s="6">
        <f>'Circular&amp;Band Saw-Wood Research'!B7/25.4</f>
        <v>0.13500000000000001</v>
      </c>
      <c r="C1" s="8" t="s">
        <v>0</v>
      </c>
      <c r="D1" s="6">
        <f>B1</f>
        <v>0.13500000000000001</v>
      </c>
      <c r="E1" s="8" t="s">
        <v>0</v>
      </c>
      <c r="F1" s="6">
        <f>D1</f>
        <v>0.13500000000000001</v>
      </c>
      <c r="G1" s="8" t="s">
        <v>0</v>
      </c>
      <c r="H1" s="6">
        <f>F1</f>
        <v>0.13500000000000001</v>
      </c>
      <c r="I1" s="8" t="s">
        <v>0</v>
      </c>
    </row>
    <row r="2" spans="1:9" x14ac:dyDescent="0.25">
      <c r="A2" s="9" t="s">
        <v>108</v>
      </c>
      <c r="B2" s="6">
        <v>0.4</v>
      </c>
      <c r="C2" s="8"/>
      <c r="D2" s="6">
        <v>0.8</v>
      </c>
      <c r="E2" s="8"/>
      <c r="F2" s="6">
        <v>0.4</v>
      </c>
      <c r="G2" s="8"/>
      <c r="H2" s="6">
        <v>0.8</v>
      </c>
      <c r="I2" s="8"/>
    </row>
    <row r="3" spans="1:9" x14ac:dyDescent="0.25">
      <c r="A3" s="8" t="s">
        <v>105</v>
      </c>
      <c r="B3" s="6">
        <v>1</v>
      </c>
      <c r="C3" s="8" t="s">
        <v>0</v>
      </c>
      <c r="D3" s="6">
        <v>1</v>
      </c>
      <c r="E3" s="8" t="s">
        <v>0</v>
      </c>
      <c r="F3" s="6">
        <v>1</v>
      </c>
      <c r="G3" s="8" t="s">
        <v>0</v>
      </c>
      <c r="H3" s="6">
        <v>1</v>
      </c>
      <c r="I3" s="8" t="s">
        <v>0</v>
      </c>
    </row>
    <row r="4" spans="1:9" x14ac:dyDescent="0.25">
      <c r="A4" s="8" t="s">
        <v>113</v>
      </c>
      <c r="B4" s="6">
        <f>1380*B2^2.5*B1*B3*2</f>
        <v>37.704468997719637</v>
      </c>
      <c r="C4" s="8" t="s">
        <v>8</v>
      </c>
      <c r="D4" s="6">
        <f>1380*D2^2.5*D1*D3*2</f>
        <v>213.28868567460395</v>
      </c>
      <c r="E4" s="8" t="s">
        <v>8</v>
      </c>
      <c r="F4" s="6">
        <f>1380*F2^2.5*F1*F3*2</f>
        <v>37.704468997719637</v>
      </c>
      <c r="G4" s="8" t="s">
        <v>8</v>
      </c>
      <c r="H4" s="6">
        <f>1380*H2^2.5*H1*H3*2</f>
        <v>213.28868567460395</v>
      </c>
      <c r="I4" s="8" t="s">
        <v>8</v>
      </c>
    </row>
    <row r="5" spans="1:9" x14ac:dyDescent="0.25">
      <c r="A5" s="8" t="s">
        <v>98</v>
      </c>
      <c r="B5" s="6">
        <v>0.6</v>
      </c>
      <c r="C5" s="8"/>
      <c r="D5" s="6">
        <v>0.6</v>
      </c>
      <c r="E5" s="8"/>
      <c r="F5" s="6">
        <v>0.6</v>
      </c>
      <c r="G5" s="8"/>
      <c r="H5" s="6">
        <v>0.6</v>
      </c>
      <c r="I5" s="8"/>
    </row>
    <row r="6" spans="1:9" ht="30" x14ac:dyDescent="0.25">
      <c r="A6" s="9" t="s">
        <v>106</v>
      </c>
      <c r="B6" s="6">
        <v>6.56</v>
      </c>
      <c r="C6" s="8" t="s">
        <v>99</v>
      </c>
      <c r="D6" s="6">
        <v>20</v>
      </c>
      <c r="E6" s="8" t="s">
        <v>99</v>
      </c>
      <c r="F6" s="6">
        <f>4.76*2</f>
        <v>9.52</v>
      </c>
      <c r="G6" s="8" t="s">
        <v>99</v>
      </c>
      <c r="H6" s="6">
        <f>4.76*2</f>
        <v>9.52</v>
      </c>
      <c r="I6" s="8" t="s">
        <v>99</v>
      </c>
    </row>
    <row r="7" spans="1:9" x14ac:dyDescent="0.25">
      <c r="A7" s="8" t="s">
        <v>104</v>
      </c>
      <c r="B7" s="6">
        <f>B4/(1+B5*B5)</f>
        <v>27.723874263029149</v>
      </c>
      <c r="C7" s="8" t="s">
        <v>8</v>
      </c>
      <c r="D7" s="6">
        <f>D4/(1+D5*D5)</f>
        <v>156.8299159372088</v>
      </c>
      <c r="E7" s="8" t="s">
        <v>8</v>
      </c>
      <c r="F7" s="6">
        <f>F4/(1+F5*F5)</f>
        <v>27.723874263029149</v>
      </c>
      <c r="G7" s="8" t="s">
        <v>8</v>
      </c>
      <c r="H7" s="6">
        <f>H4/(1+H5*H5)</f>
        <v>156.8299159372088</v>
      </c>
      <c r="I7" s="8" t="s">
        <v>8</v>
      </c>
    </row>
    <row r="8" spans="1:9" x14ac:dyDescent="0.25">
      <c r="A8" s="8" t="s">
        <v>103</v>
      </c>
      <c r="B8" s="6">
        <f>B5*B7</f>
        <v>16.634324557817489</v>
      </c>
      <c r="C8" s="8" t="s">
        <v>8</v>
      </c>
      <c r="D8" s="6">
        <f>D5*D7</f>
        <v>94.097949562325269</v>
      </c>
      <c r="E8" s="8" t="s">
        <v>8</v>
      </c>
      <c r="F8" s="6">
        <f>F5*F7</f>
        <v>16.634324557817489</v>
      </c>
      <c r="G8" s="8" t="s">
        <v>8</v>
      </c>
      <c r="H8" s="6">
        <f>H5*H7</f>
        <v>94.097949562325269</v>
      </c>
      <c r="I8" s="8" t="s">
        <v>8</v>
      </c>
    </row>
    <row r="9" spans="1:9" x14ac:dyDescent="0.25">
      <c r="A9" s="8" t="s">
        <v>100</v>
      </c>
      <c r="B9" s="6">
        <f>B5*B4</f>
        <v>22.62268139863178</v>
      </c>
      <c r="C9" s="8" t="s">
        <v>8</v>
      </c>
      <c r="D9" s="6">
        <f>D5*D4</f>
        <v>127.97321140476237</v>
      </c>
      <c r="E9" s="8" t="s">
        <v>8</v>
      </c>
      <c r="F9" s="6">
        <f>F5*F4</f>
        <v>22.62268139863178</v>
      </c>
      <c r="G9" s="8" t="s">
        <v>8</v>
      </c>
      <c r="H9" s="6">
        <f>H5*H4</f>
        <v>127.97321140476237</v>
      </c>
      <c r="I9" s="8" t="s">
        <v>8</v>
      </c>
    </row>
    <row r="10" spans="1:9" x14ac:dyDescent="0.25">
      <c r="A10" s="8" t="s">
        <v>101</v>
      </c>
      <c r="B10" s="6">
        <f>B7/(COS(RADIANS(B6))+B5*SIN(RADIANS(B6)))</f>
        <v>26.105369169036418</v>
      </c>
      <c r="C10" s="8" t="s">
        <v>8</v>
      </c>
      <c r="D10" s="6">
        <f>D7/(COS(RADIANS(D6))+D5*SIN(RADIANS(D6)))</f>
        <v>136.98075919183478</v>
      </c>
      <c r="E10" s="8" t="s">
        <v>8</v>
      </c>
      <c r="F10" s="6">
        <f>F7/(COS(RADIANS(F6))+F5*SIN(RADIANS(F6)))</f>
        <v>25.541057496680391</v>
      </c>
      <c r="G10" s="8" t="s">
        <v>8</v>
      </c>
      <c r="H10" s="6">
        <f>H7/(COS(RADIANS(H6))+H5*SIN(RADIANS(H6)))</f>
        <v>144.48203963662561</v>
      </c>
      <c r="I10" s="8" t="s">
        <v>8</v>
      </c>
    </row>
    <row r="11" spans="1:9" x14ac:dyDescent="0.25">
      <c r="A11" s="8" t="s">
        <v>102</v>
      </c>
      <c r="B11" s="6">
        <f>B5*B10+B5*B10*COS(RADIANS(B6))-B5*B10*COS(RADIANS(B6))</f>
        <v>15.663221501421848</v>
      </c>
      <c r="C11" s="8" t="s">
        <v>8</v>
      </c>
      <c r="D11" s="6">
        <f>D5*D10+D5*D10*COS(RADIANS(D6))-D5*D10*COS(RADIANS(D6))</f>
        <v>82.18845551510087</v>
      </c>
      <c r="E11" s="8" t="s">
        <v>8</v>
      </c>
      <c r="F11" s="6">
        <f>F5*F10+F5*F10*COS(RADIANS(F6))-F5*F10*COS(RADIANS(F6))</f>
        <v>15.324634498008233</v>
      </c>
      <c r="G11" s="8" t="s">
        <v>8</v>
      </c>
      <c r="H11" s="6">
        <f>H5*H10+H5*H10*COS(RADIANS(H6))-H5*H10*COS(RADIANS(H6))</f>
        <v>86.689223781975386</v>
      </c>
      <c r="I11" s="8" t="s">
        <v>8</v>
      </c>
    </row>
    <row r="12" spans="1:9" x14ac:dyDescent="0.25">
      <c r="F12" s="34" t="s">
        <v>137</v>
      </c>
      <c r="G12" s="1"/>
      <c r="H12" s="34" t="s">
        <v>136</v>
      </c>
    </row>
    <row r="52" spans="6:6" x14ac:dyDescent="0.25">
      <c r="F52" t="s">
        <v>107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CFDB-A7D7-4772-9DE1-30B277CA696B}">
  <dimension ref="A1:I7"/>
  <sheetViews>
    <sheetView workbookViewId="0">
      <selection sqref="A1:G1"/>
    </sheetView>
  </sheetViews>
  <sheetFormatPr defaultRowHeight="15" x14ac:dyDescent="0.25"/>
  <cols>
    <col min="1" max="1" width="14.7109375" customWidth="1"/>
    <col min="5" max="5" width="23.42578125" customWidth="1"/>
    <col min="6" max="6" width="16.5703125" customWidth="1"/>
    <col min="7" max="7" width="18.28515625" customWidth="1"/>
    <col min="8" max="8" width="10.140625" customWidth="1"/>
  </cols>
  <sheetData>
    <row r="1" spans="1:9" ht="18.75" x14ac:dyDescent="0.3">
      <c r="A1" s="45" t="s">
        <v>36</v>
      </c>
      <c r="B1" s="45"/>
      <c r="C1" s="45"/>
      <c r="D1" s="45"/>
      <c r="E1" s="45"/>
      <c r="F1" s="45"/>
      <c r="G1" s="45"/>
    </row>
    <row r="2" spans="1:9" ht="49.15" customHeight="1" x14ac:dyDescent="0.25">
      <c r="A2" s="46" t="s">
        <v>13</v>
      </c>
      <c r="B2" s="46" t="s">
        <v>15</v>
      </c>
      <c r="C2" s="48" t="s">
        <v>16</v>
      </c>
      <c r="D2" s="48" t="s">
        <v>14</v>
      </c>
      <c r="E2" s="10" t="s">
        <v>17</v>
      </c>
      <c r="F2" s="10" t="s">
        <v>18</v>
      </c>
      <c r="G2" s="10" t="s">
        <v>37</v>
      </c>
    </row>
    <row r="3" spans="1:9" ht="21.6" customHeight="1" x14ac:dyDescent="0.25">
      <c r="A3" s="47"/>
      <c r="B3" s="47"/>
      <c r="C3" s="49"/>
      <c r="D3" s="49"/>
      <c r="E3" s="11" t="s">
        <v>19</v>
      </c>
      <c r="F3" s="11" t="s">
        <v>20</v>
      </c>
      <c r="G3" s="11" t="s">
        <v>21</v>
      </c>
    </row>
    <row r="4" spans="1:9" x14ac:dyDescent="0.25">
      <c r="A4" s="12" t="s">
        <v>22</v>
      </c>
      <c r="B4" s="11" t="s">
        <v>23</v>
      </c>
      <c r="C4" s="7" t="s">
        <v>24</v>
      </c>
      <c r="D4" s="7">
        <v>70</v>
      </c>
      <c r="E4" s="13">
        <f>0.5*D4*D5*D5/32.174</f>
        <v>6.7989681108969982E-2</v>
      </c>
      <c r="F4" s="14">
        <f>D7*SQRT(D6)</f>
        <v>0.01</v>
      </c>
      <c r="G4" s="13">
        <f>E4/F4</f>
        <v>6.7989681108969977</v>
      </c>
      <c r="H4">
        <f>0.0044*G4</f>
        <v>2.9915459687946792E-2</v>
      </c>
      <c r="I4" t="s">
        <v>12</v>
      </c>
    </row>
    <row r="5" spans="1:9" x14ac:dyDescent="0.25">
      <c r="A5" s="12" t="s">
        <v>25</v>
      </c>
      <c r="B5" s="11" t="s">
        <v>26</v>
      </c>
      <c r="C5" s="7" t="s">
        <v>27</v>
      </c>
      <c r="D5" s="15">
        <v>0.25</v>
      </c>
      <c r="E5" s="11"/>
      <c r="F5" s="11"/>
      <c r="G5" s="11"/>
    </row>
    <row r="6" spans="1:9" ht="30" x14ac:dyDescent="0.25">
      <c r="A6" s="12" t="s">
        <v>28</v>
      </c>
      <c r="B6" s="11" t="s">
        <v>29</v>
      </c>
      <c r="C6" s="7" t="s">
        <v>32</v>
      </c>
      <c r="D6" s="7">
        <v>0.25</v>
      </c>
      <c r="E6" s="11"/>
      <c r="F6" s="11"/>
      <c r="G6" s="11"/>
    </row>
    <row r="7" spans="1:9" ht="30" x14ac:dyDescent="0.25">
      <c r="A7" s="12" t="s">
        <v>30</v>
      </c>
      <c r="B7" s="11" t="s">
        <v>31</v>
      </c>
      <c r="C7" s="7"/>
      <c r="D7" s="16">
        <v>0.02</v>
      </c>
      <c r="E7" s="11"/>
      <c r="F7" s="11"/>
      <c r="G7" s="11"/>
    </row>
  </sheetData>
  <mergeCells count="5">
    <mergeCell ref="A1:G1"/>
    <mergeCell ref="A2:A3"/>
    <mergeCell ref="B2:B3"/>
    <mergeCell ref="C2:C3"/>
    <mergeCell ref="D2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D609-44A9-4969-83F1-2A0AD77EA4A4}">
  <dimension ref="B3:O38"/>
  <sheetViews>
    <sheetView workbookViewId="0"/>
  </sheetViews>
  <sheetFormatPr defaultRowHeight="15" x14ac:dyDescent="0.25"/>
  <cols>
    <col min="2" max="2" width="14.85546875" bestFit="1" customWidth="1"/>
    <col min="3" max="3" width="12" bestFit="1" customWidth="1"/>
    <col min="4" max="4" width="11.7109375" bestFit="1" customWidth="1"/>
    <col min="5" max="5" width="12" bestFit="1" customWidth="1"/>
    <col min="6" max="6" width="10.28515625" bestFit="1" customWidth="1"/>
    <col min="7" max="7" width="12" bestFit="1" customWidth="1"/>
    <col min="8" max="8" width="20.28515625" bestFit="1" customWidth="1"/>
    <col min="11" max="11" width="15.7109375" bestFit="1" customWidth="1"/>
    <col min="14" max="14" width="19.5703125" bestFit="1" customWidth="1"/>
  </cols>
  <sheetData>
    <row r="3" spans="2:8" x14ac:dyDescent="0.25">
      <c r="B3" s="6"/>
      <c r="C3" s="39" t="s">
        <v>90</v>
      </c>
      <c r="D3" s="39"/>
      <c r="E3" s="39" t="s">
        <v>91</v>
      </c>
      <c r="F3" s="39"/>
      <c r="G3" s="39" t="s">
        <v>92</v>
      </c>
      <c r="H3" s="39"/>
    </row>
    <row r="4" spans="2:8" x14ac:dyDescent="0.25">
      <c r="B4" s="8" t="s">
        <v>85</v>
      </c>
      <c r="C4" s="6">
        <v>18</v>
      </c>
      <c r="D4" s="6" t="s">
        <v>0</v>
      </c>
      <c r="E4" s="6">
        <f>23.62204724</f>
        <v>23.622047240000001</v>
      </c>
      <c r="F4" s="6" t="s">
        <v>0</v>
      </c>
      <c r="G4" s="6">
        <f>10.62992126</f>
        <v>10.62992126</v>
      </c>
      <c r="H4" s="6" t="s">
        <v>0</v>
      </c>
    </row>
    <row r="5" spans="2:8" x14ac:dyDescent="0.25">
      <c r="B5" s="8" t="s">
        <v>88</v>
      </c>
      <c r="C5" s="6">
        <v>70</v>
      </c>
      <c r="D5" s="6"/>
      <c r="E5" s="6">
        <v>78</v>
      </c>
      <c r="F5" s="6"/>
      <c r="G5" s="6">
        <v>42</v>
      </c>
      <c r="H5" s="6"/>
    </row>
    <row r="6" spans="2:8" x14ac:dyDescent="0.25">
      <c r="B6" s="8" t="s">
        <v>82</v>
      </c>
      <c r="C6" s="6">
        <v>1330</v>
      </c>
      <c r="D6" s="6" t="s">
        <v>49</v>
      </c>
      <c r="E6" s="6">
        <v>1800</v>
      </c>
      <c r="F6" s="6" t="s">
        <v>49</v>
      </c>
      <c r="G6" s="6">
        <v>1800</v>
      </c>
      <c r="H6" s="6" t="s">
        <v>49</v>
      </c>
    </row>
    <row r="7" spans="2:8" x14ac:dyDescent="0.25">
      <c r="B7" s="8" t="s">
        <v>84</v>
      </c>
      <c r="C7" s="6">
        <f>C4*3.14*C6/12</f>
        <v>6264.3</v>
      </c>
      <c r="D7" s="6" t="s">
        <v>42</v>
      </c>
      <c r="E7" s="6">
        <f>E4*3.14*E6/12</f>
        <v>11125.984250040003</v>
      </c>
      <c r="F7" s="6" t="s">
        <v>42</v>
      </c>
      <c r="G7" s="6">
        <f>G4*3.14*G6/12</f>
        <v>5006.6929134600005</v>
      </c>
      <c r="H7" s="6" t="s">
        <v>42</v>
      </c>
    </row>
    <row r="8" spans="2:8" x14ac:dyDescent="0.25">
      <c r="B8" s="8" t="s">
        <v>86</v>
      </c>
      <c r="C8" s="6">
        <v>10</v>
      </c>
      <c r="D8" s="6" t="s">
        <v>42</v>
      </c>
      <c r="E8" s="6">
        <v>12.5</v>
      </c>
      <c r="F8" s="6" t="s">
        <v>42</v>
      </c>
      <c r="G8" s="6">
        <v>12.5</v>
      </c>
      <c r="H8" s="6" t="s">
        <v>42</v>
      </c>
    </row>
    <row r="9" spans="2:8" x14ac:dyDescent="0.25">
      <c r="B9" s="8" t="s">
        <v>87</v>
      </c>
      <c r="C9" s="6">
        <f>C8*12/(C6*C5)</f>
        <v>1.2889366272824919E-3</v>
      </c>
      <c r="D9" s="6" t="s">
        <v>89</v>
      </c>
      <c r="E9" s="6">
        <f>E8*12/(E6*E5)</f>
        <v>1.0683760683760685E-3</v>
      </c>
      <c r="F9" s="6" t="s">
        <v>89</v>
      </c>
      <c r="G9" s="6">
        <f>G8*12/(G6*G5)</f>
        <v>1.984126984126984E-3</v>
      </c>
      <c r="H9" s="6" t="s">
        <v>89</v>
      </c>
    </row>
    <row r="16" spans="2:8" ht="18.75" x14ac:dyDescent="0.3">
      <c r="E16" s="31" t="s">
        <v>135</v>
      </c>
    </row>
    <row r="18" spans="2:15" x14ac:dyDescent="0.25">
      <c r="B18" s="6"/>
      <c r="C18" s="39" t="s">
        <v>90</v>
      </c>
      <c r="D18" s="39"/>
      <c r="E18" s="39" t="s">
        <v>91</v>
      </c>
      <c r="F18" s="39"/>
      <c r="G18" s="39" t="s">
        <v>92</v>
      </c>
      <c r="H18" s="39"/>
    </row>
    <row r="19" spans="2:15" x14ac:dyDescent="0.25">
      <c r="B19" s="8" t="s">
        <v>85</v>
      </c>
      <c r="C19" s="6">
        <v>18</v>
      </c>
      <c r="D19" s="27" t="s">
        <v>0</v>
      </c>
      <c r="E19" s="6">
        <f>E4</f>
        <v>23.622047240000001</v>
      </c>
      <c r="F19" s="27" t="s">
        <v>0</v>
      </c>
      <c r="G19" s="6">
        <f>G4</f>
        <v>10.62992126</v>
      </c>
      <c r="H19" s="27" t="s">
        <v>0</v>
      </c>
    </row>
    <row r="20" spans="2:15" x14ac:dyDescent="0.25">
      <c r="B20" s="8" t="s">
        <v>88</v>
      </c>
      <c r="C20" s="6">
        <v>70</v>
      </c>
      <c r="D20" s="27"/>
      <c r="E20" s="6">
        <v>120</v>
      </c>
      <c r="F20" s="27"/>
      <c r="G20" s="6">
        <v>42</v>
      </c>
      <c r="H20" s="27"/>
    </row>
    <row r="21" spans="2:15" x14ac:dyDescent="0.25">
      <c r="B21" s="8" t="s">
        <v>82</v>
      </c>
      <c r="C21" s="6">
        <v>1330</v>
      </c>
      <c r="D21" s="27" t="s">
        <v>49</v>
      </c>
      <c r="E21" s="6">
        <v>1000</v>
      </c>
      <c r="F21" s="27" t="s">
        <v>49</v>
      </c>
      <c r="G21" s="6">
        <v>2857</v>
      </c>
      <c r="H21" s="27" t="s">
        <v>49</v>
      </c>
    </row>
    <row r="22" spans="2:15" x14ac:dyDescent="0.25">
      <c r="B22" s="8" t="s">
        <v>84</v>
      </c>
      <c r="C22" s="6">
        <f>C19*3.14*C21/12</f>
        <v>6264.3</v>
      </c>
      <c r="D22" s="27" t="s">
        <v>42</v>
      </c>
      <c r="E22" s="6">
        <f>E19*3.14*E21/12</f>
        <v>6181.1023611333339</v>
      </c>
      <c r="F22" s="27" t="s">
        <v>42</v>
      </c>
      <c r="G22" s="6">
        <f>G19*3.14*G21/12</f>
        <v>7946.734252086233</v>
      </c>
      <c r="H22" s="27" t="s">
        <v>42</v>
      </c>
    </row>
    <row r="23" spans="2:15" x14ac:dyDescent="0.25">
      <c r="B23" s="8" t="s">
        <v>86</v>
      </c>
      <c r="C23" s="6">
        <v>10</v>
      </c>
      <c r="D23" s="27" t="s">
        <v>42</v>
      </c>
      <c r="E23" s="6">
        <v>12.5</v>
      </c>
      <c r="F23" s="27" t="s">
        <v>42</v>
      </c>
      <c r="G23" s="6">
        <v>12.5</v>
      </c>
      <c r="H23" s="27" t="s">
        <v>42</v>
      </c>
    </row>
    <row r="24" spans="2:15" x14ac:dyDescent="0.25">
      <c r="B24" s="8" t="s">
        <v>87</v>
      </c>
      <c r="C24" s="6">
        <f>C23*12/(C21*C20)</f>
        <v>1.2889366272824919E-3</v>
      </c>
      <c r="D24" s="27" t="s">
        <v>89</v>
      </c>
      <c r="E24" s="6">
        <f>E23*12/(E21*E20)</f>
        <v>1.25E-3</v>
      </c>
      <c r="F24" s="27" t="s">
        <v>89</v>
      </c>
      <c r="G24" s="6">
        <f>G23*12/(G21*G20)</f>
        <v>1.2500625031251563E-3</v>
      </c>
      <c r="H24" s="27" t="s">
        <v>89</v>
      </c>
    </row>
    <row r="30" spans="2:15" x14ac:dyDescent="0.25">
      <c r="B30" s="6"/>
      <c r="C30" s="39" t="s">
        <v>118</v>
      </c>
      <c r="D30" s="39"/>
      <c r="H30" t="s">
        <v>119</v>
      </c>
      <c r="I30">
        <v>30</v>
      </c>
      <c r="J30" t="s">
        <v>32</v>
      </c>
      <c r="K30" t="s">
        <v>119</v>
      </c>
      <c r="L30">
        <v>30</v>
      </c>
      <c r="N30" t="s">
        <v>122</v>
      </c>
      <c r="O30">
        <v>1765</v>
      </c>
    </row>
    <row r="31" spans="2:15" x14ac:dyDescent="0.25">
      <c r="B31" s="8" t="s">
        <v>85</v>
      </c>
      <c r="C31" s="6">
        <v>31.8</v>
      </c>
      <c r="D31" s="32" t="s">
        <v>0</v>
      </c>
      <c r="H31" t="s">
        <v>119</v>
      </c>
      <c r="I31">
        <f>30*12</f>
        <v>360</v>
      </c>
      <c r="J31" t="s">
        <v>0</v>
      </c>
      <c r="K31" t="s">
        <v>119</v>
      </c>
      <c r="L31">
        <f>30*12</f>
        <v>360</v>
      </c>
      <c r="N31" t="s">
        <v>123</v>
      </c>
      <c r="O31">
        <v>3.49</v>
      </c>
    </row>
    <row r="32" spans="2:15" x14ac:dyDescent="0.25">
      <c r="B32" s="8" t="s">
        <v>130</v>
      </c>
      <c r="C32" s="6">
        <f>I38</f>
        <v>649.03800000000001</v>
      </c>
      <c r="D32" s="32" t="s">
        <v>127</v>
      </c>
      <c r="H32" t="s">
        <v>120</v>
      </c>
      <c r="I32">
        <v>5</v>
      </c>
      <c r="K32" t="s">
        <v>120</v>
      </c>
      <c r="L32">
        <v>8</v>
      </c>
      <c r="N32" t="s">
        <v>124</v>
      </c>
      <c r="O32">
        <f>O30/O31</f>
        <v>505.73065902578793</v>
      </c>
    </row>
    <row r="33" spans="2:13" x14ac:dyDescent="0.25">
      <c r="B33" s="8" t="s">
        <v>82</v>
      </c>
      <c r="C33" s="6">
        <f>O32</f>
        <v>505.73065902578793</v>
      </c>
      <c r="D33" s="32" t="s">
        <v>49</v>
      </c>
      <c r="H33" t="s">
        <v>121</v>
      </c>
      <c r="I33">
        <f>I31*I32</f>
        <v>1800</v>
      </c>
      <c r="K33" t="s">
        <v>121</v>
      </c>
      <c r="L33">
        <f>L31*L32</f>
        <v>2880</v>
      </c>
    </row>
    <row r="34" spans="2:13" x14ac:dyDescent="0.25">
      <c r="B34" s="8" t="s">
        <v>84</v>
      </c>
      <c r="C34" s="6">
        <f>C31*3.14*C33/12</f>
        <v>4208.1848137535817</v>
      </c>
      <c r="D34" s="32" t="s">
        <v>42</v>
      </c>
    </row>
    <row r="35" spans="2:13" x14ac:dyDescent="0.25">
      <c r="B35" s="8" t="s">
        <v>86</v>
      </c>
      <c r="C35" s="6">
        <f>L38/12</f>
        <v>17.5</v>
      </c>
      <c r="D35" s="32" t="s">
        <v>42</v>
      </c>
      <c r="H35" t="s">
        <v>131</v>
      </c>
      <c r="I35">
        <f>(I33+L33)/2</f>
        <v>2340</v>
      </c>
    </row>
    <row r="36" spans="2:13" x14ac:dyDescent="0.25">
      <c r="B36" s="8" t="s">
        <v>87</v>
      </c>
      <c r="C36" s="33">
        <f>C35*12/(C33*C32)</f>
        <v>6.3977886225634426E-4</v>
      </c>
      <c r="D36" s="32" t="s">
        <v>89</v>
      </c>
      <c r="H36" t="s">
        <v>132</v>
      </c>
      <c r="I36">
        <f>I35/I30</f>
        <v>78</v>
      </c>
    </row>
    <row r="37" spans="2:13" x14ac:dyDescent="0.25">
      <c r="H37" t="s">
        <v>133</v>
      </c>
      <c r="I37">
        <f>(C31*3.14)/12</f>
        <v>8.3209999999999997</v>
      </c>
      <c r="K37" t="s">
        <v>50</v>
      </c>
      <c r="L37">
        <v>3.5</v>
      </c>
      <c r="M37" t="s">
        <v>125</v>
      </c>
    </row>
    <row r="38" spans="2:13" x14ac:dyDescent="0.25">
      <c r="H38" t="s">
        <v>134</v>
      </c>
      <c r="I38">
        <f>I36*I37</f>
        <v>649.03800000000001</v>
      </c>
      <c r="L38">
        <f>L37*60</f>
        <v>210</v>
      </c>
      <c r="M38" t="s">
        <v>126</v>
      </c>
    </row>
  </sheetData>
  <mergeCells count="7">
    <mergeCell ref="C30:D30"/>
    <mergeCell ref="C3:D3"/>
    <mergeCell ref="E3:F3"/>
    <mergeCell ref="G3:H3"/>
    <mergeCell ref="C18:D18"/>
    <mergeCell ref="E18:F18"/>
    <mergeCell ref="G18:H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Cutting Force</vt:lpstr>
      <vt:lpstr>Circular&amp;Band Saw-Wood Research</vt:lpstr>
      <vt:lpstr>Circular &amp; Band Saw-Milling GD</vt:lpstr>
      <vt:lpstr>Blade Force</vt:lpstr>
      <vt:lpstr>Disc Wedge Force</vt:lpstr>
      <vt:lpstr>Impact Force</vt:lpstr>
      <vt:lpstr>Tooth Chip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PAND-2</dc:creator>
  <cp:lastModifiedBy>Ken Hess</cp:lastModifiedBy>
  <dcterms:created xsi:type="dcterms:W3CDTF">2021-02-08T09:55:43Z</dcterms:created>
  <dcterms:modified xsi:type="dcterms:W3CDTF">2022-08-22T08:50:43Z</dcterms:modified>
</cp:coreProperties>
</file>