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SK C" sheetId="2" r:id="rId5"/>
    <sheet state="visible" name="TASK B2" sheetId="3" r:id="rId6"/>
    <sheet state="visible" name="TASK B1" sheetId="4" r:id="rId7"/>
    <sheet state="visible" name="TASK A" sheetId="5" r:id="rId8"/>
    <sheet state="visible" name="TASK D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eK+KCSC6Rx6Pyxqfvh6KRsFR1oDtleLjJtSLUUPZ2zE="/>
    </ext>
  </extLst>
</workbook>
</file>

<file path=xl/sharedStrings.xml><?xml version="1.0" encoding="utf-8"?>
<sst xmlns="http://schemas.openxmlformats.org/spreadsheetml/2006/main" count="162" uniqueCount="45">
  <si>
    <t>Grad Year</t>
  </si>
  <si>
    <t>Programme</t>
  </si>
  <si>
    <t>COUNTA of Name</t>
  </si>
  <si>
    <t>Ph.D</t>
  </si>
  <si>
    <t>1989 Total</t>
  </si>
  <si>
    <t>M.Tech</t>
  </si>
  <si>
    <t>1991 Total</t>
  </si>
  <si>
    <t>1992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</si>
  <si>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</si>
  <si>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</si>
  <si>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</si>
  <si>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</si>
  <si>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</si>
  <si>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</si>
  <si>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</si>
  <si>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</si>
  <si>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</si>
  <si>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</si>
  <si>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</si>
  <si>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</si>
  <si>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</si>
  <si>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</si>
  <si>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</si>
  <si>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</si>
  <si>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</si>
  <si>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</si>
  <si>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M.Sc</t>
  </si>
  <si>
    <t>2012 Total</t>
  </si>
  <si>
    <t>2013 Total</t>
  </si>
  <si>
    <t>2014 Total</t>
  </si>
  <si>
    <t>2015 Total</t>
  </si>
  <si>
    <t>M.Sc-M.Phil</t>
  </si>
  <si>
    <t>M.Sc-Ph.D</t>
  </si>
  <si>
    <t>2016 Total</t>
  </si>
  <si>
    <t>2017 Total</t>
  </si>
  <si>
    <t>2018 Total</t>
  </si>
  <si>
    <t>PGDIIT</t>
  </si>
  <si>
    <t>2019 Total</t>
  </si>
  <si>
    <t>2020 Total</t>
  </si>
  <si>
    <t>IDDDP</t>
  </si>
  <si>
    <t>M.Tech+Ph.D</t>
  </si>
  <si>
    <t>2021 Total</t>
  </si>
  <si>
    <t>2022 Total</t>
  </si>
  <si>
    <t>Grand Total</t>
  </si>
  <si>
    <t>COUNTUNIQUE of Grad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</si>
</sst>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73" sheet="Sheet1"/>
  </cacheSource>
  <cacheFields>
    <cacheField name="Name" numFmtId="0">
      <sharedItems>
        <s v="Sunil Hari Kahalekar"/>
        <s v="Pandit Ashish Anilkumar"/>
        <s v="Tejal Topre"/>
        <s v="Mayank Seth"/>
        <s v="Shubham Bhasin"/>
        <s v="Mohammad Sikander Khan"/>
        <s v="Rishabh Kumar"/>
        <s v="Mulla Dada Khalandar"/>
        <s v="Konge Utkarsh Vasudev"/>
        <s v="Harshit Kumar"/>
        <s v="Kshitij Agrawal"/>
        <s v="Naik Chinmay Sandeep"/>
        <s v="Kshitij Kushwaha"/>
        <s v="Amit Gadekar"/>
        <s v="Amit Kumar Seth"/>
        <s v="Abijith P Y"/>
        <s v="Menon Sajith Babu Shreedharan"/>
        <s v="Zubeen Kishore Borkar"/>
        <s v="Arvind Kumar"/>
        <s v="Bikram Majumdar"/>
        <s v="Gaikwad Sandesh Bhaskar"/>
        <s v="Nayunipati Sai Krishna"/>
        <s v="Ankita Prasad"/>
        <s v="Siyote Anand Satpal Dharamvati"/>
        <s v="Saurabh Adhikary"/>
        <s v="Mahim Katiha"/>
        <s v="Shubham Chaudhary"/>
        <s v="Neeraj Kumar Bhargava"/>
        <s v="Abhishek Narayan Chaudhury"/>
        <s v="Ms. Reena Meena"/>
        <s v="Ms. Chesta Pahuja"/>
        <s v="Shubham"/>
        <s v="Subhadeep Chaudhuri"/>
        <s v="Saptarshi Majumder"/>
        <s v="Aniket Gopinath Vaykul"/>
        <s v="Rishabh Jain"/>
        <s v="Anand Kumar"/>
        <s v="Indrajit Saha"/>
        <s v="Swapnesh S"/>
        <s v="Danish Manzar"/>
        <s v="Akshat Bansal"/>
        <s v="Abhishek Panigrahi"/>
        <s v="Anupam Singh"/>
        <s v="Chinthala Akhil Sai"/>
        <s v="Harshit Pandey"/>
        <s v="Katukuri Luther Immanuel"/>
        <s v="Kunal Apurva"/>
        <s v="Manish Kumar Shukla"/>
        <s v="Mayur Sainath Shende"/>
        <s v="Mayur Zadbuke"/>
        <s v="Rachit Kumar"/>
        <s v="Rahul Pandurang Khankar"/>
        <s v="Ritesh Dattu Takole"/>
        <s v="Robin Ajmera"/>
        <s v="Saurav Pathak"/>
        <s v="Sayan Chatterjee"/>
        <s v="Shrikant Rakhamaji Darekar"/>
        <s v="Suraj Suresh Bhondave"/>
        <s v="Taposh Kumar Kapuria"/>
        <s v="Tushar Pant"/>
        <s v="Yogesh Nagar"/>
        <s v="Anand Singh"/>
        <s v="Ananya Nandy"/>
        <s v="Anirban Naskar"/>
        <s v="Dasari Jeevan Swaroop"/>
        <s v="H Satyam Verma"/>
        <s v="Harshit Raj"/>
        <s v="Sagnik Das"/>
        <s v="Salbani Chakrabortty"/>
        <s v="Shubham Sharma"/>
        <s v="Shubham Uttam"/>
        <s v="Utkarsh Singh"/>
        <s v="Utkarsh Verma"/>
        <s v="Ravi Kant Rai"/>
        <s v="Arun Verma"/>
        <s v="Meenarli Sharma"/>
        <s v="Prashant Palkar"/>
        <s v="Shripad Salsingikar"/>
        <s v="Ashish Kumar Dubey"/>
        <s v="Nagender Singh"/>
        <s v="Naqueebur Rahman"/>
        <s v="Sukanya Kudva"/>
        <s v="Tejas Ghorpade"/>
        <s v="Adiya Chandra"/>
        <s v="Akul Bansal"/>
        <s v="Amlan Ghosh"/>
        <s v="Bijendra Kumar"/>
        <s v="Gulfan khan"/>
        <s v="Mayuri Bakshi"/>
        <s v="Sheshadev Behera"/>
        <s v="Vanessa Ann Beddoe Sawkmie"/>
        <s v="Alok Patel"/>
        <s v="M. Venkateswararao. K"/>
        <s v="Puja Sahu"/>
        <s v="Ranbir Singh"/>
        <s v="Sandhya Tripathi"/>
        <s v="Akondi Sai Bhaskara Praneeth"/>
        <s v="Aman"/>
        <s v="Ankush Kumar Singh"/>
        <s v="Kapsikar Suyog Pramod"/>
        <s v="KRISHNA GUPTA"/>
        <s v="Mohammad Mufassir Khan"/>
        <s v="Padigapati Mallikarjuna Reddy"/>
        <s v="Pankaj Kumar Sahu"/>
        <s v="Pawar Darshan Devidas"/>
        <s v="Prateek Goyal"/>
        <s v="Ratnesh Srivastav"/>
        <s v="Sandeep"/>
        <s v="Sharma Vijay Narayan"/>
        <s v="Shobhit Bhatnagar"/>
        <s v="Sohan Lal"/>
        <s v="Sumit Jain"/>
        <s v="Swarup Damodar Bhupendra Ghadi"/>
        <s v="Tarun Raj Anugula"/>
        <s v="Thakkar Khyati Deepak"/>
        <s v="Vishnu Jatav"/>
        <s v="Alok Kumar Srivastava"/>
        <s v="Pratik Mukeshkumar Zaveri"/>
        <s v="Suraj Bharati"/>
        <s v="KIRAN CHAUDHARY"/>
        <s v="Sasanka Sekhar Maiti"/>
        <s v="Aakash Banik"/>
        <s v="Alisha Arora"/>
        <s v="Niranjan Kumar Singh"/>
        <s v="Richa Dhingra"/>
        <s v="Saumya Suri"/>
        <s v="Shivangi Saklani"/>
        <s v="Vishal Dawar"/>
        <s v="Hamidur Rahman"/>
        <s v="Siddhartha Paul"/>
        <s v="Abhishek Kumar Sinha"/>
        <s v="Amrutkar Gaurav Anil"/>
        <s v="Ashutosh Kushwaha"/>
        <s v="Hitesha Nemade"/>
        <s v="Inderjeet Singh"/>
        <s v="Jaswant Singh"/>
        <s v="Karan Patel"/>
        <s v="Katre Sudhindra Jitendra"/>
        <s v="Maheshwari Mayank Kamal Kishor"/>
        <s v="Mulay Pravin Tatyaram"/>
        <s v="Nishant Mani Tripathi"/>
        <s v="Panot Jigar Bhaishankar"/>
        <s v="Piyush Mittal"/>
        <s v="Rajat Mishra"/>
        <s v="Sameer Agrawal"/>
        <s v="Saurav Adhikari"/>
        <s v="Setu Hitesh Dave"/>
        <s v="Sourav Mondal"/>
        <s v="Sufiyan Gulzar Adhikari"/>
        <s v="Vhatkar Manjunath Shriniwas"/>
        <s v="Vibhor Gupta"/>
        <s v="VICKY RATHEE"/>
        <s v="Vinay Chourasiya"/>
        <s v="G.Chandra Mouli"/>
        <s v="Sathishkumar L."/>
        <s v="Bharatesh Nagar"/>
        <s v="Jaideep Singh"/>
        <s v="Gaurav Kataria"/>
        <s v="Jayaram Meena"/>
        <s v="Rahul Pratap Singh"/>
        <s v="Umakanta Pattanayak"/>
        <s v="AAYUSH AGGARWAL"/>
        <s v="ANSUMA BASUMATARY"/>
        <s v="ANUJ SAHU"/>
        <s v="ARUN RAMAMURTHY"/>
        <s v="Dalal Nagesh Ashok"/>
        <s v="Harshit Gupta"/>
        <s v="Hussain Abbasibhai Kharodawala"/>
        <s v="Jamodkar Suraj Suresh"/>
        <s v="Krishan Garg"/>
        <s v="Kuldeep Pareek"/>
        <s v="LT. CDR Sridharan Sivakumar"/>
        <s v="Nithilaksh P L"/>
        <s v="PEDHAVI PRATIK RAMESH"/>
        <s v="Raju Joshi"/>
        <s v="ratan kumar prajapati"/>
        <s v="SAKET KUMAR SAURABH"/>
        <s v="SANKET KINAGE"/>
        <s v="Sharad Agrawal"/>
        <s v="SREENATH S"/>
        <s v="Tabrez ul Haque"/>
        <s v="VIPIN MAURYA"/>
        <s v="VIVEK BARSOPIYA"/>
        <s v="Akash Pradeep Bhattacharjee"/>
        <s v="Anil Kumar Sonker"/>
        <s v="Anjum Rani"/>
        <s v="Debayan Das"/>
        <s v="Munne Khan"/>
        <s v="Sushant Kumar"/>
        <s v="Arko Chatterjee"/>
        <s v="Ashish Dogra"/>
        <s v="Ashish Jatav"/>
        <s v="Ashlin Ghosh"/>
        <s v="Bhave Akshay Jayant"/>
        <s v="Gawas Prakash Arjun"/>
        <s v="Govind Kumar Yadav"/>
        <s v="Jijo Jose"/>
        <s v="Nibir Nath"/>
        <s v="R.Vidyadhar"/>
        <s v="Rahul Munet"/>
        <s v="Raja Chauhan"/>
        <s v="Salman Anis Memon"/>
        <s v="Shashank Mishra"/>
        <s v="Vinay Rai"/>
        <s v="Yeole Harshal Anil"/>
        <s v="Ratnaji Vanga"/>
        <s v="Tilak Raj Singh"/>
        <s v="ADITI KATARA"/>
        <s v="ASHISH CHANDRA"/>
        <s v="MANISHA SINGH"/>
        <s v="PRANJALI YADAV"/>
        <s v="SALONI PATEL"/>
        <s v="Kaushal Kumar Singh Gautam"/>
        <s v="Raman Kumar Sinha"/>
        <s v="Manu Kumar Gupta"/>
        <s v="Akash Omer"/>
        <s v="Anirban Nag"/>
        <s v="Anshika Chaurasia"/>
        <s v="ANUJI C"/>
        <s v="Asheesh Kumar Dubey"/>
        <s v="Chetan Sharma"/>
        <s v="JAFEER H"/>
        <s v="Kalpande Abhijeet Ganesh"/>
        <s v="Kulkarni Pooja Rajendra"/>
        <s v="Manish Chauhan"/>
        <s v="Neeraj Sinha"/>
        <s v="Prateek Dahale"/>
        <s v="Raghvendr Omer"/>
        <s v="Rakesh Kumar Sharma"/>
        <s v="Rishikesh Kushwaha"/>
        <s v="Sanjeev Vijendra Irny"/>
        <s v="Satpal Singh"/>
        <s v="Shinde Nimita Rajendra"/>
        <s v="Yogesh Nailwal"/>
        <s v="Anusuya Ghosh"/>
        <s v="Arul Tyagi"/>
        <s v="Hemant Kumar Nagar"/>
        <s v="Sukanta Halder"/>
        <s v="Vijay Kaushal"/>
        <s v="Anupam Tripathi"/>
        <s v="Gundabathula Sai Muni Teja"/>
        <s v="Jagdeep Nautiyal"/>
        <s v="Jyoti Swarup Aluri"/>
        <s v="Karanvir"/>
        <s v="Naveed Farhan K"/>
        <s v="Padmaja Thatoi"/>
        <s v="Prathamesh Pramod Mayekar"/>
        <s v="Priya Dubey"/>
        <s v="Pusatkar Sanket Gopalrao"/>
        <s v="Rahul Kishor M"/>
        <s v="Shamsher Singh"/>
        <s v="Shashank Shrivastava"/>
        <s v="Shilpi Bhargava"/>
        <s v="Shiva Shukla"/>
        <s v="Swapnil Shankar Renushe"/>
        <s v="Tushar K Satish"/>
        <s v="Vadakoott Jithin Ravindran"/>
        <s v="Goutam Sen"/>
        <s v="K. Sunil Kumar"/>
        <s v="Ketki Kulkarni"/>
        <s v="Malve Shriram Dadasaheb"/>
        <s v="Nand Jee"/>
        <s v="Raju Prajapati"/>
        <s v="Ram Nivas"/>
        <s v="Suraj Trivedi"/>
        <s v="AKASH GUPTA"/>
        <s v="Ayush Rawal"/>
        <s v="BHAVSAR SHRIKANT SANJAY"/>
        <s v="GUNJAN KUMAR SIKHERIA"/>
        <s v="J Manish Punjabi"/>
        <s v="Joydip Ghosh"/>
        <s v="KAUSHAL JAISAR"/>
        <s v="LAKSHYA SUKHWAL"/>
        <s v="Malpure Harshal Sadanand"/>
        <s v="Mohd Kashif Siddiqui"/>
        <s v="NACHIKET PAL"/>
        <s v="PATIL KISHOR YASHAVANT"/>
        <s v="PHATAK SAI GHANSHAM"/>
        <s v="REWARI VISHAL ISHWARKUMAR"/>
        <s v="ROHIT DIWAKER"/>
        <s v="RUCHIR SANTUKA"/>
        <s v="SHABD VAISH"/>
        <s v="Shukla Ashish Yamunashankar"/>
        <s v="SURESH B"/>
        <s v="Anirban Ghatak"/>
        <s v="Anu Thomas"/>
        <s v="Dayama Niraj"/>
        <s v="Indu Chaudhary"/>
        <s v="Jitendra"/>
        <s v="K. C. Lalropuia"/>
        <s v="Pratibha"/>
        <s v="Sweety Hansuwa"/>
        <s v="Amit Sarkar"/>
        <s v="Ankit Kumar"/>
        <s v="Anoop Chatterjee"/>
        <s v="Chandra Prakash Panday"/>
        <s v="Deepak Singh"/>
        <s v="Jammula Ajith Kumar"/>
        <s v="Keshav Kumar"/>
        <s v="Kunal Sharma"/>
        <s v="Mohd Abdul Qavi"/>
        <s v="Rajesh Sharma"/>
        <s v="Rao Rohan Krishnaraj"/>
        <s v="Shashi Kant Dubey"/>
        <s v="Shinde Vishal Vilas"/>
        <s v="Sohani Shailesh Ratnakar"/>
        <s v="Sonakshi Agarwal"/>
        <s v="Surjit Laha"/>
        <s v="Vyshnavi G"/>
        <s v="Vikas Vikram Singh"/>
        <s v="Robin Bhandari"/>
        <s v="Agrawal Priya Ashok"/>
        <s v="Anand Kumar Rajak"/>
        <s v="Anubhav Aggarwal"/>
        <s v="Chandar Mohan Singh"/>
        <s v="Dugane Anup Mohan"/>
        <s v="Kamble Pritam Vijay"/>
        <s v="Madhu Tangudu"/>
        <s v="Phatak Neha Krishna"/>
        <s v="Sri Naga Rajesh Kamma"/>
        <s v="Valunj Yogesh Vijay"/>
        <s v="Vikas Kankani"/>
        <s v="Bharat Singh Raghav"/>
        <s v="Chandrama Naha"/>
        <s v="Chiranjoy Chowdhuri"/>
        <s v="Damayyawar Dileep Siddheshwar"/>
        <s v="Ingulkar Raju Raghunath"/>
        <s v="Kamath Vibhav Vivek"/>
        <s v="Krishna Chaitanya V."/>
        <s v="Mukul Sharma"/>
        <s v="Pratikkumar Vitthalbhai Fadadu"/>
        <s v="Raghavendran Mohan"/>
        <s v="Sunil Kumar"/>
        <s v="Suralkar Varsha Suresh"/>
        <s v="Vinit Kumar Rongata"/>
        <s v="Violet Bhattacharyya"/>
        <s v="Bijulal D."/>
        <s v="Damodar Garg"/>
        <s v="Dashrath"/>
        <s v="Kulkarni Atul Ramesh"/>
        <s v="Meghraj Nalge"/>
        <s v="Patil Nikhil Suresh"/>
        <s v="Polu Ashok Kumar Reddy"/>
        <s v="Priyank Umraode"/>
        <s v="Rajat Choudhary"/>
        <s v="Sankar S."/>
        <s v="Satish Kumar Amirisetti"/>
        <s v="Saykhedkar Harshad Sanjay"/>
        <s v="Virendra Patidar"/>
        <s v="More Dileep Satappa"/>
        <s v="ABHISHEK SINGH VERMA"/>
        <s v="AITHA PRATEEP KUMAR"/>
        <s v="ANIL KUMAR"/>
        <s v="ANKUR SINGH"/>
        <s v="B VINOD KUMAR REDDY"/>
        <s v="BEJGAMWAR GAJANAN NAGNATH"/>
        <s v="D. Narendra Varma"/>
        <s v="DEEPESH JAIN"/>
        <s v="JOSHI SANDIP SUBHASHRAO"/>
        <s v="KADAM SUHAS TARACHAND"/>
        <s v="KALLOL RAMESH GANGADHARRAO"/>
        <s v="LOKESH PALIWAL"/>
        <s v="MOHAMMED JAMAL"/>
        <s v="PRIYANKA JAIN"/>
        <s v="RANE TUSHAR NEMINATH"/>
        <s v="SANKARA PRASAD K"/>
        <s v="SHREYA JAIN"/>
        <s v="TAPAN DEY"/>
        <s v="VIGNESH B"/>
        <s v="VINAY KUMAR KALAKBANDI"/>
        <s v="Sundaravalli L."/>
        <s v="A. Nageshwar Sharma"/>
        <s v="Abhishek Maheshwari"/>
        <s v="Ankit Jain"/>
        <s v="Bhalerao Shrikant Vishnu"/>
        <s v="Krishna Teja Bandi"/>
        <s v="Manish Kumar Singh"/>
        <s v="Naga Satya Narayana Bojja"/>
        <s v="NARODE AVINASH RAVINDRA"/>
        <s v="Piyush Verma"/>
        <s v="Pratap Dangeti"/>
        <s v="Yogesh Prakash Awate"/>
        <s v="ATEEKH-UR-REHMAN"/>
        <s v="Sudhir Kumar Sinha"/>
        <s v="Alok Arun Kulkarni"/>
        <s v="Amey.D.Kamat"/>
        <s v="Anil Kumar Gupta"/>
        <s v="Anoop Kumar Katiyar"/>
        <s v="Ashutosh Kumar Garg"/>
        <s v="Atul Kumar Tiwari"/>
        <s v="Charru Hasti"/>
        <s v="Deepika Taneja"/>
        <s v="K.V.SRIKANTH.V"/>
        <s v="Ketan Bodas"/>
        <s v="Rochit Anand Marcus"/>
        <s v="Shahaur Rahman"/>
        <s v="sharad kumar shrivastava"/>
        <s v="Vinay Pydah"/>
        <s v="Vineet Kapoor"/>
        <s v="Sajeev Abraham George"/>
        <s v="Aher Ajit Bhivsen"/>
        <s v="Braja Gopal Das"/>
        <s v="Chetan V. Desai"/>
        <s v="Mahajan Chetan Vikram"/>
        <s v="Nilesh Vilas Nalnikar"/>
        <s v="Nishant Patil"/>
        <s v="Nivesh Kumar"/>
        <s v="Rahul Arun Bharde"/>
        <s v="Rakesh A. Ambre"/>
        <s v="Ranganadh Tippisetty"/>
        <s v="Sachin M More"/>
        <s v="Sandeep Sudhir Kale"/>
        <s v="Vikas Grover"/>
        <s v="Vilas Somnath Gunjkar"/>
        <s v="Saleeshya.P.G"/>
        <s v="Amit Kumar"/>
        <s v="Anoop Kumar Mittal"/>
        <s v="Gaurav Mittal"/>
        <s v="Joshi Maulinkumar Maheshkumar"/>
        <s v="Mitesh Gupta"/>
        <s v="Rajat Chaudhary"/>
        <s v="Rampalli Bhaskar"/>
        <s v="seema ramteke"/>
        <s v="Shivaji Dhekane"/>
        <s v="Sushobit Kamra"/>
        <s v="Vivek Dhariwal"/>
        <s v="Arvind Chande"/>
        <s v="Ashish Avasthy"/>
        <s v="Balaji Jidugu"/>
        <s v="hari vishnu"/>
        <s v="Kamal Kumar Maheshwari"/>
        <s v="Lavu Gopal Pawar"/>
        <s v="P.Subramaniam"/>
        <s v="Powar Abhijit Subhash"/>
        <s v="Ravindra Gokhale"/>
        <s v="Vaishali Moharir"/>
        <s v="George Easaw"/>
        <s v="Mohanty Rashmi Ranjan"/>
        <s v="V. Mariapan"/>
        <s v="Avnish Kumar Sharma"/>
        <s v="Bhaskar Yerramsetty"/>
        <s v="Diwakar Pathak"/>
        <s v="Leela Nagasrinivasarao P."/>
        <s v="Mitali Johri"/>
        <s v="Prashant Jani"/>
        <s v="Raval Hemshanker Mahesh"/>
        <s v="Sachin Jayaswal"/>
        <s v="Vishnu A. Subash"/>
        <s v="Vishwasrao Rohan Suresh"/>
        <s v="Chandrashekar Konda"/>
        <s v="Hemant C. Gajbhiye"/>
        <s v="Jaju Amit Radheshyam"/>
        <s v="Kamlesh Dewangan"/>
        <s v="Naveen Kumar Kannegundla"/>
        <s v="Rabindra Kumar Panda"/>
        <s v="V.S.Prakash Attili"/>
        <s v="Vaibhavi Vijay Agwan"/>
        <s v="veturi krishna kishore"/>
        <s v="Vijay C. Patil"/>
        <s v="VIVEK SRIVASTAVA"/>
        <s v="Rashmi Ranjan Mohanty"/>
        <s v="A.SRIDHAR"/>
        <s v="Ajit Kolhe"/>
        <s v="Chinmay Madhukar Date"/>
        <s v="Girish Pande"/>
        <s v="Hariprasad"/>
        <s v="NITISH DAVE"/>
        <s v="Pinkesh Kothana"/>
        <s v="Piyush Gupta"/>
        <s v="Rahul Jagannath Patil"/>
        <s v="Ravikumar Siripurapu"/>
        <s v="Sameer G Joshi"/>
        <s v="Shivamurthy Dibbi"/>
        <s v="Shrinivas Madhao Asanare"/>
        <s v="Sudeep Satija"/>
        <s v="Sudhir Bahel"/>
        <s v="Vikrant Kumar"/>
        <s v="Jayan Moorkanat"/>
        <s v="Anil Kumar Khatwad"/>
        <s v="Anuj Kumar Agrawal"/>
        <s v="Bhatt Mangal Girishbhai"/>
        <s v="Chetan Ghatole"/>
        <s v="E.Sarat Kumar"/>
        <s v="Kundapuram Satyanarayana"/>
        <s v="Nallam Venkata Surendra"/>
        <s v="Nittala Surya Narayana"/>
        <s v="Paradkar Ramkrishna Arvind"/>
        <s v="Pranav Saxena"/>
        <s v="Prasanna Kharshikar"/>
        <s v="Rajkumar Laxman Waghmare"/>
        <s v="Shashi Bhushan Mani Tripathi"/>
        <s v="Sudarshan Suhas Nagaonkar"/>
        <s v="Trivedi Hemantkumar Sureshchandra"/>
        <s v="AWADHESH SINGH PARIHAR"/>
        <s v="BHAVDEEP SINGH SETHI"/>
        <s v="Deepak Haldiya"/>
        <s v="KANNAPPAN S"/>
        <s v="KRISHNA MOHAN G"/>
        <s v="Om Prakash Yadav"/>
        <s v="PATHAK VINEET VISHWAS"/>
        <s v="PRASAD M"/>
        <s v="RAMANA M"/>
        <s v="Suresh Hariram Sakharwade"/>
        <s v="Valaboju Sreenivasa Rao"/>
        <s v="Y RAMESH"/>
        <s v="ALOK KUMAR"/>
        <s v="B MURALI"/>
        <s v="CHETAN ANIL SOMAN"/>
        <s v="MAHESH SHENOY"/>
        <s v="NELLUTLA VAMSI MOHAN"/>
        <s v="PARANJAPE VINAYAK DEVIDAS"/>
        <s v="Ranade Shailesh Sharad"/>
        <s v="TATAVARTI RAVI KUMAR"/>
        <s v="A O Karunanidhi"/>
        <s v="Abbaireddy Jyotheeswar Reddy"/>
        <s v="Akarte Milind Madhukarrao"/>
        <s v="Anirudha Ashok Joshi"/>
        <s v="B K Trivedi"/>
        <s v="Bhausaheb Rakhamaji Kharde"/>
        <s v="Bollu Dasaradharamaiah"/>
        <s v="Dave Dipanker Shankerlal"/>
        <s v="Deshpande Avadhoot Madhav"/>
        <s v="GIRISH BALKRISHNA TIVARE"/>
        <s v="Jitendra Kamalakant Kamat"/>
        <s v="Narendra P Patwardhan"/>
        <s v="Paes Erwin Savio"/>
        <s v="SHRINIVAS GONDHALEKAR"/>
        <s v="Anil Nigam"/>
        <s v="Ashok Kumar Agrawal"/>
        <s v="B K Shivalingaiah"/>
        <s v="Bhupendra Kothari"/>
        <s v="Chandrashekar T Subramanyam"/>
        <s v="Karandikar Chaitany Madhav"/>
        <s v="Manish Mohnot"/>
        <s v="Paranjpe Mahesh Shrikrishna"/>
        <s v="Prasad V Saraph"/>
        <s v="Rajendra Shriram Agre"/>
        <s v="Sambrani Avinash"/>
        <s v="Sameer Kulkarni"/>
        <s v="B C S KRISHNA MOHAN"/>
        <s v="K. MARUTHI MADHU KUMAR"/>
        <s v="Rajhans Neela Ravindra"/>
        <s v="Shivakumar S"/>
        <s v="SRIRAM NARAYANASAMI"/>
        <s v="SUNDRAM RAVI"/>
        <s v="THOLETI SUBBARAO"/>
        <s v="VENKATRAMAN SIVARAMAKRISHNAN"/>
        <s v="K V Krishnakumar"/>
        <s v="Devender Singh"/>
        <s v="Jatti Rajendra Suresh"/>
        <s v="Singh Kamlakar Keshav P"/>
        <s v="Bhattaram N Prasad"/>
        <s v="Dontha Prasanth Kumar"/>
        <s v="George Mariano De S T Paes"/>
        <s v="Rajesh Kothari"/>
        <s v="Ravirala Venkatesh"/>
        <s v="Abhave Sanjeev S"/>
        <s v="Krishnananda Kamath"/>
        <s v="Mrs P B Udachan"/>
        <s v="Neeraj Kumar"/>
        <s v="Purushottam L Gupta"/>
        <s v="Rajesh S Jange"/>
        <s v="Ranade Yogesh G"/>
        <s v="Surasak Tongauk"/>
        <s v="Janakiram Nanduri"/>
      </sharedItems>
    </cacheField>
    <cacheField name="Programme" numFmtId="0">
      <sharedItems>
        <s v="M.Tech"/>
        <s v="M.Sc"/>
        <s v="M.Sc-Ph.D"/>
        <s v="Ph.D"/>
        <s v="PGDIIT"/>
        <s v="IDDDP"/>
        <s v="M.Tech+Ph.D"/>
        <s v="M.Sc-M.Phil"/>
      </sharedItems>
    </cacheField>
    <cacheField name="Grad Year" numFmtId="0">
      <sharedItems containsSemiMixedTypes="0" containsString="0" containsNumber="1" containsInteger="1">
        <n v="2022.0"/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0.0"/>
        <n v="1999.0"/>
        <n v="1998.0"/>
        <n v="1997.0"/>
        <n v="1996.0"/>
        <n v="1995.0"/>
        <n v="1994.0"/>
        <n v="1993.0"/>
        <n v="1992.0"/>
        <n v="1991.0"/>
        <n v="1989.0"/>
      </sharedItems>
    </cacheField>
    <cacheField name="Thesis" numFmtId="0">
      <sharedItems containsBlank="1">
        <s v="Application of Machine Learning in Cyber Security"/>
        <s v="Allocation and routing for first and last mile operations"/>
        <s v="Rulesets for Detecting Malicious Attacks in Linux"/>
        <s v="Deep Learning for Speech Enhancement"/>
        <s v="Assessment and Improvement of Inventory Ordering Decision of Spares"/>
        <s v="Optimisation of First and Last Mile Pickup and Delivery having dynamic &#10;nature of order arrivals"/>
        <s v="Fairness in Stochastic Traveling Salesman Problem with multiple visits"/>
        <s v="Optimization of Water Distribution Network"/>
        <s v="Supply Chain Archetype Framework &amp; Container Train Scheduling for &#10;Multi-terminal Port"/>
        <s v="Deep Learning Models for Survival Analysis"/>
        <s v="Neural Architecture Search"/>
        <s v="Deep Learning for Neural Machine Translation in Indian Languages"/>
        <s v="Optimizing revenue and energy utilization for public charging stations"/>
        <s v="Hierarchical Forecasting Models"/>
        <s v="Anomalies in Internet of Things"/>
        <s v="Deep Learning in Chemometrics"/>
        <s v="Data Imputation in Dataset"/>
        <s v="Renewable energy supply chain network and Facility allocation problem"/>
        <s v="Global Optimization of Water Networks"/>
        <s v="Routing of Bus Fleet"/>
        <s v="Data Based Analysis of Content Propagation on Online Social Networks"/>
        <s v="Evaluation of Class Based Storage Policy for Warehouse"/>
        <s v="Optimization model for practical Assembly Line Balancing"/>
        <s v="Neural Networks for studying the functionality of proteins"/>
        <s v="Recommendation System for Spoken Tutorial"/>
        <s v="Simheuristics in Lot Sizing and Flow Shop Scheduling Problem"/>
        <s v="How to Escape Saddle Points Efficiently"/>
        <m/>
        <s v="Braess Paradox"/>
        <s v="Deep Learning in NLP: Bengali to English translation using XLNet"/>
        <s v="Asymptotic solutions for random fixed point equations and applications in &#10;financial network"/>
        <s v="Utilization, Maintenance and Retrofit Planning for Passenger Rakes on &#10;Railway Systems"/>
        <s v="Crew scheduling for long distance passenger railway transportation"/>
        <s v="Interpretable Demand Prediction"/>
        <s v="Call data record analysis from Telecom Data"/>
        <s v="ML tools for medical data analysis"/>
        <s v="Machine Learning in Supply Chain Operations"/>
        <s v="OR in managing hospitals"/>
        <s v="Simulation Analysis Supply Chain under Disruptions"/>
        <s v="Federated Learning"/>
        <s v="Comparison of Dimensionality Reduction methods"/>
        <s v="Optimization in Deep Learning"/>
        <s v="Robust Time tabling of trains based on actual running data"/>
        <s v="Deep Learning for Audio Analytics"/>
        <s v="Machine Learning in Networks"/>
        <s v="Comparison of nations for effectiveness in responding to COVID pandemic"/>
        <s v="Rescheduling trains on freight-only networks to minimise energy consumption"/>
        <s v="Inventory and revenue management in supply chain for multiperiod and two &#10;customer classes"/>
        <s v="Scheduling pick-up and drop vehicles by a logistic firm"/>
        <s v="Deep learning for NLP"/>
        <s v="Multi-Armed Bandits"/>
        <s v="Negative Dependence of random variables"/>
        <s v="Network Optimization"/>
        <s v="Large Scale Optimization"/>
        <s v="Recommender systems using nested bandits"/>
        <s v="Implement Blockchain in supply chain"/>
        <s v="Deep Learning"/>
        <s v="Queuing control (using MDP) used in passport office"/>
        <s v="Graph Embeddings"/>
        <s v="AutoML: Neural architecture search for medical image segmentation using &#10;DARTS"/>
        <s v="Analysis of Kidney Exchange Programs and Deceased Donor Allocation &#10;Mechanisms"/>
        <s v="Bidding Games and Efficient Play"/>
        <s v="Sequential Decision Problems with Weak Feedback"/>
        <s v="Advances in Algorithms for Convex Mixed-Integer Nonlinear Optimization"/>
        <s v="Shared-Memory Parallel Algorithms for Mixed-Integer Nonlinear Optimization"/>
        <s v="Routing and Scheduling of Trains in a Railway Network"/>
        <s v="Models for Allocation and Routing Decisions in Freight Transportation"/>
        <s v="Contract design and supply chain optimization for electricity market"/>
        <s v="Safety stock placement in supply chains with demand forecast updated"/>
        <s v="Optimization-based Signal Control Approaches for Heterogeneous Road Traffic"/>
        <s v="Optimal Control of Bunching and Serve on Move WLANs in Intelligent &#10;Transportation Systems"/>
        <s v="Optimal PAC-Bayesian Classifiers and Choice of SVM Regularization Parameter"/>
        <s v="Viral Marketing Branching Processes in Social Networks"/>
        <s v="Label Noise Robustness and Feature Subset Selection in Classification: &#10;Discriminative and Generative Approaches"/>
        <s v="Industry Implementable Part Launch Sequence Optimization Solution"/>
        <s v="Data Analysis of Electric Vehicle for Optimum Battery Charging Strategy"/>
        <s v="Predictive Analysis of Movie Revenue Using Data&quot;"/>
        <s v="Modelling and Analysis of Fake News Propagation on Online Social Networks"/>
        <s v="DATA BASED APPROACHES TO OPTIMAL ORDER QUANTITY OF PERISHABLE PRODUCTS"/>
        <s v="Predictive Analytics in Healthcare Data"/>
        <s v="Demand Forecasting in tractor manufacturing industry"/>
        <s v="Data-Driven Approaches to Inventory Control"/>
        <s v="Optimization Study in Bus Routing System"/>
        <s v="Speech Enhancement of Noisy Videos using Deep Learning"/>
        <s v="Industrial Engineering application in Production unit"/>
        <s v="Scheduling Freight Trains on a Mixed-Traffic Network to Minimise &#10;EnergyConsumption"/>
        <s v="Prediction of Foreign Exchange Rate"/>
        <s v="Single and Multi-Agent Reinforcement Learning in Changing Environments"/>
        <s v="Model Compression in Adversarial Deep Learning"/>
        <s v="Comparison of Discrete Event system simulation: Open-source Salabim and &#10;Anylogic"/>
        <s v="Demand Forecasting and Inventory Management of Automobile Spare Parts"/>
        <s v="Condition Based Vehicle Health Monitoring"/>
        <s v="Performance Analysis of After Sales Services in Supply Chain of PV Based &#10;Technology in Rural India (SoULS)"/>
        <s v="Dynamic Scheduling in Partially fluid, Partially lossy Queuing Systems"/>
        <s v="Payment and Settlement Systems - Operations, Empirical Analysis, Policy &#10;Assessment and Recommendations"/>
        <s v="Algorithms and Relaxations for Optimization over Bilinear Covering Sets"/>
        <s v="Medicine Supply chain management in response to an infectious disease &#10;outbreak"/>
        <s v="Consensus Protocols in Blockchain"/>
        <s v="Handling Categorical Features of High Cardinality in Tree/Rule Based &#10;Classification"/>
        <s v="Detection of Diabetic Retinopathy using Convolutional Neural Network"/>
        <s v="Discrete Event Simulation for Modeling and Optimizing Paint Shop Operations"/>
        <s v="Anomaly Detection using Capsule Networks, Deep Learning and other Machine &#10;Learning Techniques (Class Imbalance Problem)"/>
        <s v="Diagnosis of Heart Diseases using Deep Neural Network"/>
        <s v="Pareto Frontier for Part Queuing, Part Lossy Heterogeneous Multi-server &#10;Queuing System"/>
        <s v="Performance Variability in Mixed-Integer Nonlinear Optimization"/>
        <s v="Acquisition with Partial-Asymmetric Information"/>
        <s v="Efficient Plan for Supplying Solar Lamp Kit to Assembly and Distribution &#10;Centers"/>
        <s v="Predicting stock Behaviour Using News and Stock Market Data"/>
        <s v="Operationalizing and Evaluation of a localized supply chain"/>
        <s v="Data Analysis of Electric Vehicles"/>
        <s v="System Dynamics Modelling of Energy Access Initiative"/>
        <s v="Forecasting In Hotel Industry"/>
        <s v="Dynamic Pricing Strategies in the Indian Domestic Airlines"/>
        <s v="Recommendation system and Calibration of transducers"/>
        <s v="RUNTIME ESTIMATION FOR RAILWAY TIMETABLING"/>
        <s v="Driving Scene Recognition for Advanced Driver Assistance System in Heavy &#10;Vehicles"/>
        <s v="Data Analysis for Dialysis Patients"/>
        <s v="Performance Measures and systemic risk in a large financial network."/>
        <s v="Recent Developments in Metaheuristics for Vehicle Routing Problem"/>
        <s v="Enhancing the Performance of a Convex Mixed-Integer Nonlinear Solver"/>
        <s v="Novel Computational Approaches for Blackbox Optimization"/>
        <s v="Simulation-based Optimization with Input Model Parameter Uncertainty"/>
        <s v="Robustness in Railway Timetables"/>
        <s v="MILP Model with Decision Support System for Cutting Stock Problem in Solar &#10;Module Manufacturing"/>
        <s v="Pure Exploration Strategies in Online Machine Learning"/>
        <s v="Maintenance and Capacity analysis of Railway Networks"/>
        <s v="Lower Bound for Cutting Stock Problem and Pattern Minimization Problem"/>
        <s v="Some Cost Allocation Schemes using Cooperative game solution concepts"/>
        <s v="Process Design and Improvements in a SME"/>
        <s v="Multi-modal Supply Chain Distribution Problem"/>
        <s v="Simulation of Assembly Operations at a Construction Equipment Manufacturer &#10;– An Investigative Study"/>
        <s v="An investigative study on material ﬂow within the factory using discrete &#10;event simulation for construction equipment manufacturing factory"/>
        <s v="Job Scheduling and Fairness"/>
        <s v="Analyses of lead time of Repairable Inventory and select application of &#10;Failure Mode and Effect Analysis: A Case Study"/>
        <s v="Equilibrium in Networks"/>
        <s v="Planning and Schedulling of Spares Distribution for Effective After-sales &#10;Service"/>
        <s v="Global optimization via random restarts"/>
        <s v="Structured Global Optimization Problems"/>
        <s v="Timetabling for a large university"/>
        <s v="Capacity Sharing between firms in Queueing Systems"/>
        <s v="Approximation Algorithm for Temporal Bin Packing Problem"/>
        <s v="Attack Saturation Branching Processes on Social Networks"/>
        <s v="COLLABORATION BETWEEN FIRMS"/>
        <s v="Analyzing Railway Networks by Simulation and Parametric Modeling to Improve &#10;Freight Operations"/>
        <s v="Driving Scene Recognition"/>
        <s v="Feints / Deception in Strategies"/>
        <s v="Hybrid Methods for Forecasting"/>
        <s v="SCHEDULING SYSTEM FOR ADDITIVE MANUFACTURING"/>
        <s v="Comparative study of heuristic methods for alternative graph in railway &#10;rescheduling"/>
        <s v="Risk sensitive Markov Decision Process and Linear Programs"/>
        <s v="Double Auction With Regret"/>
        <s v="Branching process with population dependent offsprings"/>
        <s v="Modelling and analysis of after sales service operations"/>
        <s v="Simulation and critical Analysis of Railway Networks"/>
        <s v="Advanced Planning System for Additive Manufacturing"/>
        <s v="Planning of New Product Diffusion"/>
        <s v="User Response Based Recommendation System Design and Simulation"/>
        <s v="Differential Pricing in Net Neutrality"/>
        <s v="Data Analysis of Parameters Related to Kidney Transplant Procedure"/>
        <s v="Optimal beaconing for cellular networks with delay tolerent users."/>
        <s v="Supply Chain Management of Reusable Articles"/>
        <s v="Configuration planning in mass customization: Optimization based models"/>
        <s v="Pricing Strategies for Technology based Services"/>
        <s v="Exact Methods for Finding Optimal Schedules of New Trains in a Railway &#10;Network"/>
        <s v="Some Models for Influence Maximization Problem in Social Networks"/>
        <s v="MANAGING TECHNOLOGY CONSULTING PROJECTS USING QUANTITATIVE METHODS"/>
        <s v="Modeling Unsignalized Intersection of Road Transportation Network"/>
        <s v="Experiments with Rake Scheduling models in Aluminum Supply Chain"/>
        <s v="Reinforcement Learning with Applications to Trade Execution in Financial &#10;Market"/>
        <s v="Failure Diagnosis and Predictive Analytics in Automotive Systems"/>
        <s v="Hybrid Simulation and Optimization Approaches to the Job Shop Scheduling &#10;Problems"/>
        <s v="Equilibrium Analysis of Inventory Management Considering the Random Delays"/>
        <s v="A DIAGNOSTIC STUDY FOR RELIABILITY IMPROVEMENT OF CIRCUIT BREAKERS IN AN &#10;INDIAN MANUFACTURING COMPANY"/>
        <s v="Heuristics for Solving Discrete Optimization Problems"/>
        <s v="Developing a Convex Quadratic Programming Solver with Warm-starting After &#10;Bound Changes"/>
        <s v="Managing Freight Traffic on Rail Networks: Analysis of Terminal Operations"/>
        <s v="Cutting Plane Algorithms: Development and Implementation"/>
        <s v="SERVER SELECTION IN TWO TIME SCALES"/>
        <s v="Application of Genetic Algorithm in Project Scheduling Problems"/>
        <s v="Improved Formulations for Facility Layout Problem"/>
        <s v="Polling Systems: Achievable Region through Priority Schedulers"/>
        <s v="Semidefinite Representation of Convex Sets"/>
        <s v="An Investigative Study on Supply Chain of a Multinational Packaging Company"/>
        <s v="Fleet management in rail transport: Coal rakes in Indian Railways"/>
        <s v="Maintenance management and roadmap to TPM implementation: A real life case &#10;study"/>
        <s v="Scheduling of Railway Track Maintenance Operations"/>
        <s v="A study on Applications of Data Analytics"/>
        <s v="Selection of Representative Configurations in Highly Customized Automobiles &#10;by Large Scale Optimization"/>
        <s v="Application of Genetic Algorithms in Vehicle Routing Problems"/>
        <s v="Multi-armed bandit approach to dynamic pricing"/>
        <s v="Strategic Approach for Matching Supply and Demand"/>
        <s v="Stochastic Modelling of Algorithmic Trading"/>
        <s v="Simulation Based Study of Spatial Queueing Systems"/>
        <s v="Deterministic Freight Train Scheduling for General Railway Network"/>
        <s v="Rerouting and Re-timetabling of trains through a railway station"/>
        <s v="Passenger Demand Forecasting and Dynamic Pricing to support"/>
        <s v="Application of Ant System Algorithms in Vehicle Routing Problems"/>
        <s v="Application of Data Driven Approaches to Newsvendor Problem"/>
        <s v="Firm Market Equilibrium in Network Systems with Two Interacting Parameters"/>
        <s v="Modelling and Analysis of Lost Sales and Out-of-Stock in a Retail Chain"/>
        <s v="Models and Algorithms for Static Data Segment Location in Information &#10;Networks"/>
        <s v="APPLICATIONS OF SELECT APPROACHES FOR MANAGING SUPPLY CHAINS RELEVANT TO &#10;RURAL AREAS"/>
        <s v="Hybrid Simulation and Optimization Approaches to the Job Shop Scheduling &#10;Problem"/>
        <s v="Exploring Branch-and-Bound Algorithm"/>
        <s v="Optimal Surplus Capacity Utilization in Polling Systems via Fluid Models"/>
        <s v="Some Recent Applications of Genetic Algorithms in Supply Chain Scheduling"/>
        <s v="Simulation based failure analysis of auxiliary warning system"/>
        <s v="Portfolio Optimization with Application to Electricity Markets"/>
        <s v="Cointegration in Time Series analysis"/>
        <s v="Revenue Sharing Games In Supply Chain"/>
        <s v="A STUDY ON A CLASS OF PROBLEMS IN RETAIL STORES"/>
        <s v="MULTI RESOURCE MULTI MODE MULTI PROJECT SCHEDULING"/>
        <s v="A STUDY ON SHELF SPACE ALLOCATION IN RETAIL STORES"/>
        <s v="PROCUREMENT STRATEGY WITH SINGLE SUPPLIER AND MULTIPLE RETAILERS"/>
        <s v="Firm User-set Interaction in the Context of Admission Control of Some Queues"/>
        <s v="Simulation Based Optimization for Complex Manufacturing Flow Problems"/>
        <s v="Fleet management in rail transport: Petroleum rakes in Indian Railways"/>
        <s v="Revenue sharing contract in competitive supply chain"/>
        <s v="Improved Formulations for Cutting Stock Problem with Set-up Cost"/>
        <s v="Scheduling of Freight Trains in Railway Network with Single Tracks Using &#10;Methods Including Genetic Algorithms"/>
        <s v="Multileaf Collimator Sequencing with Integer Programming"/>
        <s v="Practical Branching Techniques for Convex Mixed-Integer Nonlinear &#10;Optimization"/>
        <s v="Formulation and Study of Evolutionarily Stable Strategy against Multiple &#10;Mutations"/>
        <s v="Approaches to Supply Chain Coordination: Decomposed and Decentralised &#10;Decision Making Models"/>
        <s v="Approaches and algorithms to solve generalized crane scheduling problems at &#10;cargo terminals"/>
        <s v="Some non transferable utility cooperative games in cost allocation"/>
        <s v="Distributive Optimization: Theory and applications"/>
        <s v="Priority based Task-level Scheduling in Multi-project, Multi-resource &#10;environments"/>
        <s v="Genetic Algorithm: Concepts and Applications in Scheduling"/>
        <s v="Some more properties of excess-sum based solution concepts for TU-games"/>
        <s v="PROCESS DESIGN AND SIMULATION ANALYSIS OF NEW PRODUCT MANUFACTURING FACILITY"/>
        <s v="Modeling and Design of algorithms for rail operations and Capacity Planning"/>
        <s v="Design of Survivable Communication Networks"/>
        <s v="Firm User-set Interactions - Modeling &amp; Analysis of Carsharing and Queue &#10;Admission Control Systems"/>
        <s v="Pricing of assets in rail operations and third party logistics services"/>
        <s v="Part Demand Prediction in Mass Customization Environment"/>
        <s v="Multi-attribute reverse auctions as matching problems"/>
        <s v="Decision Models in Retailing"/>
        <s v="Computing Budget Allocation Schemes For Stochastic Simulation Based &#10;Optimization"/>
        <s v="Application of Evolutionary Algorithms for deriving hierarchical inventory &#10;policies in supply chain"/>
        <s v="Supply Chain Coopetition under Maximum Retail Price Setting"/>
        <s v="Performance evaluation of metaheuristic algorithms in optimizing &#10;deterministic and stochastic problems"/>
        <s v="Some Topics in Stochastic Games"/>
        <s v="Facility design and operational strategies for railway networks"/>
        <s v="Modelling and Computation Involved in Multi Echelon Supply Chain Network &#10;Design of an FMCG Industry"/>
        <s v="Agent Based Modeling and Simulation of Supply Chain Processes"/>
        <s v="A Study on the Reverse Supply Chain Management of Consumer Durable Items"/>
        <s v="Simulation Based Optimization of a Single Stage Failure Prone Manufacturing &#10;System"/>
        <s v="Some contracts for closed loop supply chain"/>
        <s v="System Dynamics Modeling and Analysis of Production-Inventory System"/>
        <s v="Business Analytics for Customer Relationship Management"/>
        <s v="Firm-market interactions, parameterized MDPs and some models for carsharing &#10;systems"/>
        <s v="Quantifying Bullwhip Effect in Supply Chains: Some Recent Developments"/>
        <s v="COOPERATIVE GAME THEORY AND CHARACTERIZATION OF SHAPLEY VALUE FOR DIFFERENT &#10;GAMES"/>
        <s v="Performance Analysis of a Delay Dependent Priority Queue"/>
        <s v="Agent Based Simulation Games for Analysis of Supply Chain Processes"/>
        <s v="Mutual Exclusion Scheduling using Bounded Vertex Coloring and Bin Packing &#10;with Conflicts"/>
        <s v="Inventory Planning and Management of a Cold Storage Facility for Grapes"/>
        <s v="A Study on Managing Supply Chain for Bottom of the Pyramid Group"/>
        <s v="Analysis of Parameter Uncertainty in Queuing Systems"/>
        <s v="An Excess-based Solution Concept for Cooperative Games with Transferable &#10;Utility"/>
        <s v="Robust Airline Scheduling: Minimizing Airline Delay"/>
        <s v="Network Level Investment to Improve Rail Capacity"/>
        <s v="Internet Reverse Auctions with Multiple Buyers and Multiple Suppliers in a &#10;Supply Chain"/>
        <s v="Transfer Pricing and Transportation Cost Allocation in a Global Supply &#10;Chain under Exchange Rate Uncertainty"/>
        <s v="One-Dimensional Cutting Stock Problem: Recent Developments"/>
        <s v="A Study On Data Envelopment Analysis-Concept, Developments and Applications"/>
        <s v="THE CAPACITATED VEHICLE ROUTING PROBLEM - RECENT DEVELOPMENTS AND AN &#10;ANALYSIS OF EFFECTS OF PARAMETERS"/>
        <s v="Stability and Service Level based Control of some Forward and Reverse Flow &#10;Production-Inventory Systems"/>
        <s v="Web Service Based Distributed Simulation Environment"/>
        <s v="Pricing Communication Networks"/>
        <s v="Network Optimization with application to supply chain"/>
        <s v="Heuristics in Resource Constrained Project Scheduling"/>
        <s v="Adaptive Traffic Control Methods with Downstream Detection System"/>
        <s v="University Timetabling and Resource Scheduling"/>
        <s v="Hybrid Genetic algorithms for Job Shop Scheduling"/>
        <s v="Managing Wastes in supply chain- A case study"/>
        <s v="Vehicle Routing Problem: Application to routing of vehicles for &#10;distributing meals under the Mid Day Meal Scheme"/>
        <s v="Parallel and Distributed Discrete Event Simulation"/>
        <s v="Mixed Integer Programming applied to Distribution System Reconfiguration"/>
        <s v="Markov decision Process Model for Opportunistic Scheduling in Wireless &#10;Networks"/>
        <s v="Heuristics for Quadratic Assignment Problem"/>
        <s v="Some Studies on Supply Chain Flexibility"/>
        <s v="Production Planning &amp; Scheduling in Automotive Paint Shops"/>
        <s v="A REAL OPTIONS APPROACH TO PROJECT VALUATIONS: APPLICATION TO RFID &#10;INVESTMENT VALUATION IN SUPPLY CHAINS"/>
        <s v="Supply Chain Coordination with Revenue Sharing Contract through Game Theory &#10;Approach"/>
        <s v="Impact of Demand Forecasting Techniques on Supply Chain Performance"/>
        <s v="OUTPUT ANALYSIS IN DISTRIBUTED SIMULATION OF SUPPLY CHAINS"/>
        <s v="A Study on Warranty Policies"/>
        <s v="Sensitivity Analysis of Value at Risk (VaR) and Conditional Value at Risk &#10;(CVaR)"/>
        <s v="Robust Optimization based Multi-period Portfolio Management"/>
        <s v="A study of Sponsored Search Auctions"/>
        <s v="Credit Risk Exposure for different Financial Instruments"/>
        <s v="APPLICATIONS OF PRICING AND REVENUE MANAGEMENT"/>
        <s v="Model Predictive Control Principles and Applications"/>
        <s v="Capacitated lot sizing in multi echelon inventory systems"/>
        <s v="A Study on Custom-Logistics Service Systems"/>
        <s v="A Study on Supply Chain Management of a Manufacturing Comapny"/>
        <s v="Distributed and Hybrid Simulation Environment for Supply Chain Analysis"/>
        <s v="Analysis of the Bullwhip Effect and Design of Dynamic Base Stock Control &#10;Policies in the Multi-Stage Production-Inventory Systems"/>
        <s v="Application of Priority Dispatching Rules in Assembly Job Shop"/>
        <s v="Game Theoretic Analysis in Supply Chain"/>
        <s v="Capacity Requirement Planning in ITES Supply Chain"/>
        <s v="A Study on Performance Measurement and Improvement in a Manufacturing &#10;Company"/>
        <s v="Dynamic Railway Rescheduling using Intelligent Agents"/>
        <s v="Constraint Directed Scheduling: Concepts and Applications"/>
        <s v="Distributed Simulation Environment for Supply Chain Analysis"/>
        <s v="Impact of Supply Uncertainty in Supply Chains"/>
        <s v="Automating Data Placement in Affordable Parallel Database Systems"/>
        <s v="Applications of reinforcement learning in multistage production planning"/>
        <s v="Optimal booking strategies for a shipper dealing with a monopolistic &#10;logistics carrier"/>
        <s v="Neural Networks for System Identification &amp; Estimation: Principles &amp; &#10;Applications"/>
        <s v="A Study on Lean Manufacturing"/>
        <s v="Timetabling and Operations Planning in Railway Networks"/>
        <s v="Modeling and analysis of manufacturing systems : A case study"/>
        <s v="Airline Crew Planning and Management"/>
        <s v="Some Novel Algorithms in Reinforcement Learning"/>
        <s v="EVALUATION OF RECONFIGURED MANUFACTURING SYSTEMS USING SIMULATION AND &#10;MULTI-CRITERIA METHODS"/>
        <s v="Service Level Contracts for Supply Chains"/>
        <s v="A case study on supply chain management"/>
        <s v="Optimization Problems In Sensor Network Design"/>
        <s v="Markov Chain Monte Carlo Simulation and its Application"/>
        <s v="Applications of Six Sigma Management"/>
        <s v="Interface Specifications and Output Analysis for Distributed Simulation of &#10;Supply Chains"/>
        <s v="Algorithms for computing equilibria and policies in some game theoretic &#10;models"/>
        <s v="System Dynamics Analysis of MRP-Based Production-Inventory Systems"/>
        <s v="Pricing for Third Party Logistics Service Providers"/>
        <s v="A STUDY ON SOURCING"/>
        <s v="PROJECT RISK MANAGEMENT"/>
        <s v="Recent Development In Application of Neural Networks in Combinatorial &#10;Optimization"/>
        <s v="Automatic Partitioning of Legacy Enterprise Simulation Models for &#10;Distributed Simulation"/>
        <s v="Processing and Properties of Metal Matrix composites for Satellite and &#10;Launch Vehicles"/>
        <s v="Scheduling Problems Using Constraint Satisfaciton Programming"/>
        <s v="Integrated Planning and Scheduling of Manufacturing Systems under &#10;Uncertainty"/>
        <s v="Demand Sensing and its Application in Revenue Management"/>
        <s v="Competences and Performance Measurement for Supply Chain Management"/>
        <s v="Inventory Models with Service Level Constraints"/>
        <s v="Applications of Revenue Management"/>
        <s v="Supply Chain Strategies and Inaccuracy Modeling in RFID-enabled System"/>
        <s v="Application of Neural Networks in Statistical Control Charts for Process &#10;Quality Control"/>
        <s v="A Study on Software Maintenance"/>
        <s v="Winner determination in Combinatorial Auctions"/>
        <s v="RECENT DEVELOPMENTS IN MULTI-ECHELON PRODUCTION-INVENTORY CONTROL SYSTEMS"/>
        <s v="Multi-Mode Resource Constrained Multi-Project Scheduling"/>
        <s v="An Event Based Simulation Algorithm for Train Scheduling"/>
        <s v="Congestion Management and Transmission system Expansion Planning using &#10;Duals in Restructured Electricity Markets"/>
        <s v="Queuing Model with Correlations among Interarrival Times and Service Times"/>
        <s v="Policies for Management of Stocks in Multi-product Models"/>
        <s v="A Study on Supply Chain System of a Multi-Plant Company"/>
        <s v="Asset Management"/>
        <s v="A Study on Agile Manufacturing Systems"/>
        <s v="Software Quality Management"/>
        <s v="Learning Algorithms for Risk Management"/>
        <s v="Strategies for quick response in supply chain"/>
        <s v="Application of Neural Networks in Robot trajectory Planning And Navigation"/>
        <s v="A Model for Optimum Product Variety Selection Considering Revenue and Cost"/>
        <s v="Cellular Manufacturing and Scheduling"/>
        <s v="Neural Networks for Combinatorial Optimization"/>
        <s v="Preparation of Train Timetables"/>
        <s v="Management of Perishable Inventories Using RFID Technology"/>
        <s v="Applications of Six Sigma management at Army Base Workshop"/>
        <s v="Effect of Aggregation and Disaggregation on forecasting performance"/>
        <s v="Some Models for Perishable Inventory Systems"/>
        <s v="Resource Scheduling in Project Environment"/>
        <s v="A Study of Some Algorithms for Inventory Systems"/>
        <s v="Principal component analysis and independent component analysis using &#10;neural networks"/>
        <s v="Modeling and Analysis for Supply Chain Management"/>
        <s v="Application of Quantitative models in CRM"/>
        <s v="Dcision Support System for Vehicle Routing and Related Problems"/>
        <s v="Web Enabled MRP module - Development and Integration with multilevel &#10;scheduling system"/>
        <s v="Simulation Studies on Railway Line Capacity"/>
        <s v="Optimal Pricing and Operating Policies for Competing Modes of Transport"/>
        <s v="Multiple Performance Measure Analysis of Multi-echelon supply chains"/>
        <s v="Development and application of an integrated system for managing quality"/>
        <s v="Some Studies on Reliability Centered Maintenance Systems"/>
        <s v="Computational Methods for Allocating Securities in Portfolios"/>
        <s v="Design and Operations of Cellular Manufacturing Systems"/>
        <s v="Performance Evaluation of an Open Assembly Line with Approximated &#10;Phase-Type Service Time Distributions"/>
        <s v="Application of Reinforcement Learning to Robot Navigation with faulty &#10;sensors and faulty actuators"/>
        <s v="Evaluating the suitability of functional and cellular manufacturing systems &#10;using simulation"/>
        <s v="Railway Scheduling and Capacity Planning -A Simulation Based approach"/>
        <s v="DSS BASED CYBERMEDIARY FOR SUPPLY CHAIN MANAGEMENT"/>
        <s v="APPLICATION OF SELF ORGANIZING MAP NEURAL NETWORKS TO ROBOT SELF &#10;LOCALIZATION"/>
        <s v="An Approach to Designing Focused Plants-within-a-Plant"/>
        <s v="Analysis of Operating Costs and Pricing Models on Transport Networks"/>
        <s v="IT Applications in Supply Chain Management"/>
        <s v="Web-based systems for production scheduling"/>
        <s v="Policies For New Product Introduction and Old Product Withdrawal"/>
        <s v="Decision Support System for Project Scheduling"/>
        <s v="Application of Powergraph Methodology in Supply Chain Management"/>
        <s v="Principles and Applications of Reinforcement Learning"/>
        <s v="Winner Determination for Multi Unit Combinatorial Auctions"/>
        <s v="Design and analysis of cellular manufacturing systems"/>
        <s v="Web-based Manufacturing Management Systems"/>
        <s v="Virtual Partnerships and Supply Chain Management"/>
        <s v="Customer Service System Using Knowledge Management"/>
        <s v="Some Hybrid Systems Using Concepts of Fuzzy Systems and Neural Networks"/>
        <s v="SUPPLY CHAIN MANAGEMENT: INTER-ORGANIZATIONAL COORDINATION"/>
        <s v="Collaborative Scheduling Systems for Make-to-Order Manufacturing Environment"/>
        <s v="Framework For Implementing Manufacturing Module of ERP System"/>
        <s v="Simulation of a Queueing Model for Hospital Systems"/>
        <s v="A study on design and operation of Cellular Manufacturing System"/>
        <s v="LOCATION-ALLOCATION MODELS USING GEOGRAPHICAL INFORMATION SYSTEMS"/>
        <s v="A DSS FOR ANNOUNCEMENT OF SALES PROMOTION SCHEME IN PERISHABLE SUPPLY CHAIN &#10;USING MARKOV DECISION PROCESSES"/>
        <s v="Shop Floor Management for ERP Systems"/>
        <s v="Justification of ERP system"/>
        <s v="Materials Mangagement Practices In Growing Small Scale Industries: A Supply &#10;Chain Management Perspective"/>
        <s v="Cost Management in Supply Chain"/>
        <s v="Object oriented simulation in FMS with AGVs"/>
        <s v="Optimal Stock Removal in LOM-RP"/>
        <s v="Suburban Railway Timetabling using CHIP"/>
        <s v="Computer based Plant Layout System"/>
        <s v="Maintenance Management Information System in Army repair establishment."/>
        <s v="Order release policies for ERP system"/>
      </sharedItems>
    </cacheField>
    <cacheField name="Placed At" numFmtId="0">
      <sharedItems containsBlank="1">
        <s v="Higher Study"/>
        <s v="Shell India"/>
        <s v="AMD"/>
        <s v="World Wide Technology"/>
        <s v="ANZ Bank"/>
        <s v="TCS Research &amp; Innovation"/>
        <s v="National Aluminium Company Ltd."/>
        <s v="Optym"/>
        <s v="Barclays"/>
        <s v="Amazon Development Centre"/>
        <s v="IQVIA"/>
        <s v="John Deere"/>
        <s v="General Mills"/>
        <s v="TCS R&amp;I"/>
        <s v="ExxonMobil"/>
        <m/>
        <s v="ZF India"/>
        <s v="Blume global"/>
        <s v="DHL"/>
        <s v="Jio"/>
        <s v="Amazon"/>
        <s v="John Deere India Pvt Ltd"/>
        <s v="Philips India Limited‌"/>
        <s v="Standard Chartered Modelling and Analytics Centre"/>
        <s v="Amnex Infotechnologies Pvt. Ltd."/>
        <s v="Axtria India Pvt. Ltd."/>
        <s v="Accenture"/>
        <s v="Amnex Infotechnologies P Limited"/>
        <s v="Honda R&amp;D, Japan"/>
        <s v="Flipkart"/>
        <s v="Evalueserve"/>
        <s v="Accenture Solutions"/>
        <s v="Virtusa Consulting Services Pvt Ltd"/>
        <s v="McKinsey Knowledge Centre"/>
        <s v="ORMAE LLP"/>
        <s v="ICICI Lombard"/>
        <s v="Dell International Services Ltd."/>
        <s v="Axis bank"/>
        <s v="ICICI Lombard GIC Limited"/>
        <s v="Blume Global India Pvt. Ltd"/>
        <s v="Blume Globals"/>
        <s v="ICICI GIC."/>
        <s v="XPO Logistics"/>
        <s v="Pristine Retail Solutions Private Limited"/>
        <s v="Shohoz Limited"/>
        <s v="Accenture Operations"/>
        <s v="Opex Analytics"/>
        <s v="Blume Global India"/>
        <s v="ICICI Securities Ltd."/>
        <s v="Engineers.ai"/>
        <s v="Sheorey Digital Systems"/>
        <s v="ORMAE"/>
        <s v="Citibank"/>
        <s v="Aditya imaging"/>
        <s v="SOLV"/>
        <s v="HSBC"/>
        <s v="micron"/>
        <s v="TCS R&amp;D"/>
        <s v="Archeron"/>
        <s v="DHL Supply chain"/>
        <s v="Exxon Mobil"/>
        <s v="Honda R&amp;D Co., Ltd."/>
        <s v="ubisoft"/>
        <s v="DHL Supply Chain India Pvt. Ltd."/>
        <s v="Procter &amp; Gamble"/>
        <s v="TransUnion CIBIL Limited"/>
        <s v="HSBC Global Service Centre"/>
        <s v="Flytxt Mobile Solutions Pvt Ltd"/>
        <s v="NEC Japan"/>
        <s v="ICICI Lombard General Insurance Company Ltd."/>
        <s v="Boeing India"/>
        <s v="JDA Software Pvt Ltd."/>
        <s v="Capital First Ltd"/>
        <s v="Sheorey Digital Systems Pvt. Ltd."/>
        <s v="Hilabs"/>
        <s v="Curl Analytics"/>
        <s v="Redefine Global Pvt Ltd"/>
        <s v="BPCL"/>
        <s v="AVA Retail"/>
        <s v="PricewaterhouseCoopers"/>
        <s v="McKinsey Knowledge Center"/>
        <s v="JDA Software"/>
        <s v="Societe General"/>
        <s v="Sutherland Global"/>
        <s v="Indegene"/>
        <s v="TCS Analytics"/>
        <s v="KPIT"/>
        <s v="HSBC Global Resourcing"/>
        <s v="Robert Bosch"/>
        <s v="Bloom Energy India"/>
        <s v="GeP Solutions Pvt Ltd"/>
        <s v="Mahindra Comviva"/>
        <s v="Accenture Servic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 C" cacheId="0" dataCaption="" compact="0" compactData="0">
  <location ref="A1:C112" firstHeaderRow="0" firstDataRow="2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Programme" axis="axisRow" compact="0" outline="0" multipleItemSelectionAllowed="1" showAll="0" sortType="ascending">
      <items>
        <item x="5"/>
        <item x="1"/>
        <item x="7"/>
        <item x="2"/>
        <item x="0"/>
        <item x="6"/>
        <item x="4"/>
        <item x="3"/>
        <item t="default"/>
      </items>
    </pivotField>
    <pivotField name="Grad Year" axis="axisRow" compact="0" outline="0" multipleItemSelectionAllowed="1" showAll="0" sortType="ascending">
      <items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h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Placed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2"/>
    <field x="1"/>
  </rowFields>
  <dataFields>
    <dataField name="COUNTA of Name" fld="0" subtotal="count" baseField="0"/>
  </dataFields>
</pivotTableDefinition>
</file>

<file path=xl/pivotTables/pivotTable2.xml><?xml version="1.0" encoding="utf-8"?>
<pivotTableDefinition xmlns="http://schemas.openxmlformats.org/spreadsheetml/2006/main" name="TASK B2" cacheId="0" dataCaption="" createdVersion="6" compact="0" compactData="0">
  <location ref="A1:J16" firstHeaderRow="0" firstDataRow="1" firstDataCol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Programme" axis="axisCol" compact="0" outline="0" multipleItemSelectionAllowed="1" showAll="0" sortType="ascending">
      <items>
        <item x="5"/>
        <item x="1"/>
        <item x="7"/>
        <item x="2"/>
        <item x="0"/>
        <item x="6"/>
        <item x="4"/>
        <item x="3"/>
        <item t="default"/>
      </items>
    </pivotField>
    <pivotField name="Grad Year" axis="axisRow" compact="0" outline="0" multipleItemSelectionAllowed="1" showAll="0" sortType="ascending">
      <items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h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Placed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2"/>
  </rowFields>
  <colFields>
    <field x="1"/>
  </colFields>
  <dataFields>
    <dataField name="COUNTA of Name" fld="0" subtotal="count" baseField="0"/>
  </dataFields>
  <filters>
    <filter fld="2" type="captionGreaterThanOrEqual" evalOrder="-1" id="1" stringValue1="2010">
      <autoFilter ref="A1">
        <filterColumn colId="0">
          <customFilters>
            <customFilter operator="greaterThanOrEqual" val="201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TASK B1" cacheId="0" dataCaption="" compact="0" compactData="0">
  <location ref="A1:J35" firstHeaderRow="0" firstDataRow="1" firstDataCol="1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Programme" axis="axisCol" compact="0" outline="0" multipleItemSelectionAllowed="1" showAll="0" sortType="ascending">
      <items>
        <item x="5"/>
        <item x="1"/>
        <item x="7"/>
        <item x="2"/>
        <item x="0"/>
        <item x="6"/>
        <item x="4"/>
        <item x="3"/>
        <item t="default"/>
      </items>
    </pivotField>
    <pivotField name="Grad Year" axis="axisRow" compact="0" outline="0" multipleItemSelectionAllowed="1" showAll="0" sortType="ascending">
      <items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Th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Placed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2"/>
  </rowFields>
  <colFields>
    <field x="1"/>
  </colFields>
  <dataFields>
    <dataField name="COUNTA of Name" fld="0" subtotal="count" baseField="0"/>
  </dataFields>
</pivotTableDefinition>
</file>

<file path=xl/pivotTables/pivotTable4.xml><?xml version="1.0" encoding="utf-8"?>
<pivotTableDefinition xmlns="http://schemas.openxmlformats.org/spreadsheetml/2006/main" name="TASK A" cacheId="0" dataCaption="" compact="0" compactData="0">
  <location ref="A1:B10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Programme" axis="axisRow" compact="0" outline="0" multipleItemSelectionAllowed="1" showAll="0" sortType="ascending">
      <items>
        <item x="5"/>
        <item x="1"/>
        <item x="7"/>
        <item x="2"/>
        <item x="0"/>
        <item x="6"/>
        <item x="4"/>
        <item x="3"/>
        <item t="default"/>
      </items>
    </pivotField>
    <pivotField name="Grad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h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Placed 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"/>
  </rowFields>
  <dataFields>
    <dataField name="COUNTA of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.sc" TargetMode="External"/><Relationship Id="rId42" Type="http://schemas.openxmlformats.org/officeDocument/2006/relationships/hyperlink" Target="http://m.sc" TargetMode="External"/><Relationship Id="rId41" Type="http://schemas.openxmlformats.org/officeDocument/2006/relationships/hyperlink" Target="http://m.sc" TargetMode="External"/><Relationship Id="rId44" Type="http://schemas.openxmlformats.org/officeDocument/2006/relationships/hyperlink" Target="http://m.sc" TargetMode="External"/><Relationship Id="rId43" Type="http://schemas.openxmlformats.org/officeDocument/2006/relationships/hyperlink" Target="http://m.sc" TargetMode="External"/><Relationship Id="rId46" Type="http://schemas.openxmlformats.org/officeDocument/2006/relationships/hyperlink" Target="http://m.sc" TargetMode="External"/><Relationship Id="rId45" Type="http://schemas.openxmlformats.org/officeDocument/2006/relationships/hyperlink" Target="http://m.sc" TargetMode="External"/><Relationship Id="rId1" Type="http://schemas.openxmlformats.org/officeDocument/2006/relationships/hyperlink" Target="http://m.sc" TargetMode="External"/><Relationship Id="rId2" Type="http://schemas.openxmlformats.org/officeDocument/2006/relationships/hyperlink" Target="http://m.sc" TargetMode="External"/><Relationship Id="rId3" Type="http://schemas.openxmlformats.org/officeDocument/2006/relationships/hyperlink" Target="http://m.sc" TargetMode="External"/><Relationship Id="rId4" Type="http://schemas.openxmlformats.org/officeDocument/2006/relationships/hyperlink" Target="http://m.sc" TargetMode="External"/><Relationship Id="rId9" Type="http://schemas.openxmlformats.org/officeDocument/2006/relationships/hyperlink" Target="http://m.sc" TargetMode="External"/><Relationship Id="rId48" Type="http://schemas.openxmlformats.org/officeDocument/2006/relationships/hyperlink" Target="http://m.sc" TargetMode="External"/><Relationship Id="rId47" Type="http://schemas.openxmlformats.org/officeDocument/2006/relationships/hyperlink" Target="http://m.sc" TargetMode="External"/><Relationship Id="rId49" Type="http://schemas.openxmlformats.org/officeDocument/2006/relationships/hyperlink" Target="http://m.sc" TargetMode="External"/><Relationship Id="rId5" Type="http://schemas.openxmlformats.org/officeDocument/2006/relationships/hyperlink" Target="http://m.sc" TargetMode="External"/><Relationship Id="rId6" Type="http://schemas.openxmlformats.org/officeDocument/2006/relationships/hyperlink" Target="http://m.sc" TargetMode="External"/><Relationship Id="rId7" Type="http://schemas.openxmlformats.org/officeDocument/2006/relationships/hyperlink" Target="http://m.sc" TargetMode="External"/><Relationship Id="rId8" Type="http://schemas.openxmlformats.org/officeDocument/2006/relationships/hyperlink" Target="http://m.sc" TargetMode="External"/><Relationship Id="rId31" Type="http://schemas.openxmlformats.org/officeDocument/2006/relationships/hyperlink" Target="http://m.sc" TargetMode="External"/><Relationship Id="rId30" Type="http://schemas.openxmlformats.org/officeDocument/2006/relationships/hyperlink" Target="http://m.sc" TargetMode="External"/><Relationship Id="rId33" Type="http://schemas.openxmlformats.org/officeDocument/2006/relationships/hyperlink" Target="http://m.sc" TargetMode="External"/><Relationship Id="rId32" Type="http://schemas.openxmlformats.org/officeDocument/2006/relationships/hyperlink" Target="http://m.sc" TargetMode="External"/><Relationship Id="rId35" Type="http://schemas.openxmlformats.org/officeDocument/2006/relationships/hyperlink" Target="http://m.sc" TargetMode="External"/><Relationship Id="rId34" Type="http://schemas.openxmlformats.org/officeDocument/2006/relationships/hyperlink" Target="http://m.sc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://m.sc" TargetMode="External"/><Relationship Id="rId36" Type="http://schemas.openxmlformats.org/officeDocument/2006/relationships/hyperlink" Target="http://m.sc" TargetMode="External"/><Relationship Id="rId39" Type="http://schemas.openxmlformats.org/officeDocument/2006/relationships/hyperlink" Target="http://m.sc" TargetMode="External"/><Relationship Id="rId38" Type="http://schemas.openxmlformats.org/officeDocument/2006/relationships/hyperlink" Target="http://m.sc" TargetMode="External"/><Relationship Id="rId62" Type="http://schemas.openxmlformats.org/officeDocument/2006/relationships/hyperlink" Target="http://m.sc" TargetMode="External"/><Relationship Id="rId61" Type="http://schemas.openxmlformats.org/officeDocument/2006/relationships/hyperlink" Target="http://m.sc" TargetMode="External"/><Relationship Id="rId20" Type="http://schemas.openxmlformats.org/officeDocument/2006/relationships/hyperlink" Target="http://m.sc" TargetMode="External"/><Relationship Id="rId64" Type="http://schemas.openxmlformats.org/officeDocument/2006/relationships/hyperlink" Target="http://m.sc" TargetMode="External"/><Relationship Id="rId63" Type="http://schemas.openxmlformats.org/officeDocument/2006/relationships/hyperlink" Target="http://m.sc" TargetMode="External"/><Relationship Id="rId22" Type="http://schemas.openxmlformats.org/officeDocument/2006/relationships/hyperlink" Target="http://engineers.ai" TargetMode="External"/><Relationship Id="rId66" Type="http://schemas.openxmlformats.org/officeDocument/2006/relationships/hyperlink" Target="http://m.sc" TargetMode="External"/><Relationship Id="rId21" Type="http://schemas.openxmlformats.org/officeDocument/2006/relationships/hyperlink" Target="http://m.sc" TargetMode="External"/><Relationship Id="rId65" Type="http://schemas.openxmlformats.org/officeDocument/2006/relationships/hyperlink" Target="http://m.sc" TargetMode="External"/><Relationship Id="rId24" Type="http://schemas.openxmlformats.org/officeDocument/2006/relationships/hyperlink" Target="http://m.sc" TargetMode="External"/><Relationship Id="rId68" Type="http://schemas.openxmlformats.org/officeDocument/2006/relationships/hyperlink" Target="http://m.sc" TargetMode="External"/><Relationship Id="rId23" Type="http://schemas.openxmlformats.org/officeDocument/2006/relationships/hyperlink" Target="http://m.sc" TargetMode="External"/><Relationship Id="rId67" Type="http://schemas.openxmlformats.org/officeDocument/2006/relationships/hyperlink" Target="http://m.sc" TargetMode="External"/><Relationship Id="rId60" Type="http://schemas.openxmlformats.org/officeDocument/2006/relationships/hyperlink" Target="http://m.sc" TargetMode="External"/><Relationship Id="rId26" Type="http://schemas.openxmlformats.org/officeDocument/2006/relationships/hyperlink" Target="http://m.sc" TargetMode="External"/><Relationship Id="rId25" Type="http://schemas.openxmlformats.org/officeDocument/2006/relationships/hyperlink" Target="http://m.sc" TargetMode="External"/><Relationship Id="rId69" Type="http://schemas.openxmlformats.org/officeDocument/2006/relationships/hyperlink" Target="http://m.sc" TargetMode="External"/><Relationship Id="rId28" Type="http://schemas.openxmlformats.org/officeDocument/2006/relationships/hyperlink" Target="http://m.sc" TargetMode="External"/><Relationship Id="rId27" Type="http://schemas.openxmlformats.org/officeDocument/2006/relationships/hyperlink" Target="http://m.sc" TargetMode="External"/><Relationship Id="rId29" Type="http://schemas.openxmlformats.org/officeDocument/2006/relationships/hyperlink" Target="http://m.sc" TargetMode="External"/><Relationship Id="rId51" Type="http://schemas.openxmlformats.org/officeDocument/2006/relationships/hyperlink" Target="http://m.sc" TargetMode="External"/><Relationship Id="rId50" Type="http://schemas.openxmlformats.org/officeDocument/2006/relationships/hyperlink" Target="http://m.sc" TargetMode="External"/><Relationship Id="rId53" Type="http://schemas.openxmlformats.org/officeDocument/2006/relationships/hyperlink" Target="http://m.sc" TargetMode="External"/><Relationship Id="rId52" Type="http://schemas.openxmlformats.org/officeDocument/2006/relationships/hyperlink" Target="http://m.sc" TargetMode="External"/><Relationship Id="rId11" Type="http://schemas.openxmlformats.org/officeDocument/2006/relationships/hyperlink" Target="http://m.sc" TargetMode="External"/><Relationship Id="rId55" Type="http://schemas.openxmlformats.org/officeDocument/2006/relationships/hyperlink" Target="http://m.sc" TargetMode="External"/><Relationship Id="rId10" Type="http://schemas.openxmlformats.org/officeDocument/2006/relationships/hyperlink" Target="http://m.sc" TargetMode="External"/><Relationship Id="rId54" Type="http://schemas.openxmlformats.org/officeDocument/2006/relationships/hyperlink" Target="http://m.sc" TargetMode="External"/><Relationship Id="rId13" Type="http://schemas.openxmlformats.org/officeDocument/2006/relationships/hyperlink" Target="http://m.sc" TargetMode="External"/><Relationship Id="rId57" Type="http://schemas.openxmlformats.org/officeDocument/2006/relationships/hyperlink" Target="http://m.sc" TargetMode="External"/><Relationship Id="rId12" Type="http://schemas.openxmlformats.org/officeDocument/2006/relationships/hyperlink" Target="http://m.sc" TargetMode="External"/><Relationship Id="rId56" Type="http://schemas.openxmlformats.org/officeDocument/2006/relationships/hyperlink" Target="http://m.sc" TargetMode="External"/><Relationship Id="rId15" Type="http://schemas.openxmlformats.org/officeDocument/2006/relationships/hyperlink" Target="http://m.sc" TargetMode="External"/><Relationship Id="rId59" Type="http://schemas.openxmlformats.org/officeDocument/2006/relationships/hyperlink" Target="http://m.sc" TargetMode="External"/><Relationship Id="rId14" Type="http://schemas.openxmlformats.org/officeDocument/2006/relationships/hyperlink" Target="http://m.sc" TargetMode="External"/><Relationship Id="rId58" Type="http://schemas.openxmlformats.org/officeDocument/2006/relationships/hyperlink" Target="http://m.sc" TargetMode="External"/><Relationship Id="rId17" Type="http://schemas.openxmlformats.org/officeDocument/2006/relationships/hyperlink" Target="http://m.sc" TargetMode="External"/><Relationship Id="rId16" Type="http://schemas.openxmlformats.org/officeDocument/2006/relationships/hyperlink" Target="http://m.sc" TargetMode="External"/><Relationship Id="rId19" Type="http://schemas.openxmlformats.org/officeDocument/2006/relationships/hyperlink" Target="http://m.sc" TargetMode="External"/><Relationship Id="rId18" Type="http://schemas.openxmlformats.org/officeDocument/2006/relationships/hyperlink" Target="http://m.s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m.sc" TargetMode="External"/><Relationship Id="rId3" Type="http://schemas.openxmlformats.org/officeDocument/2006/relationships/hyperlink" Target="http://m.sc" TargetMode="External"/><Relationship Id="rId4" Type="http://schemas.openxmlformats.org/officeDocument/2006/relationships/hyperlink" Target="http://m.sc" TargetMode="External"/><Relationship Id="rId9" Type="http://schemas.openxmlformats.org/officeDocument/2006/relationships/hyperlink" Target="http://m.sc" TargetMode="External"/><Relationship Id="rId5" Type="http://schemas.openxmlformats.org/officeDocument/2006/relationships/hyperlink" Target="http://m.sc" TargetMode="External"/><Relationship Id="rId6" Type="http://schemas.openxmlformats.org/officeDocument/2006/relationships/hyperlink" Target="http://m.sc" TargetMode="External"/><Relationship Id="rId7" Type="http://schemas.openxmlformats.org/officeDocument/2006/relationships/hyperlink" Target="http://m.sc" TargetMode="External"/><Relationship Id="rId8" Type="http://schemas.openxmlformats.org/officeDocument/2006/relationships/hyperlink" Target="http://m.sc" TargetMode="External"/><Relationship Id="rId11" Type="http://schemas.openxmlformats.org/officeDocument/2006/relationships/hyperlink" Target="http://m.sc" TargetMode="External"/><Relationship Id="rId10" Type="http://schemas.openxmlformats.org/officeDocument/2006/relationships/hyperlink" Target="http://m.sc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m.s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m.sc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hyperlink" Target="http://m.sc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hyperlink" Target="http://m.sc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m.sc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12.63"/>
    <col customWidth="1" min="4" max="4" width="60.38"/>
    <col customWidth="1" min="5" max="5" width="27.38"/>
    <col customWidth="1" min="6" max="6" width="12.63"/>
  </cols>
  <sheetData>
    <row r="1" ht="15.75" customHeight="1">
      <c r="A1" s="1" t="str">
        <f>IFERROR(__xludf.DUMMYFUNCTION("IMPORTHTML(""https://www.ieor.iitb.ac.in/people/alumni"",""table"", 2)"),"Name")</f>
        <v>Name</v>
      </c>
      <c r="B1" s="1" t="str">
        <f>IFERROR(__xludf.DUMMYFUNCTION("""COMPUTED_VALUE"""),"Programme")</f>
        <v>Programme</v>
      </c>
      <c r="C1" s="1" t="str">
        <f>IFERROR(__xludf.DUMMYFUNCTION("""COMPUTED_VALUE"""),"Grad Year")</f>
        <v>Grad Year</v>
      </c>
      <c r="D1" s="1" t="str">
        <f>IFERROR(__xludf.DUMMYFUNCTION("""COMPUTED_VALUE"""),"Thesis")</f>
        <v>Thesis</v>
      </c>
      <c r="E1" s="1" t="str">
        <f>IFERROR(__xludf.DUMMYFUNCTION("""COMPUTED_VALUE"""),"Placed At")</f>
        <v>Placed At</v>
      </c>
    </row>
    <row r="2" ht="15.75" customHeight="1">
      <c r="A2" s="1" t="str">
        <f>IFERROR(__xludf.DUMMYFUNCTION("""COMPUTED_VALUE"""),"Sunil Hari Kahalekar")</f>
        <v>Sunil Hari Kahalekar</v>
      </c>
      <c r="B2" s="1" t="str">
        <f>IFERROR(__xludf.DUMMYFUNCTION("""COMPUTED_VALUE"""),"M.Tech")</f>
        <v>M.Tech</v>
      </c>
      <c r="C2" s="1">
        <f>IFERROR(__xludf.DUMMYFUNCTION("""COMPUTED_VALUE"""),2022.0)</f>
        <v>2022</v>
      </c>
      <c r="D2" s="1" t="str">
        <f>IFERROR(__xludf.DUMMYFUNCTION("""COMPUTED_VALUE"""),"Application of Machine Learning in Cyber Security")</f>
        <v>Application of Machine Learning in Cyber Security</v>
      </c>
      <c r="E2" s="1" t="str">
        <f>IFERROR(__xludf.DUMMYFUNCTION("""COMPUTED_VALUE"""),"Higher Study")</f>
        <v>Higher Study</v>
      </c>
    </row>
    <row r="3" ht="15.75" customHeight="1">
      <c r="A3" s="1" t="str">
        <f>IFERROR(__xludf.DUMMYFUNCTION("""COMPUTED_VALUE"""),"Pandit Ashish Anilkumar")</f>
        <v>Pandit Ashish Anilkumar</v>
      </c>
      <c r="B3" s="1" t="str">
        <f>IFERROR(__xludf.DUMMYFUNCTION("""COMPUTED_VALUE"""),"M.Tech")</f>
        <v>M.Tech</v>
      </c>
      <c r="C3" s="1">
        <f>IFERROR(__xludf.DUMMYFUNCTION("""COMPUTED_VALUE"""),2022.0)</f>
        <v>2022</v>
      </c>
      <c r="D3" s="1" t="str">
        <f>IFERROR(__xludf.DUMMYFUNCTION("""COMPUTED_VALUE"""),"Allocation and routing for first and last mile operations")</f>
        <v>Allocation and routing for first and last mile operations</v>
      </c>
      <c r="E3" s="1" t="str">
        <f>IFERROR(__xludf.DUMMYFUNCTION("""COMPUTED_VALUE"""),"Shell India")</f>
        <v>Shell India</v>
      </c>
    </row>
    <row r="4" ht="15.75" customHeight="1">
      <c r="A4" s="1" t="str">
        <f>IFERROR(__xludf.DUMMYFUNCTION("""COMPUTED_VALUE"""),"Tejal Topre")</f>
        <v>Tejal Topre</v>
      </c>
      <c r="B4" s="1" t="str">
        <f>IFERROR(__xludf.DUMMYFUNCTION("""COMPUTED_VALUE"""),"M.Tech")</f>
        <v>M.Tech</v>
      </c>
      <c r="C4" s="1">
        <f>IFERROR(__xludf.DUMMYFUNCTION("""COMPUTED_VALUE"""),2022.0)</f>
        <v>2022</v>
      </c>
      <c r="D4" s="1" t="str">
        <f>IFERROR(__xludf.DUMMYFUNCTION("""COMPUTED_VALUE"""),"Rulesets for Detecting Malicious Attacks in Linux")</f>
        <v>Rulesets for Detecting Malicious Attacks in Linux</v>
      </c>
      <c r="E4" s="1" t="str">
        <f>IFERROR(__xludf.DUMMYFUNCTION("""COMPUTED_VALUE"""),"AMD")</f>
        <v>AMD</v>
      </c>
    </row>
    <row r="5" ht="15.75" customHeight="1">
      <c r="A5" s="1" t="str">
        <f>IFERROR(__xludf.DUMMYFUNCTION("""COMPUTED_VALUE"""),"Mayank Seth")</f>
        <v>Mayank Seth</v>
      </c>
      <c r="B5" s="1" t="str">
        <f>IFERROR(__xludf.DUMMYFUNCTION("""COMPUTED_VALUE"""),"M.Tech")</f>
        <v>M.Tech</v>
      </c>
      <c r="C5" s="1">
        <f>IFERROR(__xludf.DUMMYFUNCTION("""COMPUTED_VALUE"""),2022.0)</f>
        <v>2022</v>
      </c>
      <c r="D5" s="1" t="str">
        <f>IFERROR(__xludf.DUMMYFUNCTION("""COMPUTED_VALUE"""),"Deep Learning for Speech Enhancement")</f>
        <v>Deep Learning for Speech Enhancement</v>
      </c>
      <c r="E5" s="1" t="str">
        <f>IFERROR(__xludf.DUMMYFUNCTION("""COMPUTED_VALUE"""),"World Wide Technology")</f>
        <v>World Wide Technology</v>
      </c>
    </row>
    <row r="6" ht="15.75" customHeight="1">
      <c r="A6" s="1" t="str">
        <f>IFERROR(__xludf.DUMMYFUNCTION("""COMPUTED_VALUE"""),"Shubham Bhasin")</f>
        <v>Shubham Bhasin</v>
      </c>
      <c r="B6" s="1" t="str">
        <f>IFERROR(__xludf.DUMMYFUNCTION("""COMPUTED_VALUE"""),"M.Tech")</f>
        <v>M.Tech</v>
      </c>
      <c r="C6" s="1">
        <f>IFERROR(__xludf.DUMMYFUNCTION("""COMPUTED_VALUE"""),2022.0)</f>
        <v>2022</v>
      </c>
      <c r="D6" s="1" t="str">
        <f>IFERROR(__xludf.DUMMYFUNCTION("""COMPUTED_VALUE"""),"Assessment and Improvement of Inventory Ordering Decision of Spares")</f>
        <v>Assessment and Improvement of Inventory Ordering Decision of Spares</v>
      </c>
      <c r="E6" s="1" t="str">
        <f>IFERROR(__xludf.DUMMYFUNCTION("""COMPUTED_VALUE"""),"ANZ Bank")</f>
        <v>ANZ Bank</v>
      </c>
    </row>
    <row r="7" ht="15.75" customHeight="1">
      <c r="A7" s="1" t="str">
        <f>IFERROR(__xludf.DUMMYFUNCTION("""COMPUTED_VALUE"""),"Mohammad Sikander Khan")</f>
        <v>Mohammad Sikander Khan</v>
      </c>
      <c r="B7" s="1" t="str">
        <f>IFERROR(__xludf.DUMMYFUNCTION("""COMPUTED_VALUE"""),"M.Tech")</f>
        <v>M.Tech</v>
      </c>
      <c r="C7" s="1">
        <f>IFERROR(__xludf.DUMMYFUNCTION("""COMPUTED_VALUE"""),2022.0)</f>
        <v>2022</v>
      </c>
      <c r="D7" s="1" t="str">
        <f>IFERROR(__xludf.DUMMYFUNCTION("""COMPUTED_VALUE"""),"Optimisation of First and Last Mile Pickup and Delivery having dynamic 
nature of order arrivals")</f>
        <v>Optimisation of First and Last Mile Pickup and Delivery having dynamic 
nature of order arrivals</v>
      </c>
      <c r="E7" s="1" t="str">
        <f>IFERROR(__xludf.DUMMYFUNCTION("""COMPUTED_VALUE"""),"ANZ Bank")</f>
        <v>ANZ Bank</v>
      </c>
    </row>
    <row r="8" ht="15.75" customHeight="1">
      <c r="A8" s="1" t="str">
        <f>IFERROR(__xludf.DUMMYFUNCTION("""COMPUTED_VALUE"""),"Rishabh Kumar")</f>
        <v>Rishabh Kumar</v>
      </c>
      <c r="B8" s="1" t="str">
        <f>IFERROR(__xludf.DUMMYFUNCTION("""COMPUTED_VALUE"""),"M.Tech")</f>
        <v>M.Tech</v>
      </c>
      <c r="C8" s="1">
        <f>IFERROR(__xludf.DUMMYFUNCTION("""COMPUTED_VALUE"""),2022.0)</f>
        <v>2022</v>
      </c>
      <c r="D8" s="1" t="str">
        <f>IFERROR(__xludf.DUMMYFUNCTION("""COMPUTED_VALUE"""),"Fairness in Stochastic Traveling Salesman Problem with multiple visits")</f>
        <v>Fairness in Stochastic Traveling Salesman Problem with multiple visits</v>
      </c>
      <c r="E8" s="1" t="str">
        <f>IFERROR(__xludf.DUMMYFUNCTION("""COMPUTED_VALUE"""),"TCS Research &amp; Innovation")</f>
        <v>TCS Research &amp; Innovation</v>
      </c>
    </row>
    <row r="9" ht="15.75" customHeight="1">
      <c r="A9" s="1" t="str">
        <f>IFERROR(__xludf.DUMMYFUNCTION("""COMPUTED_VALUE"""),"Mulla Dada Khalandar")</f>
        <v>Mulla Dada Khalandar</v>
      </c>
      <c r="B9" s="1" t="str">
        <f>IFERROR(__xludf.DUMMYFUNCTION("""COMPUTED_VALUE"""),"M.Tech")</f>
        <v>M.Tech</v>
      </c>
      <c r="C9" s="1">
        <f>IFERROR(__xludf.DUMMYFUNCTION("""COMPUTED_VALUE"""),2022.0)</f>
        <v>2022</v>
      </c>
      <c r="D9" s="1" t="str">
        <f>IFERROR(__xludf.DUMMYFUNCTION("""COMPUTED_VALUE"""),"Optimization of Water Distribution Network")</f>
        <v>Optimization of Water Distribution Network</v>
      </c>
      <c r="E9" s="1" t="str">
        <f>IFERROR(__xludf.DUMMYFUNCTION("""COMPUTED_VALUE"""),"National Aluminium Company Ltd.")</f>
        <v>National Aluminium Company Ltd.</v>
      </c>
    </row>
    <row r="10" ht="15.75" customHeight="1">
      <c r="A10" s="1" t="str">
        <f>IFERROR(__xludf.DUMMYFUNCTION("""COMPUTED_VALUE"""),"Konge Utkarsh Vasudev")</f>
        <v>Konge Utkarsh Vasudev</v>
      </c>
      <c r="B10" s="1" t="str">
        <f>IFERROR(__xludf.DUMMYFUNCTION("""COMPUTED_VALUE"""),"M.Tech")</f>
        <v>M.Tech</v>
      </c>
      <c r="C10" s="1">
        <f>IFERROR(__xludf.DUMMYFUNCTION("""COMPUTED_VALUE"""),2022.0)</f>
        <v>2022</v>
      </c>
      <c r="D10" s="1" t="str">
        <f>IFERROR(__xludf.DUMMYFUNCTION("""COMPUTED_VALUE"""),"Supply Chain Archetype Framework &amp; Container Train Scheduling for 
Multi-terminal Port")</f>
        <v>Supply Chain Archetype Framework &amp; Container Train Scheduling for 
Multi-terminal Port</v>
      </c>
      <c r="E10" s="1" t="str">
        <f>IFERROR(__xludf.DUMMYFUNCTION("""COMPUTED_VALUE"""),"Optym")</f>
        <v>Optym</v>
      </c>
    </row>
    <row r="11" ht="15.75" customHeight="1">
      <c r="A11" s="1" t="str">
        <f>IFERROR(__xludf.DUMMYFUNCTION("""COMPUTED_VALUE"""),"Harshit Kumar")</f>
        <v>Harshit Kumar</v>
      </c>
      <c r="B11" s="1" t="str">
        <f>IFERROR(__xludf.DUMMYFUNCTION("""COMPUTED_VALUE"""),"M.Tech")</f>
        <v>M.Tech</v>
      </c>
      <c r="C11" s="1">
        <f>IFERROR(__xludf.DUMMYFUNCTION("""COMPUTED_VALUE"""),2022.0)</f>
        <v>2022</v>
      </c>
      <c r="D11" s="1" t="str">
        <f>IFERROR(__xludf.DUMMYFUNCTION("""COMPUTED_VALUE"""),"Deep Learning Models for Survival Analysis")</f>
        <v>Deep Learning Models for Survival Analysis</v>
      </c>
      <c r="E11" s="1" t="str">
        <f>IFERROR(__xludf.DUMMYFUNCTION("""COMPUTED_VALUE"""),"Barclays")</f>
        <v>Barclays</v>
      </c>
    </row>
    <row r="12" ht="15.75" customHeight="1">
      <c r="A12" s="1" t="str">
        <f>IFERROR(__xludf.DUMMYFUNCTION("""COMPUTED_VALUE"""),"Kshitij Agrawal")</f>
        <v>Kshitij Agrawal</v>
      </c>
      <c r="B12" s="1" t="str">
        <f>IFERROR(__xludf.DUMMYFUNCTION("""COMPUTED_VALUE"""),"M.Tech")</f>
        <v>M.Tech</v>
      </c>
      <c r="C12" s="1">
        <f>IFERROR(__xludf.DUMMYFUNCTION("""COMPUTED_VALUE"""),2022.0)</f>
        <v>2022</v>
      </c>
      <c r="D12" s="1" t="str">
        <f>IFERROR(__xludf.DUMMYFUNCTION("""COMPUTED_VALUE"""),"Neural Architecture Search")</f>
        <v>Neural Architecture Search</v>
      </c>
      <c r="E12" s="1" t="str">
        <f>IFERROR(__xludf.DUMMYFUNCTION("""COMPUTED_VALUE"""),"Amazon Development Centre")</f>
        <v>Amazon Development Centre</v>
      </c>
    </row>
    <row r="13" ht="15.75" customHeight="1">
      <c r="A13" s="1" t="str">
        <f>IFERROR(__xludf.DUMMYFUNCTION("""COMPUTED_VALUE"""),"Naik Chinmay Sandeep")</f>
        <v>Naik Chinmay Sandeep</v>
      </c>
      <c r="B13" s="1" t="str">
        <f>IFERROR(__xludf.DUMMYFUNCTION("""COMPUTED_VALUE"""),"M.Tech")</f>
        <v>M.Tech</v>
      </c>
      <c r="C13" s="1">
        <f>IFERROR(__xludf.DUMMYFUNCTION("""COMPUTED_VALUE"""),2022.0)</f>
        <v>2022</v>
      </c>
      <c r="D13" s="1" t="str">
        <f>IFERROR(__xludf.DUMMYFUNCTION("""COMPUTED_VALUE"""),"Deep Learning for Neural Machine Translation in Indian Languages")</f>
        <v>Deep Learning for Neural Machine Translation in Indian Languages</v>
      </c>
      <c r="E13" s="1" t="str">
        <f>IFERROR(__xludf.DUMMYFUNCTION("""COMPUTED_VALUE"""),"IQVIA")</f>
        <v>IQVIA</v>
      </c>
    </row>
    <row r="14" ht="15.75" customHeight="1">
      <c r="A14" s="1" t="str">
        <f>IFERROR(__xludf.DUMMYFUNCTION("""COMPUTED_VALUE"""),"Kshitij Kushwaha")</f>
        <v>Kshitij Kushwaha</v>
      </c>
      <c r="B14" s="1" t="str">
        <f>IFERROR(__xludf.DUMMYFUNCTION("""COMPUTED_VALUE"""),"M.Tech")</f>
        <v>M.Tech</v>
      </c>
      <c r="C14" s="1">
        <f>IFERROR(__xludf.DUMMYFUNCTION("""COMPUTED_VALUE"""),2022.0)</f>
        <v>2022</v>
      </c>
      <c r="D14" s="1" t="str">
        <f>IFERROR(__xludf.DUMMYFUNCTION("""COMPUTED_VALUE"""),"Optimizing revenue and energy utilization for public charging stations")</f>
        <v>Optimizing revenue and energy utilization for public charging stations</v>
      </c>
      <c r="E14" s="1" t="str">
        <f>IFERROR(__xludf.DUMMYFUNCTION("""COMPUTED_VALUE"""),"John Deere")</f>
        <v>John Deere</v>
      </c>
    </row>
    <row r="15" ht="15.75" customHeight="1">
      <c r="A15" s="1" t="str">
        <f>IFERROR(__xludf.DUMMYFUNCTION("""COMPUTED_VALUE"""),"Amit Gadekar")</f>
        <v>Amit Gadekar</v>
      </c>
      <c r="B15" s="1" t="str">
        <f>IFERROR(__xludf.DUMMYFUNCTION("""COMPUTED_VALUE"""),"M.Tech")</f>
        <v>M.Tech</v>
      </c>
      <c r="C15" s="1">
        <f>IFERROR(__xludf.DUMMYFUNCTION("""COMPUTED_VALUE"""),2022.0)</f>
        <v>2022</v>
      </c>
      <c r="D15" s="1" t="str">
        <f>IFERROR(__xludf.DUMMYFUNCTION("""COMPUTED_VALUE"""),"Hierarchical Forecasting Models")</f>
        <v>Hierarchical Forecasting Models</v>
      </c>
      <c r="E15" s="1" t="str">
        <f>IFERROR(__xludf.DUMMYFUNCTION("""COMPUTED_VALUE"""),"General Mills")</f>
        <v>General Mills</v>
      </c>
    </row>
    <row r="16" ht="15.75" customHeight="1">
      <c r="A16" s="1" t="str">
        <f>IFERROR(__xludf.DUMMYFUNCTION("""COMPUTED_VALUE"""),"Amit Kumar Seth")</f>
        <v>Amit Kumar Seth</v>
      </c>
      <c r="B16" s="1" t="str">
        <f>IFERROR(__xludf.DUMMYFUNCTION("""COMPUTED_VALUE"""),"M.Tech")</f>
        <v>M.Tech</v>
      </c>
      <c r="C16" s="1">
        <f>IFERROR(__xludf.DUMMYFUNCTION("""COMPUTED_VALUE"""),2022.0)</f>
        <v>2022</v>
      </c>
      <c r="D16" s="1" t="str">
        <f>IFERROR(__xludf.DUMMYFUNCTION("""COMPUTED_VALUE"""),"Anomalies in Internet of Things")</f>
        <v>Anomalies in Internet of Things</v>
      </c>
      <c r="E16" s="1" t="str">
        <f>IFERROR(__xludf.DUMMYFUNCTION("""COMPUTED_VALUE"""),"TCS R&amp;I")</f>
        <v>TCS R&amp;I</v>
      </c>
    </row>
    <row r="17" ht="15.75" customHeight="1">
      <c r="A17" s="1" t="str">
        <f>IFERROR(__xludf.DUMMYFUNCTION("""COMPUTED_VALUE"""),"Abijith P Y")</f>
        <v>Abijith P Y</v>
      </c>
      <c r="B17" s="1" t="str">
        <f>IFERROR(__xludf.DUMMYFUNCTION("""COMPUTED_VALUE"""),"M.Tech")</f>
        <v>M.Tech</v>
      </c>
      <c r="C17" s="1">
        <f>IFERROR(__xludf.DUMMYFUNCTION("""COMPUTED_VALUE"""),2022.0)</f>
        <v>2022</v>
      </c>
      <c r="D17" s="1" t="str">
        <f>IFERROR(__xludf.DUMMYFUNCTION("""COMPUTED_VALUE"""),"Deep Learning in Chemometrics")</f>
        <v>Deep Learning in Chemometrics</v>
      </c>
      <c r="E17" s="1" t="str">
        <f>IFERROR(__xludf.DUMMYFUNCTION("""COMPUTED_VALUE"""),"ExxonMobil")</f>
        <v>ExxonMobil</v>
      </c>
    </row>
    <row r="18" ht="15.75" customHeight="1">
      <c r="A18" s="1" t="str">
        <f>IFERROR(__xludf.DUMMYFUNCTION("""COMPUTED_VALUE"""),"Menon Sajith Babu Shreedharan")</f>
        <v>Menon Sajith Babu Shreedharan</v>
      </c>
      <c r="B18" s="1" t="str">
        <f>IFERROR(__xludf.DUMMYFUNCTION("""COMPUTED_VALUE"""),"M.Tech")</f>
        <v>M.Tech</v>
      </c>
      <c r="C18" s="1">
        <f>IFERROR(__xludf.DUMMYFUNCTION("""COMPUTED_VALUE"""),2022.0)</f>
        <v>2022</v>
      </c>
      <c r="D18" s="1" t="str">
        <f>IFERROR(__xludf.DUMMYFUNCTION("""COMPUTED_VALUE"""),"Data Imputation in Dataset")</f>
        <v>Data Imputation in Dataset</v>
      </c>
      <c r="E18" s="1"/>
    </row>
    <row r="19" ht="15.75" customHeight="1">
      <c r="A19" s="1" t="str">
        <f>IFERROR(__xludf.DUMMYFUNCTION("""COMPUTED_VALUE"""),"Zubeen Kishore Borkar")</f>
        <v>Zubeen Kishore Borkar</v>
      </c>
      <c r="B19" s="1" t="str">
        <f>IFERROR(__xludf.DUMMYFUNCTION("""COMPUTED_VALUE"""),"M.Tech")</f>
        <v>M.Tech</v>
      </c>
      <c r="C19" s="1">
        <f>IFERROR(__xludf.DUMMYFUNCTION("""COMPUTED_VALUE"""),2022.0)</f>
        <v>2022</v>
      </c>
      <c r="D19" s="1" t="str">
        <f>IFERROR(__xludf.DUMMYFUNCTION("""COMPUTED_VALUE"""),"Renewable energy supply chain network and Facility allocation problem")</f>
        <v>Renewable energy supply chain network and Facility allocation problem</v>
      </c>
      <c r="E19" s="1" t="str">
        <f>IFERROR(__xludf.DUMMYFUNCTION("""COMPUTED_VALUE"""),"ZF India")</f>
        <v>ZF India</v>
      </c>
    </row>
    <row r="20" ht="15.75" customHeight="1">
      <c r="A20" s="1" t="str">
        <f>IFERROR(__xludf.DUMMYFUNCTION("""COMPUTED_VALUE"""),"Arvind Kumar")</f>
        <v>Arvind Kumar</v>
      </c>
      <c r="B20" s="1" t="str">
        <f>IFERROR(__xludf.DUMMYFUNCTION("""COMPUTED_VALUE"""),"M.Tech")</f>
        <v>M.Tech</v>
      </c>
      <c r="C20" s="1">
        <f>IFERROR(__xludf.DUMMYFUNCTION("""COMPUTED_VALUE"""),2022.0)</f>
        <v>2022</v>
      </c>
      <c r="D20" s="1" t="str">
        <f>IFERROR(__xludf.DUMMYFUNCTION("""COMPUTED_VALUE"""),"Global Optimization of Water Networks")</f>
        <v>Global Optimization of Water Networks</v>
      </c>
      <c r="E20" s="1" t="str">
        <f>IFERROR(__xludf.DUMMYFUNCTION("""COMPUTED_VALUE"""),"Blume global")</f>
        <v>Blume global</v>
      </c>
    </row>
    <row r="21" ht="15.75" customHeight="1">
      <c r="A21" s="1" t="str">
        <f>IFERROR(__xludf.DUMMYFUNCTION("""COMPUTED_VALUE"""),"Bikram Majumdar")</f>
        <v>Bikram Majumdar</v>
      </c>
      <c r="B21" s="1" t="str">
        <f>IFERROR(__xludf.DUMMYFUNCTION("""COMPUTED_VALUE"""),"M.Tech")</f>
        <v>M.Tech</v>
      </c>
      <c r="C21" s="1">
        <f>IFERROR(__xludf.DUMMYFUNCTION("""COMPUTED_VALUE"""),2022.0)</f>
        <v>2022</v>
      </c>
      <c r="D21" s="1" t="str">
        <f>IFERROR(__xludf.DUMMYFUNCTION("""COMPUTED_VALUE"""),"Routing of Bus Fleet")</f>
        <v>Routing of Bus Fleet</v>
      </c>
      <c r="E21" s="1" t="str">
        <f>IFERROR(__xludf.DUMMYFUNCTION("""COMPUTED_VALUE"""),"DHL")</f>
        <v>DHL</v>
      </c>
    </row>
    <row r="22" ht="15.75" customHeight="1">
      <c r="A22" s="1" t="str">
        <f>IFERROR(__xludf.DUMMYFUNCTION("""COMPUTED_VALUE"""),"Gaikwad Sandesh Bhaskar")</f>
        <v>Gaikwad Sandesh Bhaskar</v>
      </c>
      <c r="B22" s="1" t="str">
        <f>IFERROR(__xludf.DUMMYFUNCTION("""COMPUTED_VALUE"""),"M.Tech")</f>
        <v>M.Tech</v>
      </c>
      <c r="C22" s="1">
        <f>IFERROR(__xludf.DUMMYFUNCTION("""COMPUTED_VALUE"""),2022.0)</f>
        <v>2022</v>
      </c>
      <c r="D22" s="1" t="str">
        <f>IFERROR(__xludf.DUMMYFUNCTION("""COMPUTED_VALUE"""),"Data Based Analysis of Content Propagation on Online Social Networks")</f>
        <v>Data Based Analysis of Content Propagation on Online Social Networks</v>
      </c>
      <c r="E22" s="1" t="str">
        <f>IFERROR(__xludf.DUMMYFUNCTION("""COMPUTED_VALUE"""),"Jio")</f>
        <v>Jio</v>
      </c>
    </row>
    <row r="23" ht="15.75" customHeight="1">
      <c r="A23" s="1" t="str">
        <f>IFERROR(__xludf.DUMMYFUNCTION("""COMPUTED_VALUE"""),"Nayunipati Sai Krishna")</f>
        <v>Nayunipati Sai Krishna</v>
      </c>
      <c r="B23" s="1" t="str">
        <f>IFERROR(__xludf.DUMMYFUNCTION("""COMPUTED_VALUE"""),"M.Tech")</f>
        <v>M.Tech</v>
      </c>
      <c r="C23" s="1">
        <f>IFERROR(__xludf.DUMMYFUNCTION("""COMPUTED_VALUE"""),2022.0)</f>
        <v>2022</v>
      </c>
      <c r="D23" s="1" t="str">
        <f>IFERROR(__xludf.DUMMYFUNCTION("""COMPUTED_VALUE"""),"Evaluation of Class Based Storage Policy for Warehouse")</f>
        <v>Evaluation of Class Based Storage Policy for Warehouse</v>
      </c>
      <c r="E23" s="1" t="str">
        <f>IFERROR(__xludf.DUMMYFUNCTION("""COMPUTED_VALUE"""),"Amazon")</f>
        <v>Amazon</v>
      </c>
    </row>
    <row r="24" ht="15.75" customHeight="1">
      <c r="A24" s="1" t="str">
        <f>IFERROR(__xludf.DUMMYFUNCTION("""COMPUTED_VALUE"""),"Ankita Prasad")</f>
        <v>Ankita Prasad</v>
      </c>
      <c r="B24" s="1" t="str">
        <f>IFERROR(__xludf.DUMMYFUNCTION("""COMPUTED_VALUE"""),"M.Tech")</f>
        <v>M.Tech</v>
      </c>
      <c r="C24" s="1">
        <f>IFERROR(__xludf.DUMMYFUNCTION("""COMPUTED_VALUE"""),2022.0)</f>
        <v>2022</v>
      </c>
      <c r="D24" s="1" t="str">
        <f>IFERROR(__xludf.DUMMYFUNCTION("""COMPUTED_VALUE"""),"Optimization model for practical Assembly Line Balancing")</f>
        <v>Optimization model for practical Assembly Line Balancing</v>
      </c>
      <c r="E24" s="1" t="str">
        <f>IFERROR(__xludf.DUMMYFUNCTION("""COMPUTED_VALUE"""),"John Deere India Pvt Ltd")</f>
        <v>John Deere India Pvt Ltd</v>
      </c>
    </row>
    <row r="25" ht="15.75" customHeight="1">
      <c r="A25" s="1" t="str">
        <f>IFERROR(__xludf.DUMMYFUNCTION("""COMPUTED_VALUE"""),"Siyote Anand Satpal Dharamvati")</f>
        <v>Siyote Anand Satpal Dharamvati</v>
      </c>
      <c r="B25" s="1" t="str">
        <f>IFERROR(__xludf.DUMMYFUNCTION("""COMPUTED_VALUE"""),"M.Tech")</f>
        <v>M.Tech</v>
      </c>
      <c r="C25" s="1">
        <f>IFERROR(__xludf.DUMMYFUNCTION("""COMPUTED_VALUE"""),2022.0)</f>
        <v>2022</v>
      </c>
      <c r="D25" s="1" t="str">
        <f>IFERROR(__xludf.DUMMYFUNCTION("""COMPUTED_VALUE"""),"Neural Networks for studying the functionality of proteins")</f>
        <v>Neural Networks for studying the functionality of proteins</v>
      </c>
      <c r="E25" s="1"/>
    </row>
    <row r="26" ht="15.75" customHeight="1">
      <c r="A26" s="1" t="str">
        <f>IFERROR(__xludf.DUMMYFUNCTION("""COMPUTED_VALUE"""),"Saurabh Adhikary")</f>
        <v>Saurabh Adhikary</v>
      </c>
      <c r="B26" s="1" t="str">
        <f>IFERROR(__xludf.DUMMYFUNCTION("""COMPUTED_VALUE"""),"M.Tech")</f>
        <v>M.Tech</v>
      </c>
      <c r="C26" s="1">
        <f>IFERROR(__xludf.DUMMYFUNCTION("""COMPUTED_VALUE"""),2022.0)</f>
        <v>2022</v>
      </c>
      <c r="D26" s="1" t="str">
        <f>IFERROR(__xludf.DUMMYFUNCTION("""COMPUTED_VALUE"""),"Recommendation System for Spoken Tutorial")</f>
        <v>Recommendation System for Spoken Tutorial</v>
      </c>
      <c r="E26" s="1" t="str">
        <f>IFERROR(__xludf.DUMMYFUNCTION("""COMPUTED_VALUE"""),"Philips India Limited‌")</f>
        <v>Philips India Limited‌</v>
      </c>
    </row>
    <row r="27" ht="15.75" customHeight="1">
      <c r="A27" s="1" t="str">
        <f>IFERROR(__xludf.DUMMYFUNCTION("""COMPUTED_VALUE"""),"Mahim Katiha")</f>
        <v>Mahim Katiha</v>
      </c>
      <c r="B27" s="2" t="str">
        <f>IFERROR(__xludf.DUMMYFUNCTION("""COMPUTED_VALUE"""),"M.Sc")</f>
        <v>M.Sc</v>
      </c>
      <c r="C27" s="1">
        <f>IFERROR(__xludf.DUMMYFUNCTION("""COMPUTED_VALUE"""),2022.0)</f>
        <v>2022</v>
      </c>
      <c r="D27" s="1" t="str">
        <f>IFERROR(__xludf.DUMMYFUNCTION("""COMPUTED_VALUE"""),"Simheuristics in Lot Sizing and Flow Shop Scheduling Problem")</f>
        <v>Simheuristics in Lot Sizing and Flow Shop Scheduling Problem</v>
      </c>
      <c r="E27" s="1" t="str">
        <f>IFERROR(__xludf.DUMMYFUNCTION("""COMPUTED_VALUE"""),"Standard Chartered Modelling and Analytics Centre")</f>
        <v>Standard Chartered Modelling and Analytics Centre</v>
      </c>
    </row>
    <row r="28" ht="15.75" customHeight="1">
      <c r="A28" s="1" t="str">
        <f>IFERROR(__xludf.DUMMYFUNCTION("""COMPUTED_VALUE"""),"Shubham Chaudhary")</f>
        <v>Shubham Chaudhary</v>
      </c>
      <c r="B28" s="2" t="str">
        <f>IFERROR(__xludf.DUMMYFUNCTION("""COMPUTED_VALUE"""),"M.Sc")</f>
        <v>M.Sc</v>
      </c>
      <c r="C28" s="1">
        <f>IFERROR(__xludf.DUMMYFUNCTION("""COMPUTED_VALUE"""),2022.0)</f>
        <v>2022</v>
      </c>
      <c r="D28" s="1" t="str">
        <f>IFERROR(__xludf.DUMMYFUNCTION("""COMPUTED_VALUE"""),"How to Escape Saddle Points Efficiently")</f>
        <v>How to Escape Saddle Points Efficiently</v>
      </c>
      <c r="E28" s="1" t="str">
        <f>IFERROR(__xludf.DUMMYFUNCTION("""COMPUTED_VALUE"""),"Amnex Infotechnologies Pvt. Ltd.")</f>
        <v>Amnex Infotechnologies Pvt. Ltd.</v>
      </c>
    </row>
    <row r="29" ht="15.75" customHeight="1">
      <c r="A29" s="1" t="str">
        <f>IFERROR(__xludf.DUMMYFUNCTION("""COMPUTED_VALUE"""),"Neeraj Kumar Bhargava")</f>
        <v>Neeraj Kumar Bhargava</v>
      </c>
      <c r="B29" s="2" t="str">
        <f>IFERROR(__xludf.DUMMYFUNCTION("""COMPUTED_VALUE"""),"M.Sc")</f>
        <v>M.Sc</v>
      </c>
      <c r="C29" s="1">
        <f>IFERROR(__xludf.DUMMYFUNCTION("""COMPUTED_VALUE"""),2022.0)</f>
        <v>2022</v>
      </c>
      <c r="D29" s="1"/>
      <c r="E29" s="1"/>
    </row>
    <row r="30" ht="15.75" customHeight="1">
      <c r="A30" s="1" t="str">
        <f>IFERROR(__xludf.DUMMYFUNCTION("""COMPUTED_VALUE"""),"Abhishek Narayan Chaudhury")</f>
        <v>Abhishek Narayan Chaudhury</v>
      </c>
      <c r="B30" s="2" t="str">
        <f>IFERROR(__xludf.DUMMYFUNCTION("""COMPUTED_VALUE"""),"M.Sc")</f>
        <v>M.Sc</v>
      </c>
      <c r="C30" s="1">
        <f>IFERROR(__xludf.DUMMYFUNCTION("""COMPUTED_VALUE"""),2022.0)</f>
        <v>2022</v>
      </c>
      <c r="D30" s="1"/>
      <c r="E30" s="1" t="str">
        <f>IFERROR(__xludf.DUMMYFUNCTION("""COMPUTED_VALUE"""),"TCS R&amp;I")</f>
        <v>TCS R&amp;I</v>
      </c>
    </row>
    <row r="31" ht="15.75" customHeight="1">
      <c r="A31" s="1" t="str">
        <f>IFERROR(__xludf.DUMMYFUNCTION("""COMPUTED_VALUE"""),"Ms. Reena Meena")</f>
        <v>Ms. Reena Meena</v>
      </c>
      <c r="B31" s="2" t="str">
        <f>IFERROR(__xludf.DUMMYFUNCTION("""COMPUTED_VALUE"""),"M.Sc")</f>
        <v>M.Sc</v>
      </c>
      <c r="C31" s="1">
        <f>IFERROR(__xludf.DUMMYFUNCTION("""COMPUTED_VALUE"""),2022.0)</f>
        <v>2022</v>
      </c>
      <c r="D31" s="1" t="str">
        <f>IFERROR(__xludf.DUMMYFUNCTION("""COMPUTED_VALUE"""),"Braess Paradox")</f>
        <v>Braess Paradox</v>
      </c>
      <c r="E31" s="1" t="str">
        <f>IFERROR(__xludf.DUMMYFUNCTION("""COMPUTED_VALUE"""),"Axtria India Pvt. Ltd.")</f>
        <v>Axtria India Pvt. Ltd.</v>
      </c>
    </row>
    <row r="32" ht="15.75" customHeight="1">
      <c r="A32" s="1" t="str">
        <f>IFERROR(__xludf.DUMMYFUNCTION("""COMPUTED_VALUE"""),"Ms. Chesta Pahuja")</f>
        <v>Ms. Chesta Pahuja</v>
      </c>
      <c r="B32" s="2" t="str">
        <f>IFERROR(__xludf.DUMMYFUNCTION("""COMPUTED_VALUE"""),"M.Sc")</f>
        <v>M.Sc</v>
      </c>
      <c r="C32" s="1">
        <f>IFERROR(__xludf.DUMMYFUNCTION("""COMPUTED_VALUE"""),2022.0)</f>
        <v>2022</v>
      </c>
      <c r="D32" s="1"/>
      <c r="E32" s="1" t="str">
        <f>IFERROR(__xludf.DUMMYFUNCTION("""COMPUTED_VALUE"""),"Accenture")</f>
        <v>Accenture</v>
      </c>
    </row>
    <row r="33" ht="15.75" customHeight="1">
      <c r="A33" s="1" t="str">
        <f>IFERROR(__xludf.DUMMYFUNCTION("""COMPUTED_VALUE"""),"Shubham")</f>
        <v>Shubham</v>
      </c>
      <c r="B33" s="2" t="str">
        <f>IFERROR(__xludf.DUMMYFUNCTION("""COMPUTED_VALUE"""),"M.Sc")</f>
        <v>M.Sc</v>
      </c>
      <c r="C33" s="1">
        <f>IFERROR(__xludf.DUMMYFUNCTION("""COMPUTED_VALUE"""),2022.0)</f>
        <v>2022</v>
      </c>
      <c r="D33" s="1"/>
      <c r="E33" s="1" t="str">
        <f>IFERROR(__xludf.DUMMYFUNCTION("""COMPUTED_VALUE"""),"Amnex Infotechnologies P Limited")</f>
        <v>Amnex Infotechnologies P Limited</v>
      </c>
    </row>
    <row r="34" ht="15.75" customHeight="1">
      <c r="A34" s="1" t="str">
        <f>IFERROR(__xludf.DUMMYFUNCTION("""COMPUTED_VALUE"""),"Subhadeep Chaudhuri")</f>
        <v>Subhadeep Chaudhuri</v>
      </c>
      <c r="B34" s="2" t="str">
        <f>IFERROR(__xludf.DUMMYFUNCTION("""COMPUTED_VALUE"""),"M.Sc")</f>
        <v>M.Sc</v>
      </c>
      <c r="C34" s="1">
        <f>IFERROR(__xludf.DUMMYFUNCTION("""COMPUTED_VALUE"""),2022.0)</f>
        <v>2022</v>
      </c>
      <c r="D34" s="1" t="str">
        <f>IFERROR(__xludf.DUMMYFUNCTION("""COMPUTED_VALUE"""),"Deep Learning in NLP: Bengali to English translation using XLNet")</f>
        <v>Deep Learning in NLP: Bengali to English translation using XLNet</v>
      </c>
      <c r="E34" s="1" t="str">
        <f>IFERROR(__xludf.DUMMYFUNCTION("""COMPUTED_VALUE"""),"Honda R&amp;D, Japan")</f>
        <v>Honda R&amp;D, Japan</v>
      </c>
    </row>
    <row r="35" ht="15.75" customHeight="1">
      <c r="A35" s="1" t="str">
        <f>IFERROR(__xludf.DUMMYFUNCTION("""COMPUTED_VALUE"""),"Saptarshi Majumder")</f>
        <v>Saptarshi Majumder</v>
      </c>
      <c r="B35" s="2" t="str">
        <f>IFERROR(__xludf.DUMMYFUNCTION("""COMPUTED_VALUE"""),"M.Sc")</f>
        <v>M.Sc</v>
      </c>
      <c r="C35" s="1">
        <f>IFERROR(__xludf.DUMMYFUNCTION("""COMPUTED_VALUE"""),2022.0)</f>
        <v>2022</v>
      </c>
      <c r="D35" s="1"/>
      <c r="E35" s="1" t="str">
        <f>IFERROR(__xludf.DUMMYFUNCTION("""COMPUTED_VALUE"""),"Flipkart")</f>
        <v>Flipkart</v>
      </c>
    </row>
    <row r="36" ht="15.75" customHeight="1">
      <c r="A36" s="1" t="str">
        <f>IFERROR(__xludf.DUMMYFUNCTION("""COMPUTED_VALUE"""),"Aniket Gopinath Vaykul")</f>
        <v>Aniket Gopinath Vaykul</v>
      </c>
      <c r="B36" s="2" t="str">
        <f>IFERROR(__xludf.DUMMYFUNCTION("""COMPUTED_VALUE"""),"M.Sc")</f>
        <v>M.Sc</v>
      </c>
      <c r="C36" s="1">
        <f>IFERROR(__xludf.DUMMYFUNCTION("""COMPUTED_VALUE"""),2022.0)</f>
        <v>2022</v>
      </c>
      <c r="D36" s="1"/>
      <c r="E36" s="1" t="str">
        <f>IFERROR(__xludf.DUMMYFUNCTION("""COMPUTED_VALUE"""),"Evalueserve")</f>
        <v>Evalueserve</v>
      </c>
    </row>
    <row r="37" ht="15.75" customHeight="1">
      <c r="A37" s="1" t="str">
        <f>IFERROR(__xludf.DUMMYFUNCTION("""COMPUTED_VALUE"""),"Rishabh Jain")</f>
        <v>Rishabh Jain</v>
      </c>
      <c r="B37" s="2" t="str">
        <f>IFERROR(__xludf.DUMMYFUNCTION("""COMPUTED_VALUE"""),"M.Sc")</f>
        <v>M.Sc</v>
      </c>
      <c r="C37" s="1">
        <f>IFERROR(__xludf.DUMMYFUNCTION("""COMPUTED_VALUE"""),2022.0)</f>
        <v>2022</v>
      </c>
      <c r="D37" s="1"/>
      <c r="E37" s="1" t="str">
        <f>IFERROR(__xludf.DUMMYFUNCTION("""COMPUTED_VALUE"""),"Accenture Solutions")</f>
        <v>Accenture Solutions</v>
      </c>
    </row>
    <row r="38" ht="15.75" customHeight="1">
      <c r="A38" s="1" t="str">
        <f>IFERROR(__xludf.DUMMYFUNCTION("""COMPUTED_VALUE"""),"Anand Kumar")</f>
        <v>Anand Kumar</v>
      </c>
      <c r="B38" s="2" t="str">
        <f>IFERROR(__xludf.DUMMYFUNCTION("""COMPUTED_VALUE"""),"M.Sc")</f>
        <v>M.Sc</v>
      </c>
      <c r="C38" s="1">
        <f>IFERROR(__xludf.DUMMYFUNCTION("""COMPUTED_VALUE"""),2022.0)</f>
        <v>2022</v>
      </c>
      <c r="D38" s="1"/>
      <c r="E38" s="1" t="str">
        <f>IFERROR(__xludf.DUMMYFUNCTION("""COMPUTED_VALUE"""),"Virtusa Consulting Services Pvt Ltd")</f>
        <v>Virtusa Consulting Services Pvt Ltd</v>
      </c>
    </row>
    <row r="39" ht="15.75" customHeight="1">
      <c r="A39" s="1" t="str">
        <f>IFERROR(__xludf.DUMMYFUNCTION("""COMPUTED_VALUE"""),"Indrajit Saha")</f>
        <v>Indrajit Saha</v>
      </c>
      <c r="B39" s="1" t="str">
        <f>IFERROR(__xludf.DUMMYFUNCTION("""COMPUTED_VALUE"""),"M.Sc-Ph.D")</f>
        <v>M.Sc-Ph.D</v>
      </c>
      <c r="C39" s="1">
        <f>IFERROR(__xludf.DUMMYFUNCTION("""COMPUTED_VALUE"""),2022.0)</f>
        <v>2022</v>
      </c>
      <c r="D39" s="1" t="str">
        <f>IFERROR(__xludf.DUMMYFUNCTION("""COMPUTED_VALUE"""),"Asymptotic solutions for random fixed point equations and applications in 
financial network")</f>
        <v>Asymptotic solutions for random fixed point equations and applications in 
financial network</v>
      </c>
      <c r="E39" s="1"/>
    </row>
    <row r="40" ht="15.75" customHeight="1">
      <c r="A40" s="1" t="str">
        <f>IFERROR(__xludf.DUMMYFUNCTION("""COMPUTED_VALUE"""),"Swapnesh S")</f>
        <v>Swapnesh S</v>
      </c>
      <c r="B40" s="1" t="str">
        <f>IFERROR(__xludf.DUMMYFUNCTION("""COMPUTED_VALUE"""),"Ph.D")</f>
        <v>Ph.D</v>
      </c>
      <c r="C40" s="1">
        <f>IFERROR(__xludf.DUMMYFUNCTION("""COMPUTED_VALUE"""),2022.0)</f>
        <v>2022</v>
      </c>
      <c r="D40" s="1" t="str">
        <f>IFERROR(__xludf.DUMMYFUNCTION("""COMPUTED_VALUE"""),"Utilization, Maintenance and Retrofit Planning for Passenger Rakes on 
Railway Systems")</f>
        <v>Utilization, Maintenance and Retrofit Planning for Passenger Rakes on 
Railway Systems</v>
      </c>
      <c r="E40" s="1"/>
    </row>
    <row r="41" ht="15.75" customHeight="1">
      <c r="A41" s="1" t="str">
        <f>IFERROR(__xludf.DUMMYFUNCTION("""COMPUTED_VALUE"""),"Danish Manzar")</f>
        <v>Danish Manzar</v>
      </c>
      <c r="B41" s="1" t="str">
        <f>IFERROR(__xludf.DUMMYFUNCTION("""COMPUTED_VALUE"""),"PGDIIT")</f>
        <v>PGDIIT</v>
      </c>
      <c r="C41" s="1">
        <f>IFERROR(__xludf.DUMMYFUNCTION("""COMPUTED_VALUE"""),2022.0)</f>
        <v>2022</v>
      </c>
      <c r="D41" s="1"/>
      <c r="E41" s="1"/>
    </row>
    <row r="42" ht="15.75" customHeight="1">
      <c r="A42" s="1" t="str">
        <f>IFERROR(__xludf.DUMMYFUNCTION("""COMPUTED_VALUE"""),"Akshat Bansal")</f>
        <v>Akshat Bansal</v>
      </c>
      <c r="B42" s="1" t="str">
        <f>IFERROR(__xludf.DUMMYFUNCTION("""COMPUTED_VALUE"""),"IDDDP")</f>
        <v>IDDDP</v>
      </c>
      <c r="C42" s="1">
        <f>IFERROR(__xludf.DUMMYFUNCTION("""COMPUTED_VALUE"""),2022.0)</f>
        <v>2022</v>
      </c>
      <c r="D42" s="1" t="str">
        <f>IFERROR(__xludf.DUMMYFUNCTION("""COMPUTED_VALUE"""),"Crew scheduling for long distance passenger railway transportation")</f>
        <v>Crew scheduling for long distance passenger railway transportation</v>
      </c>
      <c r="E42" s="1" t="str">
        <f>IFERROR(__xludf.DUMMYFUNCTION("""COMPUTED_VALUE"""),"McKinsey Knowledge Centre")</f>
        <v>McKinsey Knowledge Centre</v>
      </c>
    </row>
    <row r="43" ht="15.75" customHeight="1">
      <c r="A43" s="1" t="str">
        <f>IFERROR(__xludf.DUMMYFUNCTION("""COMPUTED_VALUE"""),"Abhishek Panigrahi")</f>
        <v>Abhishek Panigrahi</v>
      </c>
      <c r="B43" s="1" t="str">
        <f>IFERROR(__xludf.DUMMYFUNCTION("""COMPUTED_VALUE"""),"M.Tech")</f>
        <v>M.Tech</v>
      </c>
      <c r="C43" s="1">
        <f>IFERROR(__xludf.DUMMYFUNCTION("""COMPUTED_VALUE"""),2021.0)</f>
        <v>2021</v>
      </c>
      <c r="D43" s="1" t="str">
        <f>IFERROR(__xludf.DUMMYFUNCTION("""COMPUTED_VALUE"""),"Interpretable Demand Prediction")</f>
        <v>Interpretable Demand Prediction</v>
      </c>
      <c r="E43" s="1" t="str">
        <f>IFERROR(__xludf.DUMMYFUNCTION("""COMPUTED_VALUE"""),"Accenture")</f>
        <v>Accenture</v>
      </c>
    </row>
    <row r="44" ht="15.75" customHeight="1">
      <c r="A44" s="1" t="str">
        <f>IFERROR(__xludf.DUMMYFUNCTION("""COMPUTED_VALUE"""),"Anupam Singh")</f>
        <v>Anupam Singh</v>
      </c>
      <c r="B44" s="1" t="str">
        <f>IFERROR(__xludf.DUMMYFUNCTION("""COMPUTED_VALUE"""),"M.Tech")</f>
        <v>M.Tech</v>
      </c>
      <c r="C44" s="1">
        <f>IFERROR(__xludf.DUMMYFUNCTION("""COMPUTED_VALUE"""),2021.0)</f>
        <v>2021</v>
      </c>
      <c r="D44" s="1" t="str">
        <f>IFERROR(__xludf.DUMMYFUNCTION("""COMPUTED_VALUE"""),"Call data record analysis from Telecom Data")</f>
        <v>Call data record analysis from Telecom Data</v>
      </c>
      <c r="E44" s="1" t="str">
        <f>IFERROR(__xludf.DUMMYFUNCTION("""COMPUTED_VALUE"""),"ORMAE LLP")</f>
        <v>ORMAE LLP</v>
      </c>
    </row>
    <row r="45" ht="15.75" customHeight="1">
      <c r="A45" s="1" t="str">
        <f>IFERROR(__xludf.DUMMYFUNCTION("""COMPUTED_VALUE"""),"Chinthala Akhil Sai")</f>
        <v>Chinthala Akhil Sai</v>
      </c>
      <c r="B45" s="1" t="str">
        <f>IFERROR(__xludf.DUMMYFUNCTION("""COMPUTED_VALUE"""),"M.Tech")</f>
        <v>M.Tech</v>
      </c>
      <c r="C45" s="1">
        <f>IFERROR(__xludf.DUMMYFUNCTION("""COMPUTED_VALUE"""),2021.0)</f>
        <v>2021</v>
      </c>
      <c r="D45" s="1" t="str">
        <f>IFERROR(__xludf.DUMMYFUNCTION("""COMPUTED_VALUE"""),"ML tools for medical data analysis")</f>
        <v>ML tools for medical data analysis</v>
      </c>
      <c r="E45" s="1" t="str">
        <f>IFERROR(__xludf.DUMMYFUNCTION("""COMPUTED_VALUE"""),"ICICI Lombard")</f>
        <v>ICICI Lombard</v>
      </c>
    </row>
    <row r="46" ht="15.75" customHeight="1">
      <c r="A46" s="1" t="str">
        <f>IFERROR(__xludf.DUMMYFUNCTION("""COMPUTED_VALUE"""),"Harshit Pandey")</f>
        <v>Harshit Pandey</v>
      </c>
      <c r="B46" s="1" t="str">
        <f>IFERROR(__xludf.DUMMYFUNCTION("""COMPUTED_VALUE"""),"M.Tech")</f>
        <v>M.Tech</v>
      </c>
      <c r="C46" s="1">
        <f>IFERROR(__xludf.DUMMYFUNCTION("""COMPUTED_VALUE"""),2021.0)</f>
        <v>2021</v>
      </c>
      <c r="D46" s="1" t="str">
        <f>IFERROR(__xludf.DUMMYFUNCTION("""COMPUTED_VALUE"""),"Machine Learning in Supply Chain Operations")</f>
        <v>Machine Learning in Supply Chain Operations</v>
      </c>
      <c r="E46" s="1" t="str">
        <f>IFERROR(__xludf.DUMMYFUNCTION("""COMPUTED_VALUE"""),"Dell International Services Ltd.")</f>
        <v>Dell International Services Ltd.</v>
      </c>
    </row>
    <row r="47" ht="15.75" customHeight="1">
      <c r="A47" s="1" t="str">
        <f>IFERROR(__xludf.DUMMYFUNCTION("""COMPUTED_VALUE"""),"Katukuri Luther Immanuel")</f>
        <v>Katukuri Luther Immanuel</v>
      </c>
      <c r="B47" s="1" t="str">
        <f>IFERROR(__xludf.DUMMYFUNCTION("""COMPUTED_VALUE"""),"M.Tech")</f>
        <v>M.Tech</v>
      </c>
      <c r="C47" s="1">
        <f>IFERROR(__xludf.DUMMYFUNCTION("""COMPUTED_VALUE"""),2021.0)</f>
        <v>2021</v>
      </c>
      <c r="D47" s="1" t="str">
        <f>IFERROR(__xludf.DUMMYFUNCTION("""COMPUTED_VALUE"""),"OR in managing hospitals")</f>
        <v>OR in managing hospitals</v>
      </c>
      <c r="E47" s="1" t="str">
        <f>IFERROR(__xludf.DUMMYFUNCTION("""COMPUTED_VALUE"""),"ANZ BANK")</f>
        <v>ANZ BANK</v>
      </c>
    </row>
    <row r="48" ht="15.75" customHeight="1">
      <c r="A48" s="1" t="str">
        <f>IFERROR(__xludf.DUMMYFUNCTION("""COMPUTED_VALUE"""),"Kunal Apurva")</f>
        <v>Kunal Apurva</v>
      </c>
      <c r="B48" s="1" t="str">
        <f>IFERROR(__xludf.DUMMYFUNCTION("""COMPUTED_VALUE"""),"M.Tech")</f>
        <v>M.Tech</v>
      </c>
      <c r="C48" s="1">
        <f>IFERROR(__xludf.DUMMYFUNCTION("""COMPUTED_VALUE"""),2021.0)</f>
        <v>2021</v>
      </c>
      <c r="D48" s="1" t="str">
        <f>IFERROR(__xludf.DUMMYFUNCTION("""COMPUTED_VALUE"""),"Neural architecture search")</f>
        <v>Neural architecture search</v>
      </c>
      <c r="E48" s="1" t="str">
        <f>IFERROR(__xludf.DUMMYFUNCTION("""COMPUTED_VALUE"""),"Axis bank")</f>
        <v>Axis bank</v>
      </c>
    </row>
    <row r="49" ht="15.75" customHeight="1">
      <c r="A49" s="1" t="str">
        <f>IFERROR(__xludf.DUMMYFUNCTION("""COMPUTED_VALUE"""),"Manish Kumar Shukla")</f>
        <v>Manish Kumar Shukla</v>
      </c>
      <c r="B49" s="1" t="str">
        <f>IFERROR(__xludf.DUMMYFUNCTION("""COMPUTED_VALUE"""),"M.Tech")</f>
        <v>M.Tech</v>
      </c>
      <c r="C49" s="1">
        <f>IFERROR(__xludf.DUMMYFUNCTION("""COMPUTED_VALUE"""),2021.0)</f>
        <v>2021</v>
      </c>
      <c r="D49" s="1" t="str">
        <f>IFERROR(__xludf.DUMMYFUNCTION("""COMPUTED_VALUE"""),"Simulation Analysis Supply Chain under Disruptions")</f>
        <v>Simulation Analysis Supply Chain under Disruptions</v>
      </c>
      <c r="E49" s="1" t="str">
        <f>IFERROR(__xludf.DUMMYFUNCTION("""COMPUTED_VALUE"""),"ICICI Lombard GIC Limited")</f>
        <v>ICICI Lombard GIC Limited</v>
      </c>
    </row>
    <row r="50" ht="15.75" customHeight="1">
      <c r="A50" s="1" t="str">
        <f>IFERROR(__xludf.DUMMYFUNCTION("""COMPUTED_VALUE"""),"Mayur Sainath Shende")</f>
        <v>Mayur Sainath Shende</v>
      </c>
      <c r="B50" s="1" t="str">
        <f>IFERROR(__xludf.DUMMYFUNCTION("""COMPUTED_VALUE"""),"M.Tech")</f>
        <v>M.Tech</v>
      </c>
      <c r="C50" s="1">
        <f>IFERROR(__xludf.DUMMYFUNCTION("""COMPUTED_VALUE"""),2021.0)</f>
        <v>2021</v>
      </c>
      <c r="D50" s="1" t="str">
        <f>IFERROR(__xludf.DUMMYFUNCTION("""COMPUTED_VALUE"""),"Federated Learning")</f>
        <v>Federated Learning</v>
      </c>
      <c r="E50" s="1" t="str">
        <f>IFERROR(__xludf.DUMMYFUNCTION("""COMPUTED_VALUE"""),"Blume Global India Pvt. Ltd")</f>
        <v>Blume Global India Pvt. Ltd</v>
      </c>
    </row>
    <row r="51" ht="15.75" customHeight="1">
      <c r="A51" s="1" t="str">
        <f>IFERROR(__xludf.DUMMYFUNCTION("""COMPUTED_VALUE"""),"Mayur Zadbuke")</f>
        <v>Mayur Zadbuke</v>
      </c>
      <c r="B51" s="1" t="str">
        <f>IFERROR(__xludf.DUMMYFUNCTION("""COMPUTED_VALUE"""),"M.Tech")</f>
        <v>M.Tech</v>
      </c>
      <c r="C51" s="1">
        <f>IFERROR(__xludf.DUMMYFUNCTION("""COMPUTED_VALUE"""),2021.0)</f>
        <v>2021</v>
      </c>
      <c r="D51" s="1"/>
      <c r="E51" s="1"/>
    </row>
    <row r="52" ht="15.75" customHeight="1">
      <c r="A52" s="1" t="str">
        <f>IFERROR(__xludf.DUMMYFUNCTION("""COMPUTED_VALUE"""),"Rachit Kumar")</f>
        <v>Rachit Kumar</v>
      </c>
      <c r="B52" s="1" t="str">
        <f>IFERROR(__xludf.DUMMYFUNCTION("""COMPUTED_VALUE"""),"M.Tech")</f>
        <v>M.Tech</v>
      </c>
      <c r="C52" s="1">
        <f>IFERROR(__xludf.DUMMYFUNCTION("""COMPUTED_VALUE"""),2021.0)</f>
        <v>2021</v>
      </c>
      <c r="D52" s="1" t="str">
        <f>IFERROR(__xludf.DUMMYFUNCTION("""COMPUTED_VALUE"""),"Comparison of Dimensionality Reduction methods")</f>
        <v>Comparison of Dimensionality Reduction methods</v>
      </c>
      <c r="E52" s="1" t="str">
        <f>IFERROR(__xludf.DUMMYFUNCTION("""COMPUTED_VALUE"""),"Blume Globals")</f>
        <v>Blume Globals</v>
      </c>
    </row>
    <row r="53" ht="15.75" customHeight="1">
      <c r="A53" s="1" t="str">
        <f>IFERROR(__xludf.DUMMYFUNCTION("""COMPUTED_VALUE"""),"Rahul Pandurang Khankar")</f>
        <v>Rahul Pandurang Khankar</v>
      </c>
      <c r="B53" s="1" t="str">
        <f>IFERROR(__xludf.DUMMYFUNCTION("""COMPUTED_VALUE"""),"M.Tech")</f>
        <v>M.Tech</v>
      </c>
      <c r="C53" s="1">
        <f>IFERROR(__xludf.DUMMYFUNCTION("""COMPUTED_VALUE"""),2021.0)</f>
        <v>2021</v>
      </c>
      <c r="D53" s="1" t="str">
        <f>IFERROR(__xludf.DUMMYFUNCTION("""COMPUTED_VALUE"""),"Routing of bus fleet")</f>
        <v>Routing of bus fleet</v>
      </c>
      <c r="E53" s="1" t="str">
        <f>IFERROR(__xludf.DUMMYFUNCTION("""COMPUTED_VALUE"""),"ICICI GIC.")</f>
        <v>ICICI GIC.</v>
      </c>
    </row>
    <row r="54" ht="15.75" customHeight="1">
      <c r="A54" s="1" t="str">
        <f>IFERROR(__xludf.DUMMYFUNCTION("""COMPUTED_VALUE"""),"Ritesh Dattu Takole")</f>
        <v>Ritesh Dattu Takole</v>
      </c>
      <c r="B54" s="1" t="str">
        <f>IFERROR(__xludf.DUMMYFUNCTION("""COMPUTED_VALUE"""),"M.Tech")</f>
        <v>M.Tech</v>
      </c>
      <c r="C54" s="1">
        <f>IFERROR(__xludf.DUMMYFUNCTION("""COMPUTED_VALUE"""),2021.0)</f>
        <v>2021</v>
      </c>
      <c r="D54" s="1" t="str">
        <f>IFERROR(__xludf.DUMMYFUNCTION("""COMPUTED_VALUE"""),"Optimization in Deep Learning")</f>
        <v>Optimization in Deep Learning</v>
      </c>
      <c r="E54" s="1" t="str">
        <f>IFERROR(__xludf.DUMMYFUNCTION("""COMPUTED_VALUE"""),"XPO Logistics")</f>
        <v>XPO Logistics</v>
      </c>
    </row>
    <row r="55" ht="15.75" customHeight="1">
      <c r="A55" s="1" t="str">
        <f>IFERROR(__xludf.DUMMYFUNCTION("""COMPUTED_VALUE"""),"Robin Ajmera")</f>
        <v>Robin Ajmera</v>
      </c>
      <c r="B55" s="1" t="str">
        <f>IFERROR(__xludf.DUMMYFUNCTION("""COMPUTED_VALUE"""),"M.Tech")</f>
        <v>M.Tech</v>
      </c>
      <c r="C55" s="1">
        <f>IFERROR(__xludf.DUMMYFUNCTION("""COMPUTED_VALUE"""),2021.0)</f>
        <v>2021</v>
      </c>
      <c r="D55" s="1" t="str">
        <f>IFERROR(__xludf.DUMMYFUNCTION("""COMPUTED_VALUE"""),"Robust Time tabling of trains based on actual running data")</f>
        <v>Robust Time tabling of trains based on actual running data</v>
      </c>
      <c r="E55" s="1" t="str">
        <f>IFERROR(__xludf.DUMMYFUNCTION("""COMPUTED_VALUE"""),"ORMAE LLP")</f>
        <v>ORMAE LLP</v>
      </c>
    </row>
    <row r="56" ht="15.75" customHeight="1">
      <c r="A56" s="1" t="str">
        <f>IFERROR(__xludf.DUMMYFUNCTION("""COMPUTED_VALUE"""),"Saurav Pathak")</f>
        <v>Saurav Pathak</v>
      </c>
      <c r="B56" s="1" t="str">
        <f>IFERROR(__xludf.DUMMYFUNCTION("""COMPUTED_VALUE"""),"M.Tech")</f>
        <v>M.Tech</v>
      </c>
      <c r="C56" s="1">
        <f>IFERROR(__xludf.DUMMYFUNCTION("""COMPUTED_VALUE"""),2021.0)</f>
        <v>2021</v>
      </c>
      <c r="D56" s="1" t="str">
        <f>IFERROR(__xludf.DUMMYFUNCTION("""COMPUTED_VALUE"""),"Deep Learning for Audio Analytics")</f>
        <v>Deep Learning for Audio Analytics</v>
      </c>
      <c r="E56" s="1" t="str">
        <f>IFERROR(__xludf.DUMMYFUNCTION("""COMPUTED_VALUE"""),"Pristine Retail Solutions Private Limited")</f>
        <v>Pristine Retail Solutions Private Limited</v>
      </c>
    </row>
    <row r="57" ht="15.75" customHeight="1">
      <c r="A57" s="1" t="str">
        <f>IFERROR(__xludf.DUMMYFUNCTION("""COMPUTED_VALUE"""),"Sayan Chatterjee")</f>
        <v>Sayan Chatterjee</v>
      </c>
      <c r="B57" s="1" t="str">
        <f>IFERROR(__xludf.DUMMYFUNCTION("""COMPUTED_VALUE"""),"M.Tech")</f>
        <v>M.Tech</v>
      </c>
      <c r="C57" s="1">
        <f>IFERROR(__xludf.DUMMYFUNCTION("""COMPUTED_VALUE"""),2021.0)</f>
        <v>2021</v>
      </c>
      <c r="D57" s="1" t="str">
        <f>IFERROR(__xludf.DUMMYFUNCTION("""COMPUTED_VALUE"""),"Machine Learning in Networks")</f>
        <v>Machine Learning in Networks</v>
      </c>
      <c r="E57" s="1" t="str">
        <f>IFERROR(__xludf.DUMMYFUNCTION("""COMPUTED_VALUE"""),"ANZ Bank")</f>
        <v>ANZ Bank</v>
      </c>
    </row>
    <row r="58" ht="15.75" customHeight="1">
      <c r="A58" s="1" t="str">
        <f>IFERROR(__xludf.DUMMYFUNCTION("""COMPUTED_VALUE"""),"Shrikant Rakhamaji Darekar")</f>
        <v>Shrikant Rakhamaji Darekar</v>
      </c>
      <c r="B58" s="1" t="str">
        <f>IFERROR(__xludf.DUMMYFUNCTION("""COMPUTED_VALUE"""),"M.Tech")</f>
        <v>M.Tech</v>
      </c>
      <c r="C58" s="1">
        <f>IFERROR(__xludf.DUMMYFUNCTION("""COMPUTED_VALUE"""),2021.0)</f>
        <v>2021</v>
      </c>
      <c r="D58" s="1" t="str">
        <f>IFERROR(__xludf.DUMMYFUNCTION("""COMPUTED_VALUE"""),"Comparison of nations for effectiveness in responding to COVID pandemic")</f>
        <v>Comparison of nations for effectiveness in responding to COVID pandemic</v>
      </c>
      <c r="E58" s="1"/>
    </row>
    <row r="59" ht="15.75" customHeight="1">
      <c r="A59" s="1" t="str">
        <f>IFERROR(__xludf.DUMMYFUNCTION("""COMPUTED_VALUE"""),"Suraj Suresh Bhondave")</f>
        <v>Suraj Suresh Bhondave</v>
      </c>
      <c r="B59" s="1" t="str">
        <f>IFERROR(__xludf.DUMMYFUNCTION("""COMPUTED_VALUE"""),"M.Tech")</f>
        <v>M.Tech</v>
      </c>
      <c r="C59" s="1">
        <f>IFERROR(__xludf.DUMMYFUNCTION("""COMPUTED_VALUE"""),2021.0)</f>
        <v>2021</v>
      </c>
      <c r="D59" s="1" t="str">
        <f>IFERROR(__xludf.DUMMYFUNCTION("""COMPUTED_VALUE"""),"Rescheduling trains on freight-only networks to minimise energy consumption")</f>
        <v>Rescheduling trains on freight-only networks to minimise energy consumption</v>
      </c>
      <c r="E59" s="1" t="str">
        <f>IFERROR(__xludf.DUMMYFUNCTION("""COMPUTED_VALUE"""),"Accenture")</f>
        <v>Accenture</v>
      </c>
    </row>
    <row r="60" ht="15.75" customHeight="1">
      <c r="A60" s="1" t="str">
        <f>IFERROR(__xludf.DUMMYFUNCTION("""COMPUTED_VALUE"""),"Taposh Kumar Kapuria")</f>
        <v>Taposh Kumar Kapuria</v>
      </c>
      <c r="B60" s="1" t="str">
        <f>IFERROR(__xludf.DUMMYFUNCTION("""COMPUTED_VALUE"""),"M.Tech")</f>
        <v>M.Tech</v>
      </c>
      <c r="C60" s="1">
        <f>IFERROR(__xludf.DUMMYFUNCTION("""COMPUTED_VALUE"""),2021.0)</f>
        <v>2021</v>
      </c>
      <c r="D60" s="1" t="str">
        <f>IFERROR(__xludf.DUMMYFUNCTION("""COMPUTED_VALUE"""),"Inventory and revenue management in supply chain for multiperiod and two 
customer classes")</f>
        <v>Inventory and revenue management in supply chain for multiperiod and two 
customer classes</v>
      </c>
      <c r="E60" s="1" t="str">
        <f>IFERROR(__xludf.DUMMYFUNCTION("""COMPUTED_VALUE"""),"Shohoz Limited")</f>
        <v>Shohoz Limited</v>
      </c>
    </row>
    <row r="61" ht="15.75" customHeight="1">
      <c r="A61" s="1" t="str">
        <f>IFERROR(__xludf.DUMMYFUNCTION("""COMPUTED_VALUE"""),"Tushar Pant")</f>
        <v>Tushar Pant</v>
      </c>
      <c r="B61" s="1" t="str">
        <f>IFERROR(__xludf.DUMMYFUNCTION("""COMPUTED_VALUE"""),"M.Tech")</f>
        <v>M.Tech</v>
      </c>
      <c r="C61" s="1">
        <f>IFERROR(__xludf.DUMMYFUNCTION("""COMPUTED_VALUE"""),2021.0)</f>
        <v>2021</v>
      </c>
      <c r="D61" s="1" t="str">
        <f>IFERROR(__xludf.DUMMYFUNCTION("""COMPUTED_VALUE"""),"Scheduling pick-up and drop vehicles by a logistic firm")</f>
        <v>Scheduling pick-up and drop vehicles by a logistic firm</v>
      </c>
      <c r="E61" s="1" t="str">
        <f>IFERROR(__xludf.DUMMYFUNCTION("""COMPUTED_VALUE"""),"DHL")</f>
        <v>DHL</v>
      </c>
    </row>
    <row r="62" ht="15.75" customHeight="1">
      <c r="A62" s="1" t="str">
        <f>IFERROR(__xludf.DUMMYFUNCTION("""COMPUTED_VALUE"""),"Yogesh Nagar")</f>
        <v>Yogesh Nagar</v>
      </c>
      <c r="B62" s="1" t="str">
        <f>IFERROR(__xludf.DUMMYFUNCTION("""COMPUTED_VALUE"""),"M.Tech")</f>
        <v>M.Tech</v>
      </c>
      <c r="C62" s="1">
        <f>IFERROR(__xludf.DUMMYFUNCTION("""COMPUTED_VALUE"""),2021.0)</f>
        <v>2021</v>
      </c>
      <c r="D62" s="1" t="str">
        <f>IFERROR(__xludf.DUMMYFUNCTION("""COMPUTED_VALUE"""),"Deep learning for NLP")</f>
        <v>Deep learning for NLP</v>
      </c>
      <c r="E62" s="1" t="str">
        <f>IFERROR(__xludf.DUMMYFUNCTION("""COMPUTED_VALUE"""),"ANZ BANK")</f>
        <v>ANZ BANK</v>
      </c>
    </row>
    <row r="63" ht="15.75" customHeight="1">
      <c r="A63" s="1" t="str">
        <f>IFERROR(__xludf.DUMMYFUNCTION("""COMPUTED_VALUE"""),"Anand Singh")</f>
        <v>Anand Singh</v>
      </c>
      <c r="B63" s="2" t="str">
        <f>IFERROR(__xludf.DUMMYFUNCTION("""COMPUTED_VALUE"""),"M.Sc")</f>
        <v>M.Sc</v>
      </c>
      <c r="C63" s="1">
        <f>IFERROR(__xludf.DUMMYFUNCTION("""COMPUTED_VALUE"""),2021.0)</f>
        <v>2021</v>
      </c>
      <c r="D63" s="1" t="str">
        <f>IFERROR(__xludf.DUMMYFUNCTION("""COMPUTED_VALUE"""),"Multi-Armed Bandits")</f>
        <v>Multi-Armed Bandits</v>
      </c>
      <c r="E63" s="1"/>
    </row>
    <row r="64" ht="15.75" customHeight="1">
      <c r="A64" s="1" t="str">
        <f>IFERROR(__xludf.DUMMYFUNCTION("""COMPUTED_VALUE"""),"Ananya Nandy")</f>
        <v>Ananya Nandy</v>
      </c>
      <c r="B64" s="2" t="str">
        <f>IFERROR(__xludf.DUMMYFUNCTION("""COMPUTED_VALUE"""),"M.Sc")</f>
        <v>M.Sc</v>
      </c>
      <c r="C64" s="1">
        <f>IFERROR(__xludf.DUMMYFUNCTION("""COMPUTED_VALUE"""),2021.0)</f>
        <v>2021</v>
      </c>
      <c r="D64" s="1" t="str">
        <f>IFERROR(__xludf.DUMMYFUNCTION("""COMPUTED_VALUE"""),"Negative Dependence of random variables")</f>
        <v>Negative Dependence of random variables</v>
      </c>
      <c r="E64" s="1" t="str">
        <f>IFERROR(__xludf.DUMMYFUNCTION("""COMPUTED_VALUE"""),"Accenture Operations")</f>
        <v>Accenture Operations</v>
      </c>
    </row>
    <row r="65" ht="15.75" customHeight="1">
      <c r="A65" s="1" t="str">
        <f>IFERROR(__xludf.DUMMYFUNCTION("""COMPUTED_VALUE"""),"Anirban Naskar")</f>
        <v>Anirban Naskar</v>
      </c>
      <c r="B65" s="2" t="str">
        <f>IFERROR(__xludf.DUMMYFUNCTION("""COMPUTED_VALUE"""),"M.Sc")</f>
        <v>M.Sc</v>
      </c>
      <c r="C65" s="1">
        <f>IFERROR(__xludf.DUMMYFUNCTION("""COMPUTED_VALUE"""),2021.0)</f>
        <v>2021</v>
      </c>
      <c r="D65" s="1" t="str">
        <f>IFERROR(__xludf.DUMMYFUNCTION("""COMPUTED_VALUE"""),"Network Optimization")</f>
        <v>Network Optimization</v>
      </c>
      <c r="E65" s="1"/>
    </row>
    <row r="66" ht="15.75" customHeight="1">
      <c r="A66" s="1" t="str">
        <f>IFERROR(__xludf.DUMMYFUNCTION("""COMPUTED_VALUE"""),"Dasari Jeevan Swaroop")</f>
        <v>Dasari Jeevan Swaroop</v>
      </c>
      <c r="B66" s="2" t="str">
        <f>IFERROR(__xludf.DUMMYFUNCTION("""COMPUTED_VALUE"""),"M.Sc")</f>
        <v>M.Sc</v>
      </c>
      <c r="C66" s="1">
        <f>IFERROR(__xludf.DUMMYFUNCTION("""COMPUTED_VALUE"""),2021.0)</f>
        <v>2021</v>
      </c>
      <c r="D66" s="1" t="str">
        <f>IFERROR(__xludf.DUMMYFUNCTION("""COMPUTED_VALUE"""),"Large Scale Optimization")</f>
        <v>Large Scale Optimization</v>
      </c>
      <c r="E66" s="1" t="str">
        <f>IFERROR(__xludf.DUMMYFUNCTION("""COMPUTED_VALUE"""),"Opex Analytics")</f>
        <v>Opex Analytics</v>
      </c>
    </row>
    <row r="67" ht="15.75" customHeight="1">
      <c r="A67" s="1" t="str">
        <f>IFERROR(__xludf.DUMMYFUNCTION("""COMPUTED_VALUE"""),"H Satyam Verma")</f>
        <v>H Satyam Verma</v>
      </c>
      <c r="B67" s="2" t="str">
        <f>IFERROR(__xludf.DUMMYFUNCTION("""COMPUTED_VALUE"""),"M.Sc")</f>
        <v>M.Sc</v>
      </c>
      <c r="C67" s="1">
        <f>IFERROR(__xludf.DUMMYFUNCTION("""COMPUTED_VALUE"""),2021.0)</f>
        <v>2021</v>
      </c>
      <c r="D67" s="1" t="str">
        <f>IFERROR(__xludf.DUMMYFUNCTION("""COMPUTED_VALUE"""),"Recommender systems using nested bandits")</f>
        <v>Recommender systems using nested bandits</v>
      </c>
      <c r="E67" s="1"/>
    </row>
    <row r="68" ht="15.75" customHeight="1">
      <c r="A68" s="1" t="str">
        <f>IFERROR(__xludf.DUMMYFUNCTION("""COMPUTED_VALUE"""),"Harshit Raj")</f>
        <v>Harshit Raj</v>
      </c>
      <c r="B68" s="2" t="str">
        <f>IFERROR(__xludf.DUMMYFUNCTION("""COMPUTED_VALUE"""),"M.Sc")</f>
        <v>M.Sc</v>
      </c>
      <c r="C68" s="1">
        <f>IFERROR(__xludf.DUMMYFUNCTION("""COMPUTED_VALUE"""),2021.0)</f>
        <v>2021</v>
      </c>
      <c r="D68" s="1" t="str">
        <f>IFERROR(__xludf.DUMMYFUNCTION("""COMPUTED_VALUE"""),"Implement Blockchain in supply chain")</f>
        <v>Implement Blockchain in supply chain</v>
      </c>
      <c r="E68" s="1"/>
    </row>
    <row r="69" ht="15.75" customHeight="1">
      <c r="A69" s="1" t="str">
        <f>IFERROR(__xludf.DUMMYFUNCTION("""COMPUTED_VALUE"""),"Sagnik Das")</f>
        <v>Sagnik Das</v>
      </c>
      <c r="B69" s="2" t="str">
        <f>IFERROR(__xludf.DUMMYFUNCTION("""COMPUTED_VALUE"""),"M.Sc")</f>
        <v>M.Sc</v>
      </c>
      <c r="C69" s="1">
        <f>IFERROR(__xludf.DUMMYFUNCTION("""COMPUTED_VALUE"""),2021.0)</f>
        <v>2021</v>
      </c>
      <c r="D69" s="1" t="str">
        <f>IFERROR(__xludf.DUMMYFUNCTION("""COMPUTED_VALUE"""),"Deep Learning")</f>
        <v>Deep Learning</v>
      </c>
      <c r="E69" s="1" t="str">
        <f>IFERROR(__xludf.DUMMYFUNCTION("""COMPUTED_VALUE"""),"Blume Global India")</f>
        <v>Blume Global India</v>
      </c>
    </row>
    <row r="70" ht="15.75" customHeight="1">
      <c r="A70" s="1" t="str">
        <f>IFERROR(__xludf.DUMMYFUNCTION("""COMPUTED_VALUE"""),"Salbani Chakrabortty")</f>
        <v>Salbani Chakrabortty</v>
      </c>
      <c r="B70" s="2" t="str">
        <f>IFERROR(__xludf.DUMMYFUNCTION("""COMPUTED_VALUE"""),"M.Sc")</f>
        <v>M.Sc</v>
      </c>
      <c r="C70" s="1">
        <f>IFERROR(__xludf.DUMMYFUNCTION("""COMPUTED_VALUE"""),2021.0)</f>
        <v>2021</v>
      </c>
      <c r="D70" s="1" t="str">
        <f>IFERROR(__xludf.DUMMYFUNCTION("""COMPUTED_VALUE"""),"Queuing control (using MDP) used in passport office")</f>
        <v>Queuing control (using MDP) used in passport office</v>
      </c>
      <c r="E70" s="1" t="str">
        <f>IFERROR(__xludf.DUMMYFUNCTION("""COMPUTED_VALUE"""),"ICICI Securities Ltd.")</f>
        <v>ICICI Securities Ltd.</v>
      </c>
    </row>
    <row r="71" ht="15.75" customHeight="1">
      <c r="A71" s="1" t="str">
        <f>IFERROR(__xludf.DUMMYFUNCTION("""COMPUTED_VALUE"""),"Shubham Sharma")</f>
        <v>Shubham Sharma</v>
      </c>
      <c r="B71" s="2" t="str">
        <f>IFERROR(__xludf.DUMMYFUNCTION("""COMPUTED_VALUE"""),"M.Sc")</f>
        <v>M.Sc</v>
      </c>
      <c r="C71" s="1">
        <f>IFERROR(__xludf.DUMMYFUNCTION("""COMPUTED_VALUE"""),2021.0)</f>
        <v>2021</v>
      </c>
      <c r="D71" s="1" t="str">
        <f>IFERROR(__xludf.DUMMYFUNCTION("""COMPUTED_VALUE"""),"Graph Embeddings")</f>
        <v>Graph Embeddings</v>
      </c>
      <c r="E71" s="2" t="str">
        <f>IFERROR(__xludf.DUMMYFUNCTION("""COMPUTED_VALUE"""),"Engineers.ai")</f>
        <v>Engineers.ai</v>
      </c>
    </row>
    <row r="72" ht="15.75" customHeight="1">
      <c r="A72" s="1" t="str">
        <f>IFERROR(__xludf.DUMMYFUNCTION("""COMPUTED_VALUE"""),"Shubham Uttam")</f>
        <v>Shubham Uttam</v>
      </c>
      <c r="B72" s="2" t="str">
        <f>IFERROR(__xludf.DUMMYFUNCTION("""COMPUTED_VALUE"""),"M.Sc")</f>
        <v>M.Sc</v>
      </c>
      <c r="C72" s="1">
        <f>IFERROR(__xludf.DUMMYFUNCTION("""COMPUTED_VALUE"""),2021.0)</f>
        <v>2021</v>
      </c>
      <c r="D72" s="1"/>
      <c r="E72" s="1"/>
    </row>
    <row r="73" ht="15.75" customHeight="1">
      <c r="A73" s="1" t="str">
        <f>IFERROR(__xludf.DUMMYFUNCTION("""COMPUTED_VALUE"""),"Utkarsh Singh")</f>
        <v>Utkarsh Singh</v>
      </c>
      <c r="B73" s="2" t="str">
        <f>IFERROR(__xludf.DUMMYFUNCTION("""COMPUTED_VALUE"""),"M.Sc")</f>
        <v>M.Sc</v>
      </c>
      <c r="C73" s="1">
        <f>IFERROR(__xludf.DUMMYFUNCTION("""COMPUTED_VALUE"""),2021.0)</f>
        <v>2021</v>
      </c>
      <c r="D73" s="1" t="str">
        <f>IFERROR(__xludf.DUMMYFUNCTION("""COMPUTED_VALUE"""),"AutoML: Neural architecture search for medical image segmentation using 
DARTS")</f>
        <v>AutoML: Neural architecture search for medical image segmentation using 
DARTS</v>
      </c>
      <c r="E73" s="1"/>
    </row>
    <row r="74" ht="15.75" customHeight="1">
      <c r="A74" s="1" t="str">
        <f>IFERROR(__xludf.DUMMYFUNCTION("""COMPUTED_VALUE"""),"Utkarsh Verma")</f>
        <v>Utkarsh Verma</v>
      </c>
      <c r="B74" s="1" t="str">
        <f>IFERROR(__xludf.DUMMYFUNCTION("""COMPUTED_VALUE"""),"M.Sc-Ph.D")</f>
        <v>M.Sc-Ph.D</v>
      </c>
      <c r="C74" s="1">
        <f>IFERROR(__xludf.DUMMYFUNCTION("""COMPUTED_VALUE"""),2021.0)</f>
        <v>2021</v>
      </c>
      <c r="D74" s="1" t="str">
        <f>IFERROR(__xludf.DUMMYFUNCTION("""COMPUTED_VALUE"""),"Analysis of Kidney Exchange Programs and Deceased Donor Allocation 
Mechanisms")</f>
        <v>Analysis of Kidney Exchange Programs and Deceased Donor Allocation 
Mechanisms</v>
      </c>
      <c r="E74" s="1"/>
    </row>
    <row r="75" ht="15.75" customHeight="1">
      <c r="A75" s="1" t="str">
        <f>IFERROR(__xludf.DUMMYFUNCTION("""COMPUTED_VALUE"""),"Ravi Kant Rai")</f>
        <v>Ravi Kant Rai</v>
      </c>
      <c r="B75" s="1" t="str">
        <f>IFERROR(__xludf.DUMMYFUNCTION("""COMPUTED_VALUE"""),"M.Sc-Ph.D")</f>
        <v>M.Sc-Ph.D</v>
      </c>
      <c r="C75" s="1">
        <f>IFERROR(__xludf.DUMMYFUNCTION("""COMPUTED_VALUE"""),2021.0)</f>
        <v>2021</v>
      </c>
      <c r="D75" s="1" t="str">
        <f>IFERROR(__xludf.DUMMYFUNCTION("""COMPUTED_VALUE"""),"Bidding Games and Efficient Play")</f>
        <v>Bidding Games and Efficient Play</v>
      </c>
      <c r="E75" s="1"/>
    </row>
    <row r="76" ht="15.75" customHeight="1">
      <c r="A76" s="1" t="str">
        <f>IFERROR(__xludf.DUMMYFUNCTION("""COMPUTED_VALUE"""),"Arun Verma")</f>
        <v>Arun Verma</v>
      </c>
      <c r="B76" s="1" t="str">
        <f>IFERROR(__xludf.DUMMYFUNCTION("""COMPUTED_VALUE"""),"Ph.D")</f>
        <v>Ph.D</v>
      </c>
      <c r="C76" s="1">
        <f>IFERROR(__xludf.DUMMYFUNCTION("""COMPUTED_VALUE"""),2021.0)</f>
        <v>2021</v>
      </c>
      <c r="D76" s="1" t="str">
        <f>IFERROR(__xludf.DUMMYFUNCTION("""COMPUTED_VALUE"""),"Sequential Decision Problems with Weak Feedback")</f>
        <v>Sequential Decision Problems with Weak Feedback</v>
      </c>
      <c r="E76" s="1"/>
    </row>
    <row r="77" ht="15.75" customHeight="1">
      <c r="A77" s="1" t="str">
        <f>IFERROR(__xludf.DUMMYFUNCTION("""COMPUTED_VALUE"""),"Meenarli Sharma")</f>
        <v>Meenarli Sharma</v>
      </c>
      <c r="B77" s="1" t="str">
        <f>IFERROR(__xludf.DUMMYFUNCTION("""COMPUTED_VALUE"""),"Ph.D")</f>
        <v>Ph.D</v>
      </c>
      <c r="C77" s="1">
        <f>IFERROR(__xludf.DUMMYFUNCTION("""COMPUTED_VALUE"""),2021.0)</f>
        <v>2021</v>
      </c>
      <c r="D77" s="1" t="str">
        <f>IFERROR(__xludf.DUMMYFUNCTION("""COMPUTED_VALUE"""),"Advances in Algorithms for Convex Mixed-Integer Nonlinear Optimization")</f>
        <v>Advances in Algorithms for Convex Mixed-Integer Nonlinear Optimization</v>
      </c>
      <c r="E77" s="1"/>
    </row>
    <row r="78" ht="15.75" customHeight="1">
      <c r="A78" s="1" t="str">
        <f>IFERROR(__xludf.DUMMYFUNCTION("""COMPUTED_VALUE"""),"Prashant Palkar")</f>
        <v>Prashant Palkar</v>
      </c>
      <c r="B78" s="1" t="str">
        <f>IFERROR(__xludf.DUMMYFUNCTION("""COMPUTED_VALUE"""),"Ph.D")</f>
        <v>Ph.D</v>
      </c>
      <c r="C78" s="1">
        <f>IFERROR(__xludf.DUMMYFUNCTION("""COMPUTED_VALUE"""),2021.0)</f>
        <v>2021</v>
      </c>
      <c r="D78" s="1" t="str">
        <f>IFERROR(__xludf.DUMMYFUNCTION("""COMPUTED_VALUE"""),"Shared-Memory Parallel Algorithms for Mixed-Integer Nonlinear Optimization")</f>
        <v>Shared-Memory Parallel Algorithms for Mixed-Integer Nonlinear Optimization</v>
      </c>
      <c r="E78" s="1"/>
    </row>
    <row r="79" ht="15.75" customHeight="1">
      <c r="A79" s="1" t="str">
        <f>IFERROR(__xludf.DUMMYFUNCTION("""COMPUTED_VALUE"""),"Shripad Salsingikar")</f>
        <v>Shripad Salsingikar</v>
      </c>
      <c r="B79" s="1" t="str">
        <f>IFERROR(__xludf.DUMMYFUNCTION("""COMPUTED_VALUE"""),"Ph.D")</f>
        <v>Ph.D</v>
      </c>
      <c r="C79" s="1">
        <f>IFERROR(__xludf.DUMMYFUNCTION("""COMPUTED_VALUE"""),2021.0)</f>
        <v>2021</v>
      </c>
      <c r="D79" s="1" t="str">
        <f>IFERROR(__xludf.DUMMYFUNCTION("""COMPUTED_VALUE"""),"Routing and Scheduling of Trains in a Railway Network")</f>
        <v>Routing and Scheduling of Trains in a Railway Network</v>
      </c>
      <c r="E79" s="1"/>
    </row>
    <row r="80" ht="15.75" customHeight="1">
      <c r="A80" s="1" t="str">
        <f>IFERROR(__xludf.DUMMYFUNCTION("""COMPUTED_VALUE"""),"Ashish Kumar Dubey")</f>
        <v>Ashish Kumar Dubey</v>
      </c>
      <c r="B80" s="1" t="str">
        <f>IFERROR(__xludf.DUMMYFUNCTION("""COMPUTED_VALUE"""),"PGDIIT")</f>
        <v>PGDIIT</v>
      </c>
      <c r="C80" s="1">
        <f>IFERROR(__xludf.DUMMYFUNCTION("""COMPUTED_VALUE"""),2021.0)</f>
        <v>2021</v>
      </c>
      <c r="D80" s="1"/>
      <c r="E80" s="1"/>
    </row>
    <row r="81" ht="15.75" customHeight="1">
      <c r="A81" s="1" t="str">
        <f>IFERROR(__xludf.DUMMYFUNCTION("""COMPUTED_VALUE"""),"Nagender Singh")</f>
        <v>Nagender Singh</v>
      </c>
      <c r="B81" s="1" t="str">
        <f>IFERROR(__xludf.DUMMYFUNCTION("""COMPUTED_VALUE"""),"PGDIIT")</f>
        <v>PGDIIT</v>
      </c>
      <c r="C81" s="1">
        <f>IFERROR(__xludf.DUMMYFUNCTION("""COMPUTED_VALUE"""),2021.0)</f>
        <v>2021</v>
      </c>
      <c r="D81" s="1"/>
      <c r="E81" s="1"/>
    </row>
    <row r="82" ht="15.75" customHeight="1">
      <c r="A82" s="1" t="str">
        <f>IFERROR(__xludf.DUMMYFUNCTION("""COMPUTED_VALUE"""),"Naqueebur Rahman")</f>
        <v>Naqueebur Rahman</v>
      </c>
      <c r="B82" s="1" t="str">
        <f>IFERROR(__xludf.DUMMYFUNCTION("""COMPUTED_VALUE"""),"PGDIIT")</f>
        <v>PGDIIT</v>
      </c>
      <c r="C82" s="1">
        <f>IFERROR(__xludf.DUMMYFUNCTION("""COMPUTED_VALUE"""),2021.0)</f>
        <v>2021</v>
      </c>
      <c r="D82" s="1"/>
      <c r="E82" s="1"/>
    </row>
    <row r="83" ht="15.75" customHeight="1">
      <c r="A83" s="1" t="str">
        <f>IFERROR(__xludf.DUMMYFUNCTION("""COMPUTED_VALUE"""),"Sukanya Kudva")</f>
        <v>Sukanya Kudva</v>
      </c>
      <c r="B83" s="1" t="str">
        <f>IFERROR(__xludf.DUMMYFUNCTION("""COMPUTED_VALUE"""),"IDDDP")</f>
        <v>IDDDP</v>
      </c>
      <c r="C83" s="1">
        <f>IFERROR(__xludf.DUMMYFUNCTION("""COMPUTED_VALUE"""),2021.0)</f>
        <v>2021</v>
      </c>
      <c r="D83" s="1"/>
      <c r="E83" s="1"/>
    </row>
    <row r="84" ht="15.75" customHeight="1">
      <c r="A84" s="1" t="str">
        <f>IFERROR(__xludf.DUMMYFUNCTION("""COMPUTED_VALUE"""),"Tejas Ghorpade")</f>
        <v>Tejas Ghorpade</v>
      </c>
      <c r="B84" s="1" t="str">
        <f>IFERROR(__xludf.DUMMYFUNCTION("""COMPUTED_VALUE"""),"M.Tech+Ph.D")</f>
        <v>M.Tech+Ph.D</v>
      </c>
      <c r="C84" s="1">
        <f>IFERROR(__xludf.DUMMYFUNCTION("""COMPUTED_VALUE"""),2021.0)</f>
        <v>2021</v>
      </c>
      <c r="D84" s="1" t="str">
        <f>IFERROR(__xludf.DUMMYFUNCTION("""COMPUTED_VALUE"""),"Models for Allocation and Routing Decisions in Freight Transportation")</f>
        <v>Models for Allocation and Routing Decisions in Freight Transportation</v>
      </c>
      <c r="E84" s="1"/>
    </row>
    <row r="85" ht="15.75" customHeight="1">
      <c r="A85" s="1" t="str">
        <f>IFERROR(__xludf.DUMMYFUNCTION("""COMPUTED_VALUE"""),"Adiya Chandra")</f>
        <v>Adiya Chandra</v>
      </c>
      <c r="B85" s="2" t="str">
        <f>IFERROR(__xludf.DUMMYFUNCTION("""COMPUTED_VALUE"""),"M.Sc")</f>
        <v>M.Sc</v>
      </c>
      <c r="C85" s="1">
        <f>IFERROR(__xludf.DUMMYFUNCTION("""COMPUTED_VALUE"""),2020.0)</f>
        <v>2020</v>
      </c>
      <c r="D85" s="1"/>
      <c r="E85" s="1" t="str">
        <f>IFERROR(__xludf.DUMMYFUNCTION("""COMPUTED_VALUE"""),"Sheorey Digital Systems")</f>
        <v>Sheorey Digital Systems</v>
      </c>
    </row>
    <row r="86" ht="15.75" customHeight="1">
      <c r="A86" s="1" t="str">
        <f>IFERROR(__xludf.DUMMYFUNCTION("""COMPUTED_VALUE"""),"Akul Bansal")</f>
        <v>Akul Bansal</v>
      </c>
      <c r="B86" s="2" t="str">
        <f>IFERROR(__xludf.DUMMYFUNCTION("""COMPUTED_VALUE"""),"M.Sc")</f>
        <v>M.Sc</v>
      </c>
      <c r="C86" s="1">
        <f>IFERROR(__xludf.DUMMYFUNCTION("""COMPUTED_VALUE"""),2020.0)</f>
        <v>2020</v>
      </c>
      <c r="D86" s="1"/>
      <c r="E86" s="1"/>
    </row>
    <row r="87" ht="15.75" customHeight="1">
      <c r="A87" s="1" t="str">
        <f>IFERROR(__xludf.DUMMYFUNCTION("""COMPUTED_VALUE"""),"Amlan Ghosh")</f>
        <v>Amlan Ghosh</v>
      </c>
      <c r="B87" s="2" t="str">
        <f>IFERROR(__xludf.DUMMYFUNCTION("""COMPUTED_VALUE"""),"M.Sc")</f>
        <v>M.Sc</v>
      </c>
      <c r="C87" s="1">
        <f>IFERROR(__xludf.DUMMYFUNCTION("""COMPUTED_VALUE"""),2020.0)</f>
        <v>2020</v>
      </c>
      <c r="D87" s="1"/>
      <c r="E87" s="1" t="str">
        <f>IFERROR(__xludf.DUMMYFUNCTION("""COMPUTED_VALUE"""),"ORMAE")</f>
        <v>ORMAE</v>
      </c>
    </row>
    <row r="88" ht="15.75" customHeight="1">
      <c r="A88" s="1" t="str">
        <f>IFERROR(__xludf.DUMMYFUNCTION("""COMPUTED_VALUE"""),"Bijendra Kumar")</f>
        <v>Bijendra Kumar</v>
      </c>
      <c r="B88" s="2" t="str">
        <f>IFERROR(__xludf.DUMMYFUNCTION("""COMPUTED_VALUE"""),"M.Sc")</f>
        <v>M.Sc</v>
      </c>
      <c r="C88" s="1">
        <f>IFERROR(__xludf.DUMMYFUNCTION("""COMPUTED_VALUE"""),2020.0)</f>
        <v>2020</v>
      </c>
      <c r="D88" s="1"/>
      <c r="E88" s="1"/>
    </row>
    <row r="89" ht="15.75" customHeight="1">
      <c r="A89" s="1" t="str">
        <f>IFERROR(__xludf.DUMMYFUNCTION("""COMPUTED_VALUE"""),"Gulfan khan")</f>
        <v>Gulfan khan</v>
      </c>
      <c r="B89" s="2" t="str">
        <f>IFERROR(__xludf.DUMMYFUNCTION("""COMPUTED_VALUE"""),"M.Sc")</f>
        <v>M.Sc</v>
      </c>
      <c r="C89" s="1">
        <f>IFERROR(__xludf.DUMMYFUNCTION("""COMPUTED_VALUE"""),2020.0)</f>
        <v>2020</v>
      </c>
      <c r="D89" s="1" t="str">
        <f>IFERROR(__xludf.DUMMYFUNCTION("""COMPUTED_VALUE"""),"Contract design and supply chain optimization for electricity market")</f>
        <v>Contract design and supply chain optimization for electricity market</v>
      </c>
      <c r="E89" s="1"/>
    </row>
    <row r="90" ht="15.75" customHeight="1">
      <c r="A90" s="1" t="str">
        <f>IFERROR(__xludf.DUMMYFUNCTION("""COMPUTED_VALUE"""),"Mayuri Bakshi")</f>
        <v>Mayuri Bakshi</v>
      </c>
      <c r="B90" s="2" t="str">
        <f>IFERROR(__xludf.DUMMYFUNCTION("""COMPUTED_VALUE"""),"M.Sc")</f>
        <v>M.Sc</v>
      </c>
      <c r="C90" s="1">
        <f>IFERROR(__xludf.DUMMYFUNCTION("""COMPUTED_VALUE"""),2020.0)</f>
        <v>2020</v>
      </c>
      <c r="D90" s="1"/>
      <c r="E90" s="1" t="str">
        <f>IFERROR(__xludf.DUMMYFUNCTION("""COMPUTED_VALUE"""),"Citibank")</f>
        <v>Citibank</v>
      </c>
    </row>
    <row r="91" ht="15.75" customHeight="1">
      <c r="A91" s="1" t="str">
        <f>IFERROR(__xludf.DUMMYFUNCTION("""COMPUTED_VALUE"""),"Sheshadev Behera")</f>
        <v>Sheshadev Behera</v>
      </c>
      <c r="B91" s="2" t="str">
        <f>IFERROR(__xludf.DUMMYFUNCTION("""COMPUTED_VALUE"""),"M.Sc")</f>
        <v>M.Sc</v>
      </c>
      <c r="C91" s="1">
        <f>IFERROR(__xludf.DUMMYFUNCTION("""COMPUTED_VALUE"""),2020.0)</f>
        <v>2020</v>
      </c>
      <c r="D91" s="1" t="str">
        <f>IFERROR(__xludf.DUMMYFUNCTION("""COMPUTED_VALUE"""),"Safety stock placement in supply chains with demand forecast updated")</f>
        <v>Safety stock placement in supply chains with demand forecast updated</v>
      </c>
      <c r="E91" s="1"/>
    </row>
    <row r="92" ht="15.75" customHeight="1">
      <c r="A92" s="1" t="str">
        <f>IFERROR(__xludf.DUMMYFUNCTION("""COMPUTED_VALUE"""),"Vanessa Ann Beddoe Sawkmie")</f>
        <v>Vanessa Ann Beddoe Sawkmie</v>
      </c>
      <c r="B92" s="2" t="str">
        <f>IFERROR(__xludf.DUMMYFUNCTION("""COMPUTED_VALUE"""),"M.Sc")</f>
        <v>M.Sc</v>
      </c>
      <c r="C92" s="1">
        <f>IFERROR(__xludf.DUMMYFUNCTION("""COMPUTED_VALUE"""),2020.0)</f>
        <v>2020</v>
      </c>
      <c r="D92" s="1"/>
      <c r="E92" s="1"/>
    </row>
    <row r="93" ht="15.75" customHeight="1">
      <c r="A93" s="1" t="str">
        <f>IFERROR(__xludf.DUMMYFUNCTION("""COMPUTED_VALUE"""),"Alok Patel")</f>
        <v>Alok Patel</v>
      </c>
      <c r="B93" s="1" t="str">
        <f>IFERROR(__xludf.DUMMYFUNCTION("""COMPUTED_VALUE"""),"M.Sc-Ph.D")</f>
        <v>M.Sc-Ph.D</v>
      </c>
      <c r="C93" s="1">
        <f>IFERROR(__xludf.DUMMYFUNCTION("""COMPUTED_VALUE"""),2020.0)</f>
        <v>2020</v>
      </c>
      <c r="D93" s="1" t="str">
        <f>IFERROR(__xludf.DUMMYFUNCTION("""COMPUTED_VALUE"""),"Optimization-based Signal Control Approaches for Heterogeneous Road Traffic")</f>
        <v>Optimization-based Signal Control Approaches for Heterogeneous Road Traffic</v>
      </c>
      <c r="E93" s="1"/>
    </row>
    <row r="94" ht="15.75" customHeight="1">
      <c r="A94" s="1" t="str">
        <f>IFERROR(__xludf.DUMMYFUNCTION("""COMPUTED_VALUE"""),"M. Venkateswararao. K")</f>
        <v>M. Venkateswararao. K</v>
      </c>
      <c r="B94" s="1" t="str">
        <f>IFERROR(__xludf.DUMMYFUNCTION("""COMPUTED_VALUE"""),"M.Sc-Ph.D")</f>
        <v>M.Sc-Ph.D</v>
      </c>
      <c r="C94" s="1">
        <f>IFERROR(__xludf.DUMMYFUNCTION("""COMPUTED_VALUE"""),2020.0)</f>
        <v>2020</v>
      </c>
      <c r="D94" s="1" t="str">
        <f>IFERROR(__xludf.DUMMYFUNCTION("""COMPUTED_VALUE"""),"Optimal Control of Bunching and Serve on Move WLANs in Intelligent 
Transportation Systems")</f>
        <v>Optimal Control of Bunching and Serve on Move WLANs in Intelligent 
Transportation Systems</v>
      </c>
      <c r="E94" s="1"/>
    </row>
    <row r="95" ht="15.75" customHeight="1">
      <c r="A95" s="1" t="str">
        <f>IFERROR(__xludf.DUMMYFUNCTION("""COMPUTED_VALUE"""),"Puja Sahu")</f>
        <v>Puja Sahu</v>
      </c>
      <c r="B95" s="1" t="str">
        <f>IFERROR(__xludf.DUMMYFUNCTION("""COMPUTED_VALUE"""),"M.Sc-Ph.D")</f>
        <v>M.Sc-Ph.D</v>
      </c>
      <c r="C95" s="1">
        <f>IFERROR(__xludf.DUMMYFUNCTION("""COMPUTED_VALUE"""),2020.0)</f>
        <v>2020</v>
      </c>
      <c r="D95" s="1" t="str">
        <f>IFERROR(__xludf.DUMMYFUNCTION("""COMPUTED_VALUE"""),"Optimal PAC-Bayesian Classifiers and Choice of SVM Regularization Parameter")</f>
        <v>Optimal PAC-Bayesian Classifiers and Choice of SVM Regularization Parameter</v>
      </c>
      <c r="E95" s="1"/>
    </row>
    <row r="96" ht="15.75" customHeight="1">
      <c r="A96" s="1" t="str">
        <f>IFERROR(__xludf.DUMMYFUNCTION("""COMPUTED_VALUE"""),"Ranbir Singh")</f>
        <v>Ranbir Singh</v>
      </c>
      <c r="B96" s="1" t="str">
        <f>IFERROR(__xludf.DUMMYFUNCTION("""COMPUTED_VALUE"""),"M.Sc-Ph.D")</f>
        <v>M.Sc-Ph.D</v>
      </c>
      <c r="C96" s="1">
        <f>IFERROR(__xludf.DUMMYFUNCTION("""COMPUTED_VALUE"""),2020.0)</f>
        <v>2020</v>
      </c>
      <c r="D96" s="1" t="str">
        <f>IFERROR(__xludf.DUMMYFUNCTION("""COMPUTED_VALUE"""),"Viral Marketing Branching Processes in Social Networks")</f>
        <v>Viral Marketing Branching Processes in Social Networks</v>
      </c>
      <c r="E96" s="1"/>
    </row>
    <row r="97" ht="15.75" customHeight="1">
      <c r="A97" s="1" t="str">
        <f>IFERROR(__xludf.DUMMYFUNCTION("""COMPUTED_VALUE"""),"Sandhya Tripathi")</f>
        <v>Sandhya Tripathi</v>
      </c>
      <c r="B97" s="1" t="str">
        <f>IFERROR(__xludf.DUMMYFUNCTION("""COMPUTED_VALUE"""),"M.Sc-Ph.D")</f>
        <v>M.Sc-Ph.D</v>
      </c>
      <c r="C97" s="1">
        <f>IFERROR(__xludf.DUMMYFUNCTION("""COMPUTED_VALUE"""),2020.0)</f>
        <v>2020</v>
      </c>
      <c r="D97" s="1" t="str">
        <f>IFERROR(__xludf.DUMMYFUNCTION("""COMPUTED_VALUE"""),"Label Noise Robustness and Feature Subset Selection in Classification: 
Discriminative and Generative Approaches")</f>
        <v>Label Noise Robustness and Feature Subset Selection in Classification: 
Discriminative and Generative Approaches</v>
      </c>
      <c r="E97" s="1"/>
    </row>
    <row r="98" ht="15.75" customHeight="1">
      <c r="A98" s="1" t="str">
        <f>IFERROR(__xludf.DUMMYFUNCTION("""COMPUTED_VALUE"""),"Akondi Sai Bhaskara Praneeth")</f>
        <v>Akondi Sai Bhaskara Praneeth</v>
      </c>
      <c r="B98" s="1" t="str">
        <f>IFERROR(__xludf.DUMMYFUNCTION("""COMPUTED_VALUE"""),"M.Tech")</f>
        <v>M.Tech</v>
      </c>
      <c r="C98" s="1">
        <f>IFERROR(__xludf.DUMMYFUNCTION("""COMPUTED_VALUE"""),2020.0)</f>
        <v>2020</v>
      </c>
      <c r="D98" s="1" t="str">
        <f>IFERROR(__xludf.DUMMYFUNCTION("""COMPUTED_VALUE"""),"Industry Implementable Part Launch Sequence Optimization Solution")</f>
        <v>Industry Implementable Part Launch Sequence Optimization Solution</v>
      </c>
      <c r="E98" s="1"/>
    </row>
    <row r="99" ht="15.75" customHeight="1">
      <c r="A99" s="1" t="str">
        <f>IFERROR(__xludf.DUMMYFUNCTION("""COMPUTED_VALUE"""),"Aman")</f>
        <v>Aman</v>
      </c>
      <c r="B99" s="1" t="str">
        <f>IFERROR(__xludf.DUMMYFUNCTION("""COMPUTED_VALUE"""),"M.Tech")</f>
        <v>M.Tech</v>
      </c>
      <c r="C99" s="1">
        <f>IFERROR(__xludf.DUMMYFUNCTION("""COMPUTED_VALUE"""),2020.0)</f>
        <v>2020</v>
      </c>
      <c r="D99" s="1" t="str">
        <f>IFERROR(__xludf.DUMMYFUNCTION("""COMPUTED_VALUE"""),"Data Analysis of Electric Vehicle for Optimum Battery Charging Strategy")</f>
        <v>Data Analysis of Electric Vehicle for Optimum Battery Charging Strategy</v>
      </c>
      <c r="E99" s="1" t="str">
        <f>IFERROR(__xludf.DUMMYFUNCTION("""COMPUTED_VALUE"""),"Aditya imaging")</f>
        <v>Aditya imaging</v>
      </c>
    </row>
    <row r="100" ht="15.75" customHeight="1">
      <c r="A100" s="1" t="str">
        <f>IFERROR(__xludf.DUMMYFUNCTION("""COMPUTED_VALUE"""),"Ankush Kumar Singh")</f>
        <v>Ankush Kumar Singh</v>
      </c>
      <c r="B100" s="1" t="str">
        <f>IFERROR(__xludf.DUMMYFUNCTION("""COMPUTED_VALUE"""),"M.Tech")</f>
        <v>M.Tech</v>
      </c>
      <c r="C100" s="1">
        <f>IFERROR(__xludf.DUMMYFUNCTION("""COMPUTED_VALUE"""),2020.0)</f>
        <v>2020</v>
      </c>
      <c r="D100" s="1" t="str">
        <f>IFERROR(__xludf.DUMMYFUNCTION("""COMPUTED_VALUE"""),"Predictive Analysis of Movie Revenue Using Data""")</f>
        <v>Predictive Analysis of Movie Revenue Using Data"</v>
      </c>
      <c r="E100" s="1" t="str">
        <f>IFERROR(__xludf.DUMMYFUNCTION("""COMPUTED_VALUE"""),"SOLV")</f>
        <v>SOLV</v>
      </c>
    </row>
    <row r="101" ht="15.75" customHeight="1">
      <c r="A101" s="1" t="str">
        <f>IFERROR(__xludf.DUMMYFUNCTION("""COMPUTED_VALUE"""),"Kapsikar Suyog Pramod")</f>
        <v>Kapsikar Suyog Pramod</v>
      </c>
      <c r="B101" s="1" t="str">
        <f>IFERROR(__xludf.DUMMYFUNCTION("""COMPUTED_VALUE"""),"M.Tech")</f>
        <v>M.Tech</v>
      </c>
      <c r="C101" s="1">
        <f>IFERROR(__xludf.DUMMYFUNCTION("""COMPUTED_VALUE"""),2020.0)</f>
        <v>2020</v>
      </c>
      <c r="D101" s="1" t="str">
        <f>IFERROR(__xludf.DUMMYFUNCTION("""COMPUTED_VALUE"""),"Modelling and Analysis of Fake News Propagation on Online Social Networks")</f>
        <v>Modelling and Analysis of Fake News Propagation on Online Social Networks</v>
      </c>
      <c r="E101" s="1" t="str">
        <f>IFERROR(__xludf.DUMMYFUNCTION("""COMPUTED_VALUE"""),"HSBC")</f>
        <v>HSBC</v>
      </c>
    </row>
    <row r="102" ht="15.75" customHeight="1">
      <c r="A102" s="1" t="str">
        <f>IFERROR(__xludf.DUMMYFUNCTION("""COMPUTED_VALUE"""),"KRISHNA GUPTA")</f>
        <v>KRISHNA GUPTA</v>
      </c>
      <c r="B102" s="1" t="str">
        <f>IFERROR(__xludf.DUMMYFUNCTION("""COMPUTED_VALUE"""),"M.Tech")</f>
        <v>M.Tech</v>
      </c>
      <c r="C102" s="1">
        <f>IFERROR(__xludf.DUMMYFUNCTION("""COMPUTED_VALUE"""),2020.0)</f>
        <v>2020</v>
      </c>
      <c r="D102" s="1" t="str">
        <f>IFERROR(__xludf.DUMMYFUNCTION("""COMPUTED_VALUE"""),"DATA BASED APPROACHES TO OPTIMAL ORDER QUANTITY OF PERISHABLE PRODUCTS")</f>
        <v>DATA BASED APPROACHES TO OPTIMAL ORDER QUANTITY OF PERISHABLE PRODUCTS</v>
      </c>
      <c r="E102" s="1" t="str">
        <f>IFERROR(__xludf.DUMMYFUNCTION("""COMPUTED_VALUE"""),"General Mills")</f>
        <v>General Mills</v>
      </c>
    </row>
    <row r="103" ht="15.75" customHeight="1">
      <c r="A103" s="1" t="str">
        <f>IFERROR(__xludf.DUMMYFUNCTION("""COMPUTED_VALUE"""),"Mohammad Mufassir Khan")</f>
        <v>Mohammad Mufassir Khan</v>
      </c>
      <c r="B103" s="1" t="str">
        <f>IFERROR(__xludf.DUMMYFUNCTION("""COMPUTED_VALUE"""),"M.Tech")</f>
        <v>M.Tech</v>
      </c>
      <c r="C103" s="1">
        <f>IFERROR(__xludf.DUMMYFUNCTION("""COMPUTED_VALUE"""),2020.0)</f>
        <v>2020</v>
      </c>
      <c r="D103" s="1" t="str">
        <f>IFERROR(__xludf.DUMMYFUNCTION("""COMPUTED_VALUE"""),"Predictive Analytics in Healthcare Data")</f>
        <v>Predictive Analytics in Healthcare Data</v>
      </c>
      <c r="E103" s="1" t="str">
        <f>IFERROR(__xludf.DUMMYFUNCTION("""COMPUTED_VALUE"""),"micron")</f>
        <v>micron</v>
      </c>
    </row>
    <row r="104" ht="15.75" customHeight="1">
      <c r="A104" s="1" t="str">
        <f>IFERROR(__xludf.DUMMYFUNCTION("""COMPUTED_VALUE"""),"Padigapati Mallikarjuna Reddy")</f>
        <v>Padigapati Mallikarjuna Reddy</v>
      </c>
      <c r="B104" s="1" t="str">
        <f>IFERROR(__xludf.DUMMYFUNCTION("""COMPUTED_VALUE"""),"M.Tech")</f>
        <v>M.Tech</v>
      </c>
      <c r="C104" s="1">
        <f>IFERROR(__xludf.DUMMYFUNCTION("""COMPUTED_VALUE"""),2020.0)</f>
        <v>2020</v>
      </c>
      <c r="D104" s="1" t="str">
        <f>IFERROR(__xludf.DUMMYFUNCTION("""COMPUTED_VALUE"""),"Demand Forecasting in tractor manufacturing industry")</f>
        <v>Demand Forecasting in tractor manufacturing industry</v>
      </c>
      <c r="E104" s="1"/>
    </row>
    <row r="105" ht="15.75" customHeight="1">
      <c r="A105" s="1" t="str">
        <f>IFERROR(__xludf.DUMMYFUNCTION("""COMPUTED_VALUE"""),"Pankaj Kumar Sahu")</f>
        <v>Pankaj Kumar Sahu</v>
      </c>
      <c r="B105" s="1" t="str">
        <f>IFERROR(__xludf.DUMMYFUNCTION("""COMPUTED_VALUE"""),"M.Tech")</f>
        <v>M.Tech</v>
      </c>
      <c r="C105" s="1">
        <f>IFERROR(__xludf.DUMMYFUNCTION("""COMPUTED_VALUE"""),2020.0)</f>
        <v>2020</v>
      </c>
      <c r="D105" s="1" t="str">
        <f>IFERROR(__xludf.DUMMYFUNCTION("""COMPUTED_VALUE"""),"Data-Driven Approaches to Inventory Control")</f>
        <v>Data-Driven Approaches to Inventory Control</v>
      </c>
      <c r="E105" s="1" t="str">
        <f>IFERROR(__xludf.DUMMYFUNCTION("""COMPUTED_VALUE"""),"TCS R&amp;D")</f>
        <v>TCS R&amp;D</v>
      </c>
    </row>
    <row r="106" ht="15.75" customHeight="1">
      <c r="A106" s="1" t="str">
        <f>IFERROR(__xludf.DUMMYFUNCTION("""COMPUTED_VALUE"""),"Pawar Darshan Devidas")</f>
        <v>Pawar Darshan Devidas</v>
      </c>
      <c r="B106" s="1" t="str">
        <f>IFERROR(__xludf.DUMMYFUNCTION("""COMPUTED_VALUE"""),"M.Tech")</f>
        <v>M.Tech</v>
      </c>
      <c r="C106" s="1">
        <f>IFERROR(__xludf.DUMMYFUNCTION("""COMPUTED_VALUE"""),2020.0)</f>
        <v>2020</v>
      </c>
      <c r="D106" s="1" t="str">
        <f>IFERROR(__xludf.DUMMYFUNCTION("""COMPUTED_VALUE"""),"Optimization Study in Bus Routing System")</f>
        <v>Optimization Study in Bus Routing System</v>
      </c>
      <c r="E106" s="1"/>
    </row>
    <row r="107" ht="15.75" customHeight="1">
      <c r="A107" s="1" t="str">
        <f>IFERROR(__xludf.DUMMYFUNCTION("""COMPUTED_VALUE"""),"Prateek Goyal")</f>
        <v>Prateek Goyal</v>
      </c>
      <c r="B107" s="1" t="str">
        <f>IFERROR(__xludf.DUMMYFUNCTION("""COMPUTED_VALUE"""),"M.Tech")</f>
        <v>M.Tech</v>
      </c>
      <c r="C107" s="1">
        <f>IFERROR(__xludf.DUMMYFUNCTION("""COMPUTED_VALUE"""),2020.0)</f>
        <v>2020</v>
      </c>
      <c r="D107" s="1" t="str">
        <f>IFERROR(__xludf.DUMMYFUNCTION("""COMPUTED_VALUE"""),"Speech Enhancement of Noisy Videos using Deep Learning")</f>
        <v>Speech Enhancement of Noisy Videos using Deep Learning</v>
      </c>
      <c r="E107" s="1" t="str">
        <f>IFERROR(__xludf.DUMMYFUNCTION("""COMPUTED_VALUE"""),"Archeron")</f>
        <v>Archeron</v>
      </c>
    </row>
    <row r="108" ht="15.75" customHeight="1">
      <c r="A108" s="1" t="str">
        <f>IFERROR(__xludf.DUMMYFUNCTION("""COMPUTED_VALUE"""),"Ratnesh Srivastav")</f>
        <v>Ratnesh Srivastav</v>
      </c>
      <c r="B108" s="1" t="str">
        <f>IFERROR(__xludf.DUMMYFUNCTION("""COMPUTED_VALUE"""),"M.Tech")</f>
        <v>M.Tech</v>
      </c>
      <c r="C108" s="1">
        <f>IFERROR(__xludf.DUMMYFUNCTION("""COMPUTED_VALUE"""),2020.0)</f>
        <v>2020</v>
      </c>
      <c r="D108" s="1" t="str">
        <f>IFERROR(__xludf.DUMMYFUNCTION("""COMPUTED_VALUE"""),"Industrial Engineering application in Production unit")</f>
        <v>Industrial Engineering application in Production unit</v>
      </c>
      <c r="E108" s="1"/>
    </row>
    <row r="109" ht="15.75" customHeight="1">
      <c r="A109" s="1" t="str">
        <f>IFERROR(__xludf.DUMMYFUNCTION("""COMPUTED_VALUE"""),"Sandeep")</f>
        <v>Sandeep</v>
      </c>
      <c r="B109" s="1" t="str">
        <f>IFERROR(__xludf.DUMMYFUNCTION("""COMPUTED_VALUE"""),"M.Tech")</f>
        <v>M.Tech</v>
      </c>
      <c r="C109" s="1">
        <f>IFERROR(__xludf.DUMMYFUNCTION("""COMPUTED_VALUE"""),2020.0)</f>
        <v>2020</v>
      </c>
      <c r="D109" s="1" t="str">
        <f>IFERROR(__xludf.DUMMYFUNCTION("""COMPUTED_VALUE"""),"Scheduling Freight Trains on a Mixed-Traffic Network to Minimise 
EnergyConsumption")</f>
        <v>Scheduling Freight Trains on a Mixed-Traffic Network to Minimise 
EnergyConsumption</v>
      </c>
      <c r="E109" s="1" t="str">
        <f>IFERROR(__xludf.DUMMYFUNCTION("""COMPUTED_VALUE"""),"DHL Supply chain")</f>
        <v>DHL Supply chain</v>
      </c>
    </row>
    <row r="110" ht="15.75" customHeight="1">
      <c r="A110" s="1" t="str">
        <f>IFERROR(__xludf.DUMMYFUNCTION("""COMPUTED_VALUE"""),"Sharma Vijay Narayan")</f>
        <v>Sharma Vijay Narayan</v>
      </c>
      <c r="B110" s="1" t="str">
        <f>IFERROR(__xludf.DUMMYFUNCTION("""COMPUTED_VALUE"""),"M.Tech")</f>
        <v>M.Tech</v>
      </c>
      <c r="C110" s="1">
        <f>IFERROR(__xludf.DUMMYFUNCTION("""COMPUTED_VALUE"""),2020.0)</f>
        <v>2020</v>
      </c>
      <c r="D110" s="1" t="str">
        <f>IFERROR(__xludf.DUMMYFUNCTION("""COMPUTED_VALUE"""),"Prediction of Foreign Exchange Rate")</f>
        <v>Prediction of Foreign Exchange Rate</v>
      </c>
      <c r="E110" s="1" t="str">
        <f>IFERROR(__xludf.DUMMYFUNCTION("""COMPUTED_VALUE"""),"DHL Supply chain")</f>
        <v>DHL Supply chain</v>
      </c>
    </row>
    <row r="111" ht="15.75" customHeight="1">
      <c r="A111" s="1" t="str">
        <f>IFERROR(__xludf.DUMMYFUNCTION("""COMPUTED_VALUE"""),"Shobhit Bhatnagar")</f>
        <v>Shobhit Bhatnagar</v>
      </c>
      <c r="B111" s="1" t="str">
        <f>IFERROR(__xludf.DUMMYFUNCTION("""COMPUTED_VALUE"""),"M.Tech")</f>
        <v>M.Tech</v>
      </c>
      <c r="C111" s="1">
        <f>IFERROR(__xludf.DUMMYFUNCTION("""COMPUTED_VALUE"""),2020.0)</f>
        <v>2020</v>
      </c>
      <c r="D111" s="1" t="str">
        <f>IFERROR(__xludf.DUMMYFUNCTION("""COMPUTED_VALUE"""),"Single and Multi-Agent Reinforcement Learning in Changing Environments")</f>
        <v>Single and Multi-Agent Reinforcement Learning in Changing Environments</v>
      </c>
      <c r="E111" s="1" t="str">
        <f>IFERROR(__xludf.DUMMYFUNCTION("""COMPUTED_VALUE"""),"Exxon Mobil")</f>
        <v>Exxon Mobil</v>
      </c>
    </row>
    <row r="112" ht="15.75" customHeight="1">
      <c r="A112" s="1" t="str">
        <f>IFERROR(__xludf.DUMMYFUNCTION("""COMPUTED_VALUE"""),"Sohan Lal")</f>
        <v>Sohan Lal</v>
      </c>
      <c r="B112" s="1" t="str">
        <f>IFERROR(__xludf.DUMMYFUNCTION("""COMPUTED_VALUE"""),"M.Tech")</f>
        <v>M.Tech</v>
      </c>
      <c r="C112" s="1">
        <f>IFERROR(__xludf.DUMMYFUNCTION("""COMPUTED_VALUE"""),2020.0)</f>
        <v>2020</v>
      </c>
      <c r="D112" s="1" t="str">
        <f>IFERROR(__xludf.DUMMYFUNCTION("""COMPUTED_VALUE"""),"Comparison of Dimensionality Reduction Methods")</f>
        <v>Comparison of Dimensionality Reduction Methods</v>
      </c>
      <c r="E112" s="1" t="str">
        <f>IFERROR(__xludf.DUMMYFUNCTION("""COMPUTED_VALUE"""),"Sheorey Digital Systems")</f>
        <v>Sheorey Digital Systems</v>
      </c>
    </row>
    <row r="113" ht="15.75" customHeight="1">
      <c r="A113" s="1" t="str">
        <f>IFERROR(__xludf.DUMMYFUNCTION("""COMPUTED_VALUE"""),"Sumit Jain")</f>
        <v>Sumit Jain</v>
      </c>
      <c r="B113" s="1" t="str">
        <f>IFERROR(__xludf.DUMMYFUNCTION("""COMPUTED_VALUE"""),"M.Tech")</f>
        <v>M.Tech</v>
      </c>
      <c r="C113" s="1">
        <f>IFERROR(__xludf.DUMMYFUNCTION("""COMPUTED_VALUE"""),2020.0)</f>
        <v>2020</v>
      </c>
      <c r="D113" s="1" t="str">
        <f>IFERROR(__xludf.DUMMYFUNCTION("""COMPUTED_VALUE"""),"Model Compression in Adversarial Deep Learning")</f>
        <v>Model Compression in Adversarial Deep Learning</v>
      </c>
      <c r="E113" s="1" t="str">
        <f>IFERROR(__xludf.DUMMYFUNCTION("""COMPUTED_VALUE"""),"Honda R&amp;D Co., Ltd.")</f>
        <v>Honda R&amp;D Co., Ltd.</v>
      </c>
    </row>
    <row r="114" ht="15.75" customHeight="1">
      <c r="A114" s="1" t="str">
        <f>IFERROR(__xludf.DUMMYFUNCTION("""COMPUTED_VALUE"""),"Swarup Damodar Bhupendra Ghadi")</f>
        <v>Swarup Damodar Bhupendra Ghadi</v>
      </c>
      <c r="B114" s="1" t="str">
        <f>IFERROR(__xludf.DUMMYFUNCTION("""COMPUTED_VALUE"""),"M.Tech")</f>
        <v>M.Tech</v>
      </c>
      <c r="C114" s="1">
        <f>IFERROR(__xludf.DUMMYFUNCTION("""COMPUTED_VALUE"""),2020.0)</f>
        <v>2020</v>
      </c>
      <c r="D114" s="1" t="str">
        <f>IFERROR(__xludf.DUMMYFUNCTION("""COMPUTED_VALUE"""),"Comparison of Discrete Event system simulation: Open-source Salabim and 
Anylogic")</f>
        <v>Comparison of Discrete Event system simulation: Open-source Salabim and 
Anylogic</v>
      </c>
      <c r="E114" s="1" t="str">
        <f>IFERROR(__xludf.DUMMYFUNCTION("""COMPUTED_VALUE"""),"ubisoft")</f>
        <v>ubisoft</v>
      </c>
    </row>
    <row r="115" ht="15.75" customHeight="1">
      <c r="A115" s="1" t="str">
        <f>IFERROR(__xludf.DUMMYFUNCTION("""COMPUTED_VALUE"""),"Tarun Raj Anugula")</f>
        <v>Tarun Raj Anugula</v>
      </c>
      <c r="B115" s="1" t="str">
        <f>IFERROR(__xludf.DUMMYFUNCTION("""COMPUTED_VALUE"""),"M.Tech")</f>
        <v>M.Tech</v>
      </c>
      <c r="C115" s="1">
        <f>IFERROR(__xludf.DUMMYFUNCTION("""COMPUTED_VALUE"""),2020.0)</f>
        <v>2020</v>
      </c>
      <c r="D115" s="1" t="str">
        <f>IFERROR(__xludf.DUMMYFUNCTION("""COMPUTED_VALUE"""),"Demand Forecasting and Inventory Management of Automobile Spare Parts")</f>
        <v>Demand Forecasting and Inventory Management of Automobile Spare Parts</v>
      </c>
      <c r="E115" s="1" t="str">
        <f>IFERROR(__xludf.DUMMYFUNCTION("""COMPUTED_VALUE"""),"Exxon Mobil")</f>
        <v>Exxon Mobil</v>
      </c>
    </row>
    <row r="116" ht="15.75" customHeight="1">
      <c r="A116" s="1" t="str">
        <f>IFERROR(__xludf.DUMMYFUNCTION("""COMPUTED_VALUE"""),"Thakkar Khyati Deepak")</f>
        <v>Thakkar Khyati Deepak</v>
      </c>
      <c r="B116" s="1" t="str">
        <f>IFERROR(__xludf.DUMMYFUNCTION("""COMPUTED_VALUE"""),"M.Tech")</f>
        <v>M.Tech</v>
      </c>
      <c r="C116" s="1">
        <f>IFERROR(__xludf.DUMMYFUNCTION("""COMPUTED_VALUE"""),2020.0)</f>
        <v>2020</v>
      </c>
      <c r="D116" s="1" t="str">
        <f>IFERROR(__xludf.DUMMYFUNCTION("""COMPUTED_VALUE"""),"Condition Based Vehicle Health Monitoring")</f>
        <v>Condition Based Vehicle Health Monitoring</v>
      </c>
      <c r="E116" s="1"/>
    </row>
    <row r="117" ht="15.75" customHeight="1">
      <c r="A117" s="1" t="str">
        <f>IFERROR(__xludf.DUMMYFUNCTION("""COMPUTED_VALUE"""),"Vishnu Jatav")</f>
        <v>Vishnu Jatav</v>
      </c>
      <c r="B117" s="1" t="str">
        <f>IFERROR(__xludf.DUMMYFUNCTION("""COMPUTED_VALUE"""),"M.Tech")</f>
        <v>M.Tech</v>
      </c>
      <c r="C117" s="1">
        <f>IFERROR(__xludf.DUMMYFUNCTION("""COMPUTED_VALUE"""),2020.0)</f>
        <v>2020</v>
      </c>
      <c r="D117" s="1" t="str">
        <f>IFERROR(__xludf.DUMMYFUNCTION("""COMPUTED_VALUE"""),"Performance Analysis of After Sales Services in Supply Chain of PV Based 
Technology in Rural India (SoULS)")</f>
        <v>Performance Analysis of After Sales Services in Supply Chain of PV Based 
Technology in Rural India (SoULS)</v>
      </c>
      <c r="E117" s="1"/>
    </row>
    <row r="118" ht="15.75" customHeight="1">
      <c r="A118" s="1" t="str">
        <f>IFERROR(__xludf.DUMMYFUNCTION("""COMPUTED_VALUE"""),"Alok Kumar Srivastava")</f>
        <v>Alok Kumar Srivastava</v>
      </c>
      <c r="B118" s="1" t="str">
        <f>IFERROR(__xludf.DUMMYFUNCTION("""COMPUTED_VALUE"""),"PGDIIT")</f>
        <v>PGDIIT</v>
      </c>
      <c r="C118" s="1">
        <f>IFERROR(__xludf.DUMMYFUNCTION("""COMPUTED_VALUE"""),2020.0)</f>
        <v>2020</v>
      </c>
      <c r="D118" s="1"/>
      <c r="E118" s="1"/>
    </row>
    <row r="119" ht="15.75" customHeight="1">
      <c r="A119" s="1" t="str">
        <f>IFERROR(__xludf.DUMMYFUNCTION("""COMPUTED_VALUE"""),"Pratik Mukeshkumar Zaveri")</f>
        <v>Pratik Mukeshkumar Zaveri</v>
      </c>
      <c r="B119" s="1" t="str">
        <f>IFERROR(__xludf.DUMMYFUNCTION("""COMPUTED_VALUE"""),"PGDIIT")</f>
        <v>PGDIIT</v>
      </c>
      <c r="C119" s="1">
        <f>IFERROR(__xludf.DUMMYFUNCTION("""COMPUTED_VALUE"""),2020.0)</f>
        <v>2020</v>
      </c>
      <c r="D119" s="1"/>
      <c r="E119" s="1"/>
    </row>
    <row r="120" ht="15.75" customHeight="1">
      <c r="A120" s="1" t="str">
        <f>IFERROR(__xludf.DUMMYFUNCTION("""COMPUTED_VALUE"""),"Suraj Bharati")</f>
        <v>Suraj Bharati</v>
      </c>
      <c r="B120" s="1" t="str">
        <f>IFERROR(__xludf.DUMMYFUNCTION("""COMPUTED_VALUE"""),"PGDIIT")</f>
        <v>PGDIIT</v>
      </c>
      <c r="C120" s="1">
        <f>IFERROR(__xludf.DUMMYFUNCTION("""COMPUTED_VALUE"""),2020.0)</f>
        <v>2020</v>
      </c>
      <c r="D120" s="1"/>
      <c r="E120" s="1"/>
    </row>
    <row r="121" ht="15.75" customHeight="1">
      <c r="A121" s="1" t="str">
        <f>IFERROR(__xludf.DUMMYFUNCTION("""COMPUTED_VALUE"""),"KIRAN CHAUDHARY")</f>
        <v>KIRAN CHAUDHARY</v>
      </c>
      <c r="B121" s="1" t="str">
        <f>IFERROR(__xludf.DUMMYFUNCTION("""COMPUTED_VALUE"""),"Ph.D")</f>
        <v>Ph.D</v>
      </c>
      <c r="C121" s="1">
        <f>IFERROR(__xludf.DUMMYFUNCTION("""COMPUTED_VALUE"""),2020.0)</f>
        <v>2020</v>
      </c>
      <c r="D121" s="1" t="str">
        <f>IFERROR(__xludf.DUMMYFUNCTION("""COMPUTED_VALUE"""),"Dynamic Scheduling in Partially fluid, Partially lossy Queuing Systems")</f>
        <v>Dynamic Scheduling in Partially fluid, Partially lossy Queuing Systems</v>
      </c>
      <c r="E121" s="1"/>
    </row>
    <row r="122" ht="15.75" customHeight="1">
      <c r="A122" s="1" t="str">
        <f>IFERROR(__xludf.DUMMYFUNCTION("""COMPUTED_VALUE"""),"Sasanka Sekhar Maiti")</f>
        <v>Sasanka Sekhar Maiti</v>
      </c>
      <c r="B122" s="1" t="str">
        <f>IFERROR(__xludf.DUMMYFUNCTION("""COMPUTED_VALUE"""),"Ph.D")</f>
        <v>Ph.D</v>
      </c>
      <c r="C122" s="1">
        <f>IFERROR(__xludf.DUMMYFUNCTION("""COMPUTED_VALUE"""),2020.0)</f>
        <v>2020</v>
      </c>
      <c r="D122" s="1" t="str">
        <f>IFERROR(__xludf.DUMMYFUNCTION("""COMPUTED_VALUE"""),"Payment and Settlement Systems - Operations, Empirical Analysis, Policy 
Assessment and Recommendations")</f>
        <v>Payment and Settlement Systems - Operations, Empirical Analysis, Policy 
Assessment and Recommendations</v>
      </c>
      <c r="E122" s="1"/>
    </row>
    <row r="123" ht="15.75" customHeight="1">
      <c r="A123" s="1" t="str">
        <f>IFERROR(__xludf.DUMMYFUNCTION("""COMPUTED_VALUE"""),"Aakash Banik")</f>
        <v>Aakash Banik</v>
      </c>
      <c r="B123" s="2" t="str">
        <f>IFERROR(__xludf.DUMMYFUNCTION("""COMPUTED_VALUE"""),"M.Sc")</f>
        <v>M.Sc</v>
      </c>
      <c r="C123" s="1">
        <f>IFERROR(__xludf.DUMMYFUNCTION("""COMPUTED_VALUE"""),2019.0)</f>
        <v>2019</v>
      </c>
      <c r="D123" s="1"/>
      <c r="E123" s="1" t="str">
        <f>IFERROR(__xludf.DUMMYFUNCTION("""COMPUTED_VALUE"""),"Exxon Mobil")</f>
        <v>Exxon Mobil</v>
      </c>
    </row>
    <row r="124" ht="15.75" customHeight="1">
      <c r="A124" s="1" t="str">
        <f>IFERROR(__xludf.DUMMYFUNCTION("""COMPUTED_VALUE"""),"Alisha Arora")</f>
        <v>Alisha Arora</v>
      </c>
      <c r="B124" s="2" t="str">
        <f>IFERROR(__xludf.DUMMYFUNCTION("""COMPUTED_VALUE"""),"M.Sc")</f>
        <v>M.Sc</v>
      </c>
      <c r="C124" s="1">
        <f>IFERROR(__xludf.DUMMYFUNCTION("""COMPUTED_VALUE"""),2019.0)</f>
        <v>2019</v>
      </c>
      <c r="D124" s="1"/>
      <c r="E124" s="1" t="str">
        <f>IFERROR(__xludf.DUMMYFUNCTION("""COMPUTED_VALUE"""),"DHL Supply Chain India Pvt. Ltd.")</f>
        <v>DHL Supply Chain India Pvt. Ltd.</v>
      </c>
    </row>
    <row r="125" ht="15.75" customHeight="1">
      <c r="A125" s="1" t="str">
        <f>IFERROR(__xludf.DUMMYFUNCTION("""COMPUTED_VALUE"""),"Niranjan Kumar Singh")</f>
        <v>Niranjan Kumar Singh</v>
      </c>
      <c r="B125" s="2" t="str">
        <f>IFERROR(__xludf.DUMMYFUNCTION("""COMPUTED_VALUE"""),"M.Sc")</f>
        <v>M.Sc</v>
      </c>
      <c r="C125" s="1">
        <f>IFERROR(__xludf.DUMMYFUNCTION("""COMPUTED_VALUE"""),2019.0)</f>
        <v>2019</v>
      </c>
      <c r="D125" s="1"/>
      <c r="E125" s="1"/>
    </row>
    <row r="126" ht="15.75" customHeight="1">
      <c r="A126" s="1" t="str">
        <f>IFERROR(__xludf.DUMMYFUNCTION("""COMPUTED_VALUE"""),"Richa Dhingra")</f>
        <v>Richa Dhingra</v>
      </c>
      <c r="B126" s="2" t="str">
        <f>IFERROR(__xludf.DUMMYFUNCTION("""COMPUTED_VALUE"""),"M.Sc")</f>
        <v>M.Sc</v>
      </c>
      <c r="C126" s="1">
        <f>IFERROR(__xludf.DUMMYFUNCTION("""COMPUTED_VALUE"""),2019.0)</f>
        <v>2019</v>
      </c>
      <c r="D126" s="1"/>
      <c r="E126" s="1" t="str">
        <f>IFERROR(__xludf.DUMMYFUNCTION("""COMPUTED_VALUE"""),"McKinsey Knowledge Centre")</f>
        <v>McKinsey Knowledge Centre</v>
      </c>
    </row>
    <row r="127" ht="15.75" customHeight="1">
      <c r="A127" s="1" t="str">
        <f>IFERROR(__xludf.DUMMYFUNCTION("""COMPUTED_VALUE"""),"Saumya Suri")</f>
        <v>Saumya Suri</v>
      </c>
      <c r="B127" s="2" t="str">
        <f>IFERROR(__xludf.DUMMYFUNCTION("""COMPUTED_VALUE"""),"M.Sc")</f>
        <v>M.Sc</v>
      </c>
      <c r="C127" s="1">
        <f>IFERROR(__xludf.DUMMYFUNCTION("""COMPUTED_VALUE"""),2019.0)</f>
        <v>2019</v>
      </c>
      <c r="D127" s="1"/>
      <c r="E127" s="1" t="str">
        <f>IFERROR(__xludf.DUMMYFUNCTION("""COMPUTED_VALUE"""),"Citibank")</f>
        <v>Citibank</v>
      </c>
    </row>
    <row r="128" ht="15.75" customHeight="1">
      <c r="A128" s="1" t="str">
        <f>IFERROR(__xludf.DUMMYFUNCTION("""COMPUTED_VALUE"""),"Shivangi Saklani")</f>
        <v>Shivangi Saklani</v>
      </c>
      <c r="B128" s="2" t="str">
        <f>IFERROR(__xludf.DUMMYFUNCTION("""COMPUTED_VALUE"""),"M.Sc")</f>
        <v>M.Sc</v>
      </c>
      <c r="C128" s="1">
        <f>IFERROR(__xludf.DUMMYFUNCTION("""COMPUTED_VALUE"""),2019.0)</f>
        <v>2019</v>
      </c>
      <c r="D128" s="1"/>
      <c r="E128" s="1" t="str">
        <f>IFERROR(__xludf.DUMMYFUNCTION("""COMPUTED_VALUE"""),"Procter &amp; Gamble")</f>
        <v>Procter &amp; Gamble</v>
      </c>
    </row>
    <row r="129" ht="15.75" customHeight="1">
      <c r="A129" s="1" t="str">
        <f>IFERROR(__xludf.DUMMYFUNCTION("""COMPUTED_VALUE"""),"Vishal Dawar")</f>
        <v>Vishal Dawar</v>
      </c>
      <c r="B129" s="2" t="str">
        <f>IFERROR(__xludf.DUMMYFUNCTION("""COMPUTED_VALUE"""),"M.Sc")</f>
        <v>M.Sc</v>
      </c>
      <c r="C129" s="1">
        <f>IFERROR(__xludf.DUMMYFUNCTION("""COMPUTED_VALUE"""),2019.0)</f>
        <v>2019</v>
      </c>
      <c r="D129" s="1"/>
      <c r="E129" s="1" t="str">
        <f>IFERROR(__xludf.DUMMYFUNCTION("""COMPUTED_VALUE"""),"TransUnion CIBIL Limited")</f>
        <v>TransUnion CIBIL Limited</v>
      </c>
    </row>
    <row r="130" ht="15.75" customHeight="1">
      <c r="A130" s="1" t="str">
        <f>IFERROR(__xludf.DUMMYFUNCTION("""COMPUTED_VALUE"""),"Hamidur Rahman")</f>
        <v>Hamidur Rahman</v>
      </c>
      <c r="B130" s="1" t="str">
        <f>IFERROR(__xludf.DUMMYFUNCTION("""COMPUTED_VALUE"""),"M.Sc-Ph.D")</f>
        <v>M.Sc-Ph.D</v>
      </c>
      <c r="C130" s="1">
        <f>IFERROR(__xludf.DUMMYFUNCTION("""COMPUTED_VALUE"""),2019.0)</f>
        <v>2019</v>
      </c>
      <c r="D130" s="1" t="str">
        <f>IFERROR(__xludf.DUMMYFUNCTION("""COMPUTED_VALUE"""),"Algorithms and Relaxations for Optimization over Bilinear Covering Sets")</f>
        <v>Algorithms and Relaxations for Optimization over Bilinear Covering Sets</v>
      </c>
      <c r="E130" s="1"/>
    </row>
    <row r="131" ht="15.75" customHeight="1">
      <c r="A131" s="1" t="str">
        <f>IFERROR(__xludf.DUMMYFUNCTION("""COMPUTED_VALUE"""),"Siddhartha Paul")</f>
        <v>Siddhartha Paul</v>
      </c>
      <c r="B131" s="1" t="str">
        <f>IFERROR(__xludf.DUMMYFUNCTION("""COMPUTED_VALUE"""),"M.Sc-Ph.D")</f>
        <v>M.Sc-Ph.D</v>
      </c>
      <c r="C131" s="1">
        <f>IFERROR(__xludf.DUMMYFUNCTION("""COMPUTED_VALUE"""),2019.0)</f>
        <v>2019</v>
      </c>
      <c r="D131" s="1" t="str">
        <f>IFERROR(__xludf.DUMMYFUNCTION("""COMPUTED_VALUE"""),"Medicine Supply chain management in response to an infectious disease 
outbreak")</f>
        <v>Medicine Supply chain management in response to an infectious disease 
outbreak</v>
      </c>
      <c r="E131" s="1"/>
    </row>
    <row r="132" ht="15.75" customHeight="1">
      <c r="A132" s="1" t="str">
        <f>IFERROR(__xludf.DUMMYFUNCTION("""COMPUTED_VALUE"""),"Abhishek Kumar Sinha")</f>
        <v>Abhishek Kumar Sinha</v>
      </c>
      <c r="B132" s="1" t="str">
        <f>IFERROR(__xludf.DUMMYFUNCTION("""COMPUTED_VALUE"""),"M.Tech")</f>
        <v>M.Tech</v>
      </c>
      <c r="C132" s="1">
        <f>IFERROR(__xludf.DUMMYFUNCTION("""COMPUTED_VALUE"""),2019.0)</f>
        <v>2019</v>
      </c>
      <c r="D132" s="1" t="str">
        <f>IFERROR(__xludf.DUMMYFUNCTION("""COMPUTED_VALUE"""),"Consensus Protocols in Blockchain")</f>
        <v>Consensus Protocols in Blockchain</v>
      </c>
      <c r="E132" s="1" t="str">
        <f>IFERROR(__xludf.DUMMYFUNCTION("""COMPUTED_VALUE"""),"ANZ Bank")</f>
        <v>ANZ Bank</v>
      </c>
    </row>
    <row r="133" ht="15.75" customHeight="1">
      <c r="A133" s="1" t="str">
        <f>IFERROR(__xludf.DUMMYFUNCTION("""COMPUTED_VALUE"""),"Amrutkar Gaurav Anil")</f>
        <v>Amrutkar Gaurav Anil</v>
      </c>
      <c r="B133" s="1" t="str">
        <f>IFERROR(__xludf.DUMMYFUNCTION("""COMPUTED_VALUE"""),"M.Tech")</f>
        <v>M.Tech</v>
      </c>
      <c r="C133" s="1">
        <f>IFERROR(__xludf.DUMMYFUNCTION("""COMPUTED_VALUE"""),2019.0)</f>
        <v>2019</v>
      </c>
      <c r="D133" s="1" t="str">
        <f>IFERROR(__xludf.DUMMYFUNCTION("""COMPUTED_VALUE"""),"Handling Categorical Features of High Cardinality in Tree/Rule Based 
Classification")</f>
        <v>Handling Categorical Features of High Cardinality in Tree/Rule Based 
Classification</v>
      </c>
      <c r="E133" s="1" t="str">
        <f>IFERROR(__xludf.DUMMYFUNCTION("""COMPUTED_VALUE"""),"HSBC Global Service Centre")</f>
        <v>HSBC Global Service Centre</v>
      </c>
    </row>
    <row r="134" ht="15.75" customHeight="1">
      <c r="A134" s="1" t="str">
        <f>IFERROR(__xludf.DUMMYFUNCTION("""COMPUTED_VALUE"""),"Ashutosh Kushwaha")</f>
        <v>Ashutosh Kushwaha</v>
      </c>
      <c r="B134" s="1" t="str">
        <f>IFERROR(__xludf.DUMMYFUNCTION("""COMPUTED_VALUE"""),"M.Tech")</f>
        <v>M.Tech</v>
      </c>
      <c r="C134" s="1">
        <f>IFERROR(__xludf.DUMMYFUNCTION("""COMPUTED_VALUE"""),2019.0)</f>
        <v>2019</v>
      </c>
      <c r="D134" s="1" t="str">
        <f>IFERROR(__xludf.DUMMYFUNCTION("""COMPUTED_VALUE"""),"Detection of Diabetic Retinopathy using Convolutional Neural Network")</f>
        <v>Detection of Diabetic Retinopathy using Convolutional Neural Network</v>
      </c>
      <c r="E134" s="1" t="str">
        <f>IFERROR(__xludf.DUMMYFUNCTION("""COMPUTED_VALUE"""),"Flytxt Mobile Solutions Pvt Ltd")</f>
        <v>Flytxt Mobile Solutions Pvt Ltd</v>
      </c>
    </row>
    <row r="135" ht="15.75" customHeight="1">
      <c r="A135" s="1" t="str">
        <f>IFERROR(__xludf.DUMMYFUNCTION("""COMPUTED_VALUE"""),"Hitesha Nemade")</f>
        <v>Hitesha Nemade</v>
      </c>
      <c r="B135" s="1" t="str">
        <f>IFERROR(__xludf.DUMMYFUNCTION("""COMPUTED_VALUE"""),"M.Tech")</f>
        <v>M.Tech</v>
      </c>
      <c r="C135" s="1">
        <f>IFERROR(__xludf.DUMMYFUNCTION("""COMPUTED_VALUE"""),2019.0)</f>
        <v>2019</v>
      </c>
      <c r="D135" s="1" t="str">
        <f>IFERROR(__xludf.DUMMYFUNCTION("""COMPUTED_VALUE"""),"Discrete Event Simulation for Modeling and Optimizing Paint Shop Operations")</f>
        <v>Discrete Event Simulation for Modeling and Optimizing Paint Shop Operations</v>
      </c>
      <c r="E135" s="1"/>
    </row>
    <row r="136" ht="15.75" customHeight="1">
      <c r="A136" s="1" t="str">
        <f>IFERROR(__xludf.DUMMYFUNCTION("""COMPUTED_VALUE"""),"Inderjeet Singh")</f>
        <v>Inderjeet Singh</v>
      </c>
      <c r="B136" s="1" t="str">
        <f>IFERROR(__xludf.DUMMYFUNCTION("""COMPUTED_VALUE"""),"M.Tech")</f>
        <v>M.Tech</v>
      </c>
      <c r="C136" s="1">
        <f>IFERROR(__xludf.DUMMYFUNCTION("""COMPUTED_VALUE"""),2019.0)</f>
        <v>2019</v>
      </c>
      <c r="D136" s="1" t="str">
        <f>IFERROR(__xludf.DUMMYFUNCTION("""COMPUTED_VALUE"""),"Anomaly Detection using Capsule Networks, Deep Learning and other Machine 
Learning Techniques (Class Imbalance Problem)")</f>
        <v>Anomaly Detection using Capsule Networks, Deep Learning and other Machine 
Learning Techniques (Class Imbalance Problem)</v>
      </c>
      <c r="E136" s="1" t="str">
        <f>IFERROR(__xludf.DUMMYFUNCTION("""COMPUTED_VALUE"""),"NEC Japan")</f>
        <v>NEC Japan</v>
      </c>
    </row>
    <row r="137" ht="15.75" customHeight="1">
      <c r="A137" s="1" t="str">
        <f>IFERROR(__xludf.DUMMYFUNCTION("""COMPUTED_VALUE"""),"Jaswant Singh")</f>
        <v>Jaswant Singh</v>
      </c>
      <c r="B137" s="1" t="str">
        <f>IFERROR(__xludf.DUMMYFUNCTION("""COMPUTED_VALUE"""),"M.Tech")</f>
        <v>M.Tech</v>
      </c>
      <c r="C137" s="1">
        <f>IFERROR(__xludf.DUMMYFUNCTION("""COMPUTED_VALUE"""),2019.0)</f>
        <v>2019</v>
      </c>
      <c r="D137" s="1" t="str">
        <f>IFERROR(__xludf.DUMMYFUNCTION("""COMPUTED_VALUE"""),"Diagnosis of Heart Diseases using Deep Neural Network")</f>
        <v>Diagnosis of Heart Diseases using Deep Neural Network</v>
      </c>
      <c r="E137" s="1" t="str">
        <f>IFERROR(__xludf.DUMMYFUNCTION("""COMPUTED_VALUE"""),"TCS R&amp;D")</f>
        <v>TCS R&amp;D</v>
      </c>
    </row>
    <row r="138" ht="15.75" customHeight="1">
      <c r="A138" s="1" t="str">
        <f>IFERROR(__xludf.DUMMYFUNCTION("""COMPUTED_VALUE"""),"Karan Patel")</f>
        <v>Karan Patel</v>
      </c>
      <c r="B138" s="1" t="str">
        <f>IFERROR(__xludf.DUMMYFUNCTION("""COMPUTED_VALUE"""),"M.Tech")</f>
        <v>M.Tech</v>
      </c>
      <c r="C138" s="1">
        <f>IFERROR(__xludf.DUMMYFUNCTION("""COMPUTED_VALUE"""),2019.0)</f>
        <v>2019</v>
      </c>
      <c r="D138" s="1" t="str">
        <f>IFERROR(__xludf.DUMMYFUNCTION("""COMPUTED_VALUE"""),"Pareto Frontier for Part Queuing, Part Lossy Heterogeneous Multi-server 
Queuing System")</f>
        <v>Pareto Frontier for Part Queuing, Part Lossy Heterogeneous Multi-server 
Queuing System</v>
      </c>
      <c r="E138" s="1" t="str">
        <f>IFERROR(__xludf.DUMMYFUNCTION("""COMPUTED_VALUE"""),"ICICI Lombard General Insurance Company Ltd.")</f>
        <v>ICICI Lombard General Insurance Company Ltd.</v>
      </c>
    </row>
    <row r="139" ht="15.75" customHeight="1">
      <c r="A139" s="1" t="str">
        <f>IFERROR(__xludf.DUMMYFUNCTION("""COMPUTED_VALUE"""),"Katre Sudhindra Jitendra")</f>
        <v>Katre Sudhindra Jitendra</v>
      </c>
      <c r="B139" s="1" t="str">
        <f>IFERROR(__xludf.DUMMYFUNCTION("""COMPUTED_VALUE"""),"M.Tech")</f>
        <v>M.Tech</v>
      </c>
      <c r="C139" s="1">
        <f>IFERROR(__xludf.DUMMYFUNCTION("""COMPUTED_VALUE"""),2019.0)</f>
        <v>2019</v>
      </c>
      <c r="D139" s="1" t="str">
        <f>IFERROR(__xludf.DUMMYFUNCTION("""COMPUTED_VALUE"""),"Performance Variability in Mixed-Integer Nonlinear Optimization")</f>
        <v>Performance Variability in Mixed-Integer Nonlinear Optimization</v>
      </c>
      <c r="E139" s="1" t="str">
        <f>IFERROR(__xludf.DUMMYFUNCTION("""COMPUTED_VALUE"""),"Boeing India")</f>
        <v>Boeing India</v>
      </c>
    </row>
    <row r="140" ht="15.75" customHeight="1">
      <c r="A140" s="1" t="str">
        <f>IFERROR(__xludf.DUMMYFUNCTION("""COMPUTED_VALUE"""),"Maheshwari Mayank Kamal Kishor")</f>
        <v>Maheshwari Mayank Kamal Kishor</v>
      </c>
      <c r="B140" s="1" t="str">
        <f>IFERROR(__xludf.DUMMYFUNCTION("""COMPUTED_VALUE"""),"M.Tech")</f>
        <v>M.Tech</v>
      </c>
      <c r="C140" s="1">
        <f>IFERROR(__xludf.DUMMYFUNCTION("""COMPUTED_VALUE"""),2019.0)</f>
        <v>2019</v>
      </c>
      <c r="D140" s="1" t="str">
        <f>IFERROR(__xludf.DUMMYFUNCTION("""COMPUTED_VALUE"""),"Acquisition with Partial-Asymmetric Information")</f>
        <v>Acquisition with Partial-Asymmetric Information</v>
      </c>
      <c r="E140" s="1" t="str">
        <f>IFERROR(__xludf.DUMMYFUNCTION("""COMPUTED_VALUE"""),"Axis Bank")</f>
        <v>Axis Bank</v>
      </c>
    </row>
    <row r="141" ht="15.75" customHeight="1">
      <c r="A141" s="1" t="str">
        <f>IFERROR(__xludf.DUMMYFUNCTION("""COMPUTED_VALUE"""),"Mulay Pravin Tatyaram")</f>
        <v>Mulay Pravin Tatyaram</v>
      </c>
      <c r="B141" s="1" t="str">
        <f>IFERROR(__xludf.DUMMYFUNCTION("""COMPUTED_VALUE"""),"M.Tech")</f>
        <v>M.Tech</v>
      </c>
      <c r="C141" s="1">
        <f>IFERROR(__xludf.DUMMYFUNCTION("""COMPUTED_VALUE"""),2019.0)</f>
        <v>2019</v>
      </c>
      <c r="D141" s="1" t="str">
        <f>IFERROR(__xludf.DUMMYFUNCTION("""COMPUTED_VALUE"""),"Efficient Plan for Supplying Solar Lamp Kit to Assembly and Distribution 
Centers")</f>
        <v>Efficient Plan for Supplying Solar Lamp Kit to Assembly and Distribution 
Centers</v>
      </c>
      <c r="E141" s="1" t="str">
        <f>IFERROR(__xludf.DUMMYFUNCTION("""COMPUTED_VALUE"""),"JDA Software Pvt Ltd.")</f>
        <v>JDA Software Pvt Ltd.</v>
      </c>
    </row>
    <row r="142" ht="15.75" customHeight="1">
      <c r="A142" s="1" t="str">
        <f>IFERROR(__xludf.DUMMYFUNCTION("""COMPUTED_VALUE"""),"Nishant Mani Tripathi")</f>
        <v>Nishant Mani Tripathi</v>
      </c>
      <c r="B142" s="1" t="str">
        <f>IFERROR(__xludf.DUMMYFUNCTION("""COMPUTED_VALUE"""),"M.Tech")</f>
        <v>M.Tech</v>
      </c>
      <c r="C142" s="1">
        <f>IFERROR(__xludf.DUMMYFUNCTION("""COMPUTED_VALUE"""),2019.0)</f>
        <v>2019</v>
      </c>
      <c r="D142" s="1" t="str">
        <f>IFERROR(__xludf.DUMMYFUNCTION("""COMPUTED_VALUE"""),"Predicting stock Behaviour Using News and Stock Market Data")</f>
        <v>Predicting stock Behaviour Using News and Stock Market Data</v>
      </c>
      <c r="E142" s="1" t="str">
        <f>IFERROR(__xludf.DUMMYFUNCTION("""COMPUTED_VALUE"""),"Capital First Ltd")</f>
        <v>Capital First Ltd</v>
      </c>
    </row>
    <row r="143" ht="15.75" customHeight="1">
      <c r="A143" s="1" t="str">
        <f>IFERROR(__xludf.DUMMYFUNCTION("""COMPUTED_VALUE"""),"Panot Jigar Bhaishankar")</f>
        <v>Panot Jigar Bhaishankar</v>
      </c>
      <c r="B143" s="1" t="str">
        <f>IFERROR(__xludf.DUMMYFUNCTION("""COMPUTED_VALUE"""),"M.Tech")</f>
        <v>M.Tech</v>
      </c>
      <c r="C143" s="1">
        <f>IFERROR(__xludf.DUMMYFUNCTION("""COMPUTED_VALUE"""),2019.0)</f>
        <v>2019</v>
      </c>
      <c r="D143" s="1" t="str">
        <f>IFERROR(__xludf.DUMMYFUNCTION("""COMPUTED_VALUE"""),"Operationalizing and Evaluation of a localized supply chain")</f>
        <v>Operationalizing and Evaluation of a localized supply chain</v>
      </c>
      <c r="E143" s="1" t="str">
        <f>IFERROR(__xludf.DUMMYFUNCTION("""COMPUTED_VALUE"""),"DHL Supply Chain India Pvt. Ltd.")</f>
        <v>DHL Supply Chain India Pvt. Ltd.</v>
      </c>
    </row>
    <row r="144" ht="15.75" customHeight="1">
      <c r="A144" s="1" t="str">
        <f>IFERROR(__xludf.DUMMYFUNCTION("""COMPUTED_VALUE"""),"Piyush Mittal")</f>
        <v>Piyush Mittal</v>
      </c>
      <c r="B144" s="1" t="str">
        <f>IFERROR(__xludf.DUMMYFUNCTION("""COMPUTED_VALUE"""),"M.Tech")</f>
        <v>M.Tech</v>
      </c>
      <c r="C144" s="1">
        <f>IFERROR(__xludf.DUMMYFUNCTION("""COMPUTED_VALUE"""),2019.0)</f>
        <v>2019</v>
      </c>
      <c r="D144" s="1" t="str">
        <f>IFERROR(__xludf.DUMMYFUNCTION("""COMPUTED_VALUE"""),"Data Analysis of Electric Vehicles")</f>
        <v>Data Analysis of Electric Vehicles</v>
      </c>
      <c r="E144" s="1" t="str">
        <f>IFERROR(__xludf.DUMMYFUNCTION("""COMPUTED_VALUE"""),"TCS R&amp;D")</f>
        <v>TCS R&amp;D</v>
      </c>
    </row>
    <row r="145" ht="15.75" customHeight="1">
      <c r="A145" s="1" t="str">
        <f>IFERROR(__xludf.DUMMYFUNCTION("""COMPUTED_VALUE"""),"Rajat Mishra")</f>
        <v>Rajat Mishra</v>
      </c>
      <c r="B145" s="1" t="str">
        <f>IFERROR(__xludf.DUMMYFUNCTION("""COMPUTED_VALUE"""),"M.Tech")</f>
        <v>M.Tech</v>
      </c>
      <c r="C145" s="1">
        <f>IFERROR(__xludf.DUMMYFUNCTION("""COMPUTED_VALUE"""),2019.0)</f>
        <v>2019</v>
      </c>
      <c r="D145" s="1" t="str">
        <f>IFERROR(__xludf.DUMMYFUNCTION("""COMPUTED_VALUE"""),"System Dynamics Modelling of Energy Access Initiative")</f>
        <v>System Dynamics Modelling of Energy Access Initiative</v>
      </c>
      <c r="E145" s="1" t="str">
        <f>IFERROR(__xludf.DUMMYFUNCTION("""COMPUTED_VALUE"""),"Sheorey Digital Systems Pvt. Ltd.")</f>
        <v>Sheorey Digital Systems Pvt. Ltd.</v>
      </c>
    </row>
    <row r="146" ht="15.75" customHeight="1">
      <c r="A146" s="1" t="str">
        <f>IFERROR(__xludf.DUMMYFUNCTION("""COMPUTED_VALUE"""),"Sameer Agrawal")</f>
        <v>Sameer Agrawal</v>
      </c>
      <c r="B146" s="1" t="str">
        <f>IFERROR(__xludf.DUMMYFUNCTION("""COMPUTED_VALUE"""),"M.Tech")</f>
        <v>M.Tech</v>
      </c>
      <c r="C146" s="1">
        <f>IFERROR(__xludf.DUMMYFUNCTION("""COMPUTED_VALUE"""),2019.0)</f>
        <v>2019</v>
      </c>
      <c r="D146" s="1" t="str">
        <f>IFERROR(__xludf.DUMMYFUNCTION("""COMPUTED_VALUE"""),"Forecasting In Hotel Industry")</f>
        <v>Forecasting In Hotel Industry</v>
      </c>
      <c r="E146" s="1" t="str">
        <f>IFERROR(__xludf.DUMMYFUNCTION("""COMPUTED_VALUE"""),"Hilabs")</f>
        <v>Hilabs</v>
      </c>
    </row>
    <row r="147" ht="15.75" customHeight="1">
      <c r="A147" s="1" t="str">
        <f>IFERROR(__xludf.DUMMYFUNCTION("""COMPUTED_VALUE"""),"Saurav Adhikari")</f>
        <v>Saurav Adhikari</v>
      </c>
      <c r="B147" s="1" t="str">
        <f>IFERROR(__xludf.DUMMYFUNCTION("""COMPUTED_VALUE"""),"M.Tech")</f>
        <v>M.Tech</v>
      </c>
      <c r="C147" s="1">
        <f>IFERROR(__xludf.DUMMYFUNCTION("""COMPUTED_VALUE"""),2019.0)</f>
        <v>2019</v>
      </c>
      <c r="D147" s="1" t="str">
        <f>IFERROR(__xludf.DUMMYFUNCTION("""COMPUTED_VALUE"""),"Dynamic Pricing Strategies in the Indian Domestic Airlines")</f>
        <v>Dynamic Pricing Strategies in the Indian Domestic Airlines</v>
      </c>
      <c r="E147" s="1" t="str">
        <f>IFERROR(__xludf.DUMMYFUNCTION("""COMPUTED_VALUE"""),"DHL Supply Chain India Pvt. Ltd.")</f>
        <v>DHL Supply Chain India Pvt. Ltd.</v>
      </c>
    </row>
    <row r="148" ht="15.75" customHeight="1">
      <c r="A148" s="1" t="str">
        <f>IFERROR(__xludf.DUMMYFUNCTION("""COMPUTED_VALUE"""),"Setu Hitesh Dave")</f>
        <v>Setu Hitesh Dave</v>
      </c>
      <c r="B148" s="1" t="str">
        <f>IFERROR(__xludf.DUMMYFUNCTION("""COMPUTED_VALUE"""),"M.Tech")</f>
        <v>M.Tech</v>
      </c>
      <c r="C148" s="1">
        <f>IFERROR(__xludf.DUMMYFUNCTION("""COMPUTED_VALUE"""),2019.0)</f>
        <v>2019</v>
      </c>
      <c r="D148" s="1" t="str">
        <f>IFERROR(__xludf.DUMMYFUNCTION("""COMPUTED_VALUE"""),"Recommendation system and Calibration of transducers")</f>
        <v>Recommendation system and Calibration of transducers</v>
      </c>
      <c r="E148" s="1" t="str">
        <f>IFERROR(__xludf.DUMMYFUNCTION("""COMPUTED_VALUE"""),"Curl Analytics")</f>
        <v>Curl Analytics</v>
      </c>
    </row>
    <row r="149" ht="15.75" customHeight="1">
      <c r="A149" s="1" t="str">
        <f>IFERROR(__xludf.DUMMYFUNCTION("""COMPUTED_VALUE"""),"Sourav Mondal")</f>
        <v>Sourav Mondal</v>
      </c>
      <c r="B149" s="1" t="str">
        <f>IFERROR(__xludf.DUMMYFUNCTION("""COMPUTED_VALUE"""),"M.Tech")</f>
        <v>M.Tech</v>
      </c>
      <c r="C149" s="1">
        <f>IFERROR(__xludf.DUMMYFUNCTION("""COMPUTED_VALUE"""),2019.0)</f>
        <v>2019</v>
      </c>
      <c r="D149" s="1" t="str">
        <f>IFERROR(__xludf.DUMMYFUNCTION("""COMPUTED_VALUE"""),"RUNTIME ESTIMATION FOR RAILWAY TIMETABLING")</f>
        <v>RUNTIME ESTIMATION FOR RAILWAY TIMETABLING</v>
      </c>
      <c r="E149" s="1" t="str">
        <f>IFERROR(__xludf.DUMMYFUNCTION("""COMPUTED_VALUE"""),"JDA Software Pvt Ltd.")</f>
        <v>JDA Software Pvt Ltd.</v>
      </c>
    </row>
    <row r="150" ht="15.75" customHeight="1">
      <c r="A150" s="1" t="str">
        <f>IFERROR(__xludf.DUMMYFUNCTION("""COMPUTED_VALUE"""),"Sufiyan Gulzar Adhikari")</f>
        <v>Sufiyan Gulzar Adhikari</v>
      </c>
      <c r="B150" s="1" t="str">
        <f>IFERROR(__xludf.DUMMYFUNCTION("""COMPUTED_VALUE"""),"M.Tech")</f>
        <v>M.Tech</v>
      </c>
      <c r="C150" s="1">
        <f>IFERROR(__xludf.DUMMYFUNCTION("""COMPUTED_VALUE"""),2019.0)</f>
        <v>2019</v>
      </c>
      <c r="D150" s="1" t="str">
        <f>IFERROR(__xludf.DUMMYFUNCTION("""COMPUTED_VALUE"""),"Driving Scene Recognition for Advanced Driver Assistance System in Heavy 
Vehicles")</f>
        <v>Driving Scene Recognition for Advanced Driver Assistance System in Heavy 
Vehicles</v>
      </c>
      <c r="E150" s="1" t="str">
        <f>IFERROR(__xludf.DUMMYFUNCTION("""COMPUTED_VALUE"""),"Curl Analytics")</f>
        <v>Curl Analytics</v>
      </c>
    </row>
    <row r="151" ht="15.75" customHeight="1">
      <c r="A151" s="1" t="str">
        <f>IFERROR(__xludf.DUMMYFUNCTION("""COMPUTED_VALUE"""),"Vhatkar Manjunath Shriniwas")</f>
        <v>Vhatkar Manjunath Shriniwas</v>
      </c>
      <c r="B151" s="1" t="str">
        <f>IFERROR(__xludf.DUMMYFUNCTION("""COMPUTED_VALUE"""),"M.Tech")</f>
        <v>M.Tech</v>
      </c>
      <c r="C151" s="1">
        <f>IFERROR(__xludf.DUMMYFUNCTION("""COMPUTED_VALUE"""),2019.0)</f>
        <v>2019</v>
      </c>
      <c r="D151" s="1" t="str">
        <f>IFERROR(__xludf.DUMMYFUNCTION("""COMPUTED_VALUE"""),"Data Analysis for Dialysis Patients")</f>
        <v>Data Analysis for Dialysis Patients</v>
      </c>
      <c r="E151" s="1" t="str">
        <f>IFERROR(__xludf.DUMMYFUNCTION("""COMPUTED_VALUE"""),"Redefine Global Pvt Ltd")</f>
        <v>Redefine Global Pvt Ltd</v>
      </c>
    </row>
    <row r="152" ht="15.75" customHeight="1">
      <c r="A152" s="1" t="str">
        <f>IFERROR(__xludf.DUMMYFUNCTION("""COMPUTED_VALUE"""),"Vibhor Gupta")</f>
        <v>Vibhor Gupta</v>
      </c>
      <c r="B152" s="1" t="str">
        <f>IFERROR(__xludf.DUMMYFUNCTION("""COMPUTED_VALUE"""),"M.Tech")</f>
        <v>M.Tech</v>
      </c>
      <c r="C152" s="1">
        <f>IFERROR(__xludf.DUMMYFUNCTION("""COMPUTED_VALUE"""),2019.0)</f>
        <v>2019</v>
      </c>
      <c r="D152" s="1" t="str">
        <f>IFERROR(__xludf.DUMMYFUNCTION("""COMPUTED_VALUE"""),"Performance Measures and systemic risk in a large financial network.")</f>
        <v>Performance Measures and systemic risk in a large financial network.</v>
      </c>
      <c r="E152" s="1" t="str">
        <f>IFERROR(__xludf.DUMMYFUNCTION("""COMPUTED_VALUE"""),"TCS R&amp;D")</f>
        <v>TCS R&amp;D</v>
      </c>
    </row>
    <row r="153" ht="15.75" customHeight="1">
      <c r="A153" s="1" t="str">
        <f>IFERROR(__xludf.DUMMYFUNCTION("""COMPUTED_VALUE"""),"VICKY RATHEE")</f>
        <v>VICKY RATHEE</v>
      </c>
      <c r="B153" s="1" t="str">
        <f>IFERROR(__xludf.DUMMYFUNCTION("""COMPUTED_VALUE"""),"M.Tech")</f>
        <v>M.Tech</v>
      </c>
      <c r="C153" s="1">
        <f>IFERROR(__xludf.DUMMYFUNCTION("""COMPUTED_VALUE"""),2019.0)</f>
        <v>2019</v>
      </c>
      <c r="D153" s="1" t="str">
        <f>IFERROR(__xludf.DUMMYFUNCTION("""COMPUTED_VALUE"""),"Recent Developments in Metaheuristics for Vehicle Routing Problem")</f>
        <v>Recent Developments in Metaheuristics for Vehicle Routing Problem</v>
      </c>
      <c r="E153" s="1"/>
    </row>
    <row r="154" ht="15.75" customHeight="1">
      <c r="A154" s="1" t="str">
        <f>IFERROR(__xludf.DUMMYFUNCTION("""COMPUTED_VALUE"""),"Vinay Chourasiya")</f>
        <v>Vinay Chourasiya</v>
      </c>
      <c r="B154" s="1" t="str">
        <f>IFERROR(__xludf.DUMMYFUNCTION("""COMPUTED_VALUE"""),"M.Tech")</f>
        <v>M.Tech</v>
      </c>
      <c r="C154" s="1">
        <f>IFERROR(__xludf.DUMMYFUNCTION("""COMPUTED_VALUE"""),2019.0)</f>
        <v>2019</v>
      </c>
      <c r="D154" s="1" t="str">
        <f>IFERROR(__xludf.DUMMYFUNCTION("""COMPUTED_VALUE"""),"Enhancing the Performance of a Convex Mixed-Integer Nonlinear Solver")</f>
        <v>Enhancing the Performance of a Convex Mixed-Integer Nonlinear Solver</v>
      </c>
      <c r="E154" s="1" t="str">
        <f>IFERROR(__xludf.DUMMYFUNCTION("""COMPUTED_VALUE"""),"Exxon Mobil")</f>
        <v>Exxon Mobil</v>
      </c>
    </row>
    <row r="155" ht="15.75" customHeight="1">
      <c r="A155" s="1" t="str">
        <f>IFERROR(__xludf.DUMMYFUNCTION("""COMPUTED_VALUE"""),"G.Chandra Mouli")</f>
        <v>G.Chandra Mouli</v>
      </c>
      <c r="B155" s="1" t="str">
        <f>IFERROR(__xludf.DUMMYFUNCTION("""COMPUTED_VALUE"""),"Ph.D")</f>
        <v>Ph.D</v>
      </c>
      <c r="C155" s="1">
        <f>IFERROR(__xludf.DUMMYFUNCTION("""COMPUTED_VALUE"""),2019.0)</f>
        <v>2019</v>
      </c>
      <c r="D155" s="1" t="str">
        <f>IFERROR(__xludf.DUMMYFUNCTION("""COMPUTED_VALUE"""),"Novel Computational Approaches for Blackbox Optimization")</f>
        <v>Novel Computational Approaches for Blackbox Optimization</v>
      </c>
      <c r="E155" s="1"/>
    </row>
    <row r="156" ht="15.75" customHeight="1">
      <c r="A156" s="1" t="str">
        <f>IFERROR(__xludf.DUMMYFUNCTION("""COMPUTED_VALUE"""),"Sathishkumar L.")</f>
        <v>Sathishkumar L.</v>
      </c>
      <c r="B156" s="1" t="str">
        <f>IFERROR(__xludf.DUMMYFUNCTION("""COMPUTED_VALUE"""),"Ph.D")</f>
        <v>Ph.D</v>
      </c>
      <c r="C156" s="1">
        <f>IFERROR(__xludf.DUMMYFUNCTION("""COMPUTED_VALUE"""),2019.0)</f>
        <v>2019</v>
      </c>
      <c r="D156" s="1" t="str">
        <f>IFERROR(__xludf.DUMMYFUNCTION("""COMPUTED_VALUE"""),"Simulation-based Optimization with Input Model Parameter Uncertainty")</f>
        <v>Simulation-based Optimization with Input Model Parameter Uncertainty</v>
      </c>
      <c r="E156" s="1"/>
    </row>
    <row r="157" ht="15.75" customHeight="1">
      <c r="A157" s="1" t="str">
        <f>IFERROR(__xludf.DUMMYFUNCTION("""COMPUTED_VALUE"""),"Bharatesh Nagar")</f>
        <v>Bharatesh Nagar</v>
      </c>
      <c r="B157" s="2" t="str">
        <f>IFERROR(__xludf.DUMMYFUNCTION("""COMPUTED_VALUE"""),"M.Sc")</f>
        <v>M.Sc</v>
      </c>
      <c r="C157" s="1">
        <f>IFERROR(__xludf.DUMMYFUNCTION("""COMPUTED_VALUE"""),2018.0)</f>
        <v>2018</v>
      </c>
      <c r="D157" s="1"/>
      <c r="E157" s="1" t="str">
        <f>IFERROR(__xludf.DUMMYFUNCTION("""COMPUTED_VALUE"""),"Sheorey Digital Systems")</f>
        <v>Sheorey Digital Systems</v>
      </c>
    </row>
    <row r="158" ht="15.75" customHeight="1">
      <c r="A158" s="1" t="str">
        <f>IFERROR(__xludf.DUMMYFUNCTION("""COMPUTED_VALUE"""),"Jaideep Singh")</f>
        <v>Jaideep Singh</v>
      </c>
      <c r="B158" s="1" t="str">
        <f>IFERROR(__xludf.DUMMYFUNCTION("""COMPUTED_VALUE"""),"PGDIIT")</f>
        <v>PGDIIT</v>
      </c>
      <c r="C158" s="1">
        <f>IFERROR(__xludf.DUMMYFUNCTION("""COMPUTED_VALUE"""),2019.0)</f>
        <v>2019</v>
      </c>
      <c r="D158" s="1"/>
      <c r="E158" s="1" t="str">
        <f>IFERROR(__xludf.DUMMYFUNCTION("""COMPUTED_VALUE"""),"BPCL")</f>
        <v>BPCL</v>
      </c>
    </row>
    <row r="159" ht="15.75" customHeight="1">
      <c r="A159" s="1" t="str">
        <f>IFERROR(__xludf.DUMMYFUNCTION("""COMPUTED_VALUE"""),"Gaurav Kataria")</f>
        <v>Gaurav Kataria</v>
      </c>
      <c r="B159" s="2" t="str">
        <f>IFERROR(__xludf.DUMMYFUNCTION("""COMPUTED_VALUE"""),"M.Sc")</f>
        <v>M.Sc</v>
      </c>
      <c r="C159" s="1">
        <f>IFERROR(__xludf.DUMMYFUNCTION("""COMPUTED_VALUE"""),2018.0)</f>
        <v>2018</v>
      </c>
      <c r="D159" s="1"/>
      <c r="E159" s="1" t="str">
        <f>IFERROR(__xludf.DUMMYFUNCTION("""COMPUTED_VALUE"""),"AVA Retail")</f>
        <v>AVA Retail</v>
      </c>
    </row>
    <row r="160" ht="15.75" customHeight="1">
      <c r="A160" s="1" t="str">
        <f>IFERROR(__xludf.DUMMYFUNCTION("""COMPUTED_VALUE"""),"Jayaram Meena")</f>
        <v>Jayaram Meena</v>
      </c>
      <c r="B160" s="2" t="str">
        <f>IFERROR(__xludf.DUMMYFUNCTION("""COMPUTED_VALUE"""),"M.Sc")</f>
        <v>M.Sc</v>
      </c>
      <c r="C160" s="1">
        <f>IFERROR(__xludf.DUMMYFUNCTION("""COMPUTED_VALUE"""),2018.0)</f>
        <v>2018</v>
      </c>
      <c r="D160" s="1"/>
      <c r="E160" s="1"/>
    </row>
    <row r="161" ht="15.75" customHeight="1">
      <c r="A161" s="1" t="str">
        <f>IFERROR(__xludf.DUMMYFUNCTION("""COMPUTED_VALUE"""),"Rahul Pratap Singh")</f>
        <v>Rahul Pratap Singh</v>
      </c>
      <c r="B161" s="2" t="str">
        <f>IFERROR(__xludf.DUMMYFUNCTION("""COMPUTED_VALUE"""),"M.Sc")</f>
        <v>M.Sc</v>
      </c>
      <c r="C161" s="1">
        <f>IFERROR(__xludf.DUMMYFUNCTION("""COMPUTED_VALUE"""),2018.0)</f>
        <v>2018</v>
      </c>
      <c r="D161" s="1"/>
      <c r="E161" s="1"/>
    </row>
    <row r="162" ht="15.75" customHeight="1">
      <c r="A162" s="1" t="str">
        <f>IFERROR(__xludf.DUMMYFUNCTION("""COMPUTED_VALUE"""),"Umakanta Pattanayak")</f>
        <v>Umakanta Pattanayak</v>
      </c>
      <c r="B162" s="1" t="str">
        <f>IFERROR(__xludf.DUMMYFUNCTION("""COMPUTED_VALUE"""),"M.Sc-Ph.D")</f>
        <v>M.Sc-Ph.D</v>
      </c>
      <c r="C162" s="1">
        <f>IFERROR(__xludf.DUMMYFUNCTION("""COMPUTED_VALUE"""),2018.0)</f>
        <v>2018</v>
      </c>
      <c r="D162" s="1"/>
      <c r="E162" s="1"/>
    </row>
    <row r="163" ht="15.75" customHeight="1">
      <c r="A163" s="1" t="str">
        <f>IFERROR(__xludf.DUMMYFUNCTION("""COMPUTED_VALUE"""),"AAYUSH AGGARWAL")</f>
        <v>AAYUSH AGGARWAL</v>
      </c>
      <c r="B163" s="1" t="str">
        <f>IFERROR(__xludf.DUMMYFUNCTION("""COMPUTED_VALUE"""),"M.Tech")</f>
        <v>M.Tech</v>
      </c>
      <c r="C163" s="1">
        <f>IFERROR(__xludf.DUMMYFUNCTION("""COMPUTED_VALUE"""),2018.0)</f>
        <v>2018</v>
      </c>
      <c r="D163" s="1" t="str">
        <f>IFERROR(__xludf.DUMMYFUNCTION("""COMPUTED_VALUE"""),"Robustness in Railway Timetables")</f>
        <v>Robustness in Railway Timetables</v>
      </c>
      <c r="E163" s="1" t="str">
        <f>IFERROR(__xludf.DUMMYFUNCTION("""COMPUTED_VALUE"""),"NEC Japan")</f>
        <v>NEC Japan</v>
      </c>
    </row>
    <row r="164" ht="15.75" customHeight="1">
      <c r="A164" s="1" t="str">
        <f>IFERROR(__xludf.DUMMYFUNCTION("""COMPUTED_VALUE"""),"Aman")</f>
        <v>Aman</v>
      </c>
      <c r="B164" s="1" t="str">
        <f>IFERROR(__xludf.DUMMYFUNCTION("""COMPUTED_VALUE"""),"M.Tech")</f>
        <v>M.Tech</v>
      </c>
      <c r="C164" s="1">
        <f>IFERROR(__xludf.DUMMYFUNCTION("""COMPUTED_VALUE"""),2018.0)</f>
        <v>2018</v>
      </c>
      <c r="D164" s="1" t="str">
        <f>IFERROR(__xludf.DUMMYFUNCTION("""COMPUTED_VALUE"""),"MILP Model with Decision Support System for Cutting Stock Problem in Solar 
Module Manufacturing")</f>
        <v>MILP Model with Decision Support System for Cutting Stock Problem in Solar 
Module Manufacturing</v>
      </c>
      <c r="E164" s="1" t="str">
        <f>IFERROR(__xludf.DUMMYFUNCTION("""COMPUTED_VALUE"""),"PricewaterhouseCoopers")</f>
        <v>PricewaterhouseCoopers</v>
      </c>
    </row>
    <row r="165" ht="15.75" customHeight="1">
      <c r="A165" s="1" t="str">
        <f>IFERROR(__xludf.DUMMYFUNCTION("""COMPUTED_VALUE"""),"ANSUMA BASUMATARY")</f>
        <v>ANSUMA BASUMATARY</v>
      </c>
      <c r="B165" s="1" t="str">
        <f>IFERROR(__xludf.DUMMYFUNCTION("""COMPUTED_VALUE"""),"M.Tech")</f>
        <v>M.Tech</v>
      </c>
      <c r="C165" s="1">
        <f>IFERROR(__xludf.DUMMYFUNCTION("""COMPUTED_VALUE"""),2018.0)</f>
        <v>2018</v>
      </c>
      <c r="D165" s="1" t="str">
        <f>IFERROR(__xludf.DUMMYFUNCTION("""COMPUTED_VALUE"""),"Pure Exploration Strategies in Online Machine Learning")</f>
        <v>Pure Exploration Strategies in Online Machine Learning</v>
      </c>
      <c r="E165" s="1" t="str">
        <f>IFERROR(__xludf.DUMMYFUNCTION("""COMPUTED_VALUE"""),"TCS R&amp;D")</f>
        <v>TCS R&amp;D</v>
      </c>
    </row>
    <row r="166" ht="15.75" customHeight="1">
      <c r="A166" s="1" t="str">
        <f>IFERROR(__xludf.DUMMYFUNCTION("""COMPUTED_VALUE"""),"ANUJ SAHU")</f>
        <v>ANUJ SAHU</v>
      </c>
      <c r="B166" s="1" t="str">
        <f>IFERROR(__xludf.DUMMYFUNCTION("""COMPUTED_VALUE"""),"M.Tech")</f>
        <v>M.Tech</v>
      </c>
      <c r="C166" s="1">
        <f>IFERROR(__xludf.DUMMYFUNCTION("""COMPUTED_VALUE"""),2018.0)</f>
        <v>2018</v>
      </c>
      <c r="D166" s="1" t="str">
        <f>IFERROR(__xludf.DUMMYFUNCTION("""COMPUTED_VALUE"""),"Maintenance and Capacity analysis of Railway Networks")</f>
        <v>Maintenance and Capacity analysis of Railway Networks</v>
      </c>
      <c r="E166" s="1" t="str">
        <f>IFERROR(__xludf.DUMMYFUNCTION("""COMPUTED_VALUE"""),"Sheorey Digital Systems")</f>
        <v>Sheorey Digital Systems</v>
      </c>
    </row>
    <row r="167" ht="15.75" customHeight="1">
      <c r="A167" s="1" t="str">
        <f>IFERROR(__xludf.DUMMYFUNCTION("""COMPUTED_VALUE"""),"ARUN RAMAMURTHY")</f>
        <v>ARUN RAMAMURTHY</v>
      </c>
      <c r="B167" s="1" t="str">
        <f>IFERROR(__xludf.DUMMYFUNCTION("""COMPUTED_VALUE"""),"M.Tech")</f>
        <v>M.Tech</v>
      </c>
      <c r="C167" s="1">
        <f>IFERROR(__xludf.DUMMYFUNCTION("""COMPUTED_VALUE"""),2018.0)</f>
        <v>2018</v>
      </c>
      <c r="D167" s="1" t="str">
        <f>IFERROR(__xludf.DUMMYFUNCTION("""COMPUTED_VALUE"""),"Lower Bound for Cutting Stock Problem and Pattern Minimization Problem")</f>
        <v>Lower Bound for Cutting Stock Problem and Pattern Minimization Problem</v>
      </c>
      <c r="E167" s="1" t="str">
        <f>IFERROR(__xludf.DUMMYFUNCTION("""COMPUTED_VALUE"""),"McKinsey Knowledge Center")</f>
        <v>McKinsey Knowledge Center</v>
      </c>
    </row>
    <row r="168" ht="15.75" customHeight="1">
      <c r="A168" s="1" t="str">
        <f>IFERROR(__xludf.DUMMYFUNCTION("""COMPUTED_VALUE"""),"Dalal Nagesh Ashok")</f>
        <v>Dalal Nagesh Ashok</v>
      </c>
      <c r="B168" s="1" t="str">
        <f>IFERROR(__xludf.DUMMYFUNCTION("""COMPUTED_VALUE"""),"M.Tech")</f>
        <v>M.Tech</v>
      </c>
      <c r="C168" s="1">
        <f>IFERROR(__xludf.DUMMYFUNCTION("""COMPUTED_VALUE"""),2018.0)</f>
        <v>2018</v>
      </c>
      <c r="D168" s="1" t="str">
        <f>IFERROR(__xludf.DUMMYFUNCTION("""COMPUTED_VALUE"""),"Some Cost Allocation Schemes using Cooperative game solution concepts")</f>
        <v>Some Cost Allocation Schemes using Cooperative game solution concepts</v>
      </c>
      <c r="E168" s="1"/>
    </row>
    <row r="169" ht="15.75" customHeight="1">
      <c r="A169" s="1" t="str">
        <f>IFERROR(__xludf.DUMMYFUNCTION("""COMPUTED_VALUE"""),"Harshit Gupta")</f>
        <v>Harshit Gupta</v>
      </c>
      <c r="B169" s="1" t="str">
        <f>IFERROR(__xludf.DUMMYFUNCTION("""COMPUTED_VALUE"""),"M.Tech")</f>
        <v>M.Tech</v>
      </c>
      <c r="C169" s="1">
        <f>IFERROR(__xludf.DUMMYFUNCTION("""COMPUTED_VALUE"""),2018.0)</f>
        <v>2018</v>
      </c>
      <c r="D169" s="1" t="str">
        <f>IFERROR(__xludf.DUMMYFUNCTION("""COMPUTED_VALUE"""),"Process Design and Improvements in a SME")</f>
        <v>Process Design and Improvements in a SME</v>
      </c>
      <c r="E169" s="1" t="str">
        <f>IFERROR(__xludf.DUMMYFUNCTION("""COMPUTED_VALUE"""),"General Mills")</f>
        <v>General Mills</v>
      </c>
    </row>
    <row r="170" ht="15.75" customHeight="1">
      <c r="A170" s="1" t="str">
        <f>IFERROR(__xludf.DUMMYFUNCTION("""COMPUTED_VALUE"""),"Hussain Abbasibhai Kharodawala")</f>
        <v>Hussain Abbasibhai Kharodawala</v>
      </c>
      <c r="B170" s="1" t="str">
        <f>IFERROR(__xludf.DUMMYFUNCTION("""COMPUTED_VALUE"""),"M.Tech")</f>
        <v>M.Tech</v>
      </c>
      <c r="C170" s="1">
        <f>IFERROR(__xludf.DUMMYFUNCTION("""COMPUTED_VALUE"""),2018.0)</f>
        <v>2018</v>
      </c>
      <c r="D170" s="1" t="str">
        <f>IFERROR(__xludf.DUMMYFUNCTION("""COMPUTED_VALUE"""),"Multi-modal Supply Chain Distribution Problem")</f>
        <v>Multi-modal Supply Chain Distribution Problem</v>
      </c>
      <c r="E170" s="1" t="str">
        <f>IFERROR(__xludf.DUMMYFUNCTION("""COMPUTED_VALUE"""),"DHL")</f>
        <v>DHL</v>
      </c>
    </row>
    <row r="171" ht="15.75" customHeight="1">
      <c r="A171" s="1" t="str">
        <f>IFERROR(__xludf.DUMMYFUNCTION("""COMPUTED_VALUE"""),"Jamodkar Suraj Suresh")</f>
        <v>Jamodkar Suraj Suresh</v>
      </c>
      <c r="B171" s="1" t="str">
        <f>IFERROR(__xludf.DUMMYFUNCTION("""COMPUTED_VALUE"""),"M.Tech")</f>
        <v>M.Tech</v>
      </c>
      <c r="C171" s="1">
        <f>IFERROR(__xludf.DUMMYFUNCTION("""COMPUTED_VALUE"""),2018.0)</f>
        <v>2018</v>
      </c>
      <c r="D171" s="1" t="str">
        <f>IFERROR(__xludf.DUMMYFUNCTION("""COMPUTED_VALUE"""),"Simulation of Assembly Operations at a Construction Equipment Manufacturer 
– An Investigative Study")</f>
        <v>Simulation of Assembly Operations at a Construction Equipment Manufacturer 
– An Investigative Study</v>
      </c>
      <c r="E171" s="1"/>
    </row>
    <row r="172" ht="15.75" customHeight="1">
      <c r="A172" s="1" t="str">
        <f>IFERROR(__xludf.DUMMYFUNCTION("""COMPUTED_VALUE"""),"Krishan Garg")</f>
        <v>Krishan Garg</v>
      </c>
      <c r="B172" s="1" t="str">
        <f>IFERROR(__xludf.DUMMYFUNCTION("""COMPUTED_VALUE"""),"M.Tech")</f>
        <v>M.Tech</v>
      </c>
      <c r="C172" s="1">
        <f>IFERROR(__xludf.DUMMYFUNCTION("""COMPUTED_VALUE"""),2018.0)</f>
        <v>2018</v>
      </c>
      <c r="D172" s="1" t="str">
        <f>IFERROR(__xludf.DUMMYFUNCTION("""COMPUTED_VALUE"""),"An investigative study on material ﬂow within the factory using discrete 
event simulation for construction equipment manufacturing factory")</f>
        <v>An investigative study on material ﬂow within the factory using discrete 
event simulation for construction equipment manufacturing factory</v>
      </c>
      <c r="E172" s="1"/>
    </row>
    <row r="173" ht="15.75" customHeight="1">
      <c r="A173" s="1" t="str">
        <f>IFERROR(__xludf.DUMMYFUNCTION("""COMPUTED_VALUE"""),"Kuldeep Pareek")</f>
        <v>Kuldeep Pareek</v>
      </c>
      <c r="B173" s="1" t="str">
        <f>IFERROR(__xludf.DUMMYFUNCTION("""COMPUTED_VALUE"""),"M.Tech")</f>
        <v>M.Tech</v>
      </c>
      <c r="C173" s="1">
        <f>IFERROR(__xludf.DUMMYFUNCTION("""COMPUTED_VALUE"""),2018.0)</f>
        <v>2018</v>
      </c>
      <c r="D173" s="1" t="str">
        <f>IFERROR(__xludf.DUMMYFUNCTION("""COMPUTED_VALUE"""),"Job Scheduling and Fairness")</f>
        <v>Job Scheduling and Fairness</v>
      </c>
      <c r="E173" s="1" t="str">
        <f>IFERROR(__xludf.DUMMYFUNCTION("""COMPUTED_VALUE"""),"JDA Software")</f>
        <v>JDA Software</v>
      </c>
    </row>
    <row r="174" ht="15.75" customHeight="1">
      <c r="A174" s="1" t="str">
        <f>IFERROR(__xludf.DUMMYFUNCTION("""COMPUTED_VALUE"""),"LT. CDR Sridharan Sivakumar")</f>
        <v>LT. CDR Sridharan Sivakumar</v>
      </c>
      <c r="B174" s="1" t="str">
        <f>IFERROR(__xludf.DUMMYFUNCTION("""COMPUTED_VALUE"""),"M.Tech")</f>
        <v>M.Tech</v>
      </c>
      <c r="C174" s="1">
        <f>IFERROR(__xludf.DUMMYFUNCTION("""COMPUTED_VALUE"""),2018.0)</f>
        <v>2018</v>
      </c>
      <c r="D174" s="1" t="str">
        <f>IFERROR(__xludf.DUMMYFUNCTION("""COMPUTED_VALUE"""),"Analyses of lead time of Repairable Inventory and select application of 
Failure Mode and Effect Analysis: A Case Study")</f>
        <v>Analyses of lead time of Repairable Inventory and select application of 
Failure Mode and Effect Analysis: A Case Study</v>
      </c>
      <c r="E174" s="1"/>
    </row>
    <row r="175" ht="15.75" customHeight="1">
      <c r="A175" s="1" t="str">
        <f>IFERROR(__xludf.DUMMYFUNCTION("""COMPUTED_VALUE"""),"Nithilaksh P L")</f>
        <v>Nithilaksh P L</v>
      </c>
      <c r="B175" s="1" t="str">
        <f>IFERROR(__xludf.DUMMYFUNCTION("""COMPUTED_VALUE"""),"M.Tech")</f>
        <v>M.Tech</v>
      </c>
      <c r="C175" s="1">
        <f>IFERROR(__xludf.DUMMYFUNCTION("""COMPUTED_VALUE"""),2018.0)</f>
        <v>2018</v>
      </c>
      <c r="D175" s="1" t="str">
        <f>IFERROR(__xludf.DUMMYFUNCTION("""COMPUTED_VALUE"""),"Equilibrium in Networks")</f>
        <v>Equilibrium in Networks</v>
      </c>
      <c r="E175" s="1" t="str">
        <f>IFERROR(__xludf.DUMMYFUNCTION("""COMPUTED_VALUE"""),"DHL")</f>
        <v>DHL</v>
      </c>
    </row>
    <row r="176" ht="15.75" customHeight="1">
      <c r="A176" s="1" t="str">
        <f>IFERROR(__xludf.DUMMYFUNCTION("""COMPUTED_VALUE"""),"PEDHAVI PRATIK RAMESH")</f>
        <v>PEDHAVI PRATIK RAMESH</v>
      </c>
      <c r="B176" s="1" t="str">
        <f>IFERROR(__xludf.DUMMYFUNCTION("""COMPUTED_VALUE"""),"M.Tech")</f>
        <v>M.Tech</v>
      </c>
      <c r="C176" s="1">
        <f>IFERROR(__xludf.DUMMYFUNCTION("""COMPUTED_VALUE"""),2018.0)</f>
        <v>2018</v>
      </c>
      <c r="D176" s="1" t="str">
        <f>IFERROR(__xludf.DUMMYFUNCTION("""COMPUTED_VALUE"""),"Planning and Schedulling of Spares Distribution for Effective After-sales 
Service")</f>
        <v>Planning and Schedulling of Spares Distribution for Effective After-sales 
Service</v>
      </c>
      <c r="E176" s="1" t="str">
        <f>IFERROR(__xludf.DUMMYFUNCTION("""COMPUTED_VALUE"""),"TCS R&amp;D")</f>
        <v>TCS R&amp;D</v>
      </c>
    </row>
    <row r="177" ht="15.75" customHeight="1">
      <c r="A177" s="1" t="str">
        <f>IFERROR(__xludf.DUMMYFUNCTION("""COMPUTED_VALUE"""),"Raju Joshi")</f>
        <v>Raju Joshi</v>
      </c>
      <c r="B177" s="1" t="str">
        <f>IFERROR(__xludf.DUMMYFUNCTION("""COMPUTED_VALUE"""),"M.Tech")</f>
        <v>M.Tech</v>
      </c>
      <c r="C177" s="1">
        <f>IFERROR(__xludf.DUMMYFUNCTION("""COMPUTED_VALUE"""),2018.0)</f>
        <v>2018</v>
      </c>
      <c r="D177" s="1" t="str">
        <f>IFERROR(__xludf.DUMMYFUNCTION("""COMPUTED_VALUE"""),"Global optimization via random restarts")</f>
        <v>Global optimization via random restarts</v>
      </c>
      <c r="E177" s="1" t="str">
        <f>IFERROR(__xludf.DUMMYFUNCTION("""COMPUTED_VALUE"""),"ICICI Lombard")</f>
        <v>ICICI Lombard</v>
      </c>
    </row>
    <row r="178" ht="15.75" customHeight="1">
      <c r="A178" s="1" t="str">
        <f>IFERROR(__xludf.DUMMYFUNCTION("""COMPUTED_VALUE"""),"ratan kumar prajapati")</f>
        <v>ratan kumar prajapati</v>
      </c>
      <c r="B178" s="1" t="str">
        <f>IFERROR(__xludf.DUMMYFUNCTION("""COMPUTED_VALUE"""),"M.Tech")</f>
        <v>M.Tech</v>
      </c>
      <c r="C178" s="1">
        <f>IFERROR(__xludf.DUMMYFUNCTION("""COMPUTED_VALUE"""),2018.0)</f>
        <v>2018</v>
      </c>
      <c r="D178" s="1" t="str">
        <f>IFERROR(__xludf.DUMMYFUNCTION("""COMPUTED_VALUE"""),"Structured Global Optimization Problems")</f>
        <v>Structured Global Optimization Problems</v>
      </c>
      <c r="E178" s="1" t="str">
        <f>IFERROR(__xludf.DUMMYFUNCTION("""COMPUTED_VALUE"""),"Sheorey Digital Systems")</f>
        <v>Sheorey Digital Systems</v>
      </c>
    </row>
    <row r="179" ht="15.75" customHeight="1">
      <c r="A179" s="1" t="str">
        <f>IFERROR(__xludf.DUMMYFUNCTION("""COMPUTED_VALUE"""),"SAKET KUMAR SAURABH")</f>
        <v>SAKET KUMAR SAURABH</v>
      </c>
      <c r="B179" s="1" t="str">
        <f>IFERROR(__xludf.DUMMYFUNCTION("""COMPUTED_VALUE"""),"M.Tech")</f>
        <v>M.Tech</v>
      </c>
      <c r="C179" s="1">
        <f>IFERROR(__xludf.DUMMYFUNCTION("""COMPUTED_VALUE"""),2018.0)</f>
        <v>2018</v>
      </c>
      <c r="D179" s="1" t="str">
        <f>IFERROR(__xludf.DUMMYFUNCTION("""COMPUTED_VALUE"""),"Timetabling for a large university")</f>
        <v>Timetabling for a large university</v>
      </c>
      <c r="E179" s="1" t="str">
        <f>IFERROR(__xludf.DUMMYFUNCTION("""COMPUTED_VALUE"""),"TCS R&amp;D")</f>
        <v>TCS R&amp;D</v>
      </c>
    </row>
    <row r="180" ht="15.75" customHeight="1">
      <c r="A180" s="1" t="str">
        <f>IFERROR(__xludf.DUMMYFUNCTION("""COMPUTED_VALUE"""),"SANKET KINAGE")</f>
        <v>SANKET KINAGE</v>
      </c>
      <c r="B180" s="1" t="str">
        <f>IFERROR(__xludf.DUMMYFUNCTION("""COMPUTED_VALUE"""),"M.Tech")</f>
        <v>M.Tech</v>
      </c>
      <c r="C180" s="1">
        <f>IFERROR(__xludf.DUMMYFUNCTION("""COMPUTED_VALUE"""),2018.0)</f>
        <v>2018</v>
      </c>
      <c r="D180" s="1" t="str">
        <f>IFERROR(__xludf.DUMMYFUNCTION("""COMPUTED_VALUE"""),"Capacity Sharing between firms in Queueing Systems")</f>
        <v>Capacity Sharing between firms in Queueing Systems</v>
      </c>
      <c r="E180" s="1" t="str">
        <f>IFERROR(__xludf.DUMMYFUNCTION("""COMPUTED_VALUE"""),"DHL")</f>
        <v>DHL</v>
      </c>
    </row>
    <row r="181" ht="15.75" customHeight="1">
      <c r="A181" s="1" t="str">
        <f>IFERROR(__xludf.DUMMYFUNCTION("""COMPUTED_VALUE"""),"Sharad Agrawal")</f>
        <v>Sharad Agrawal</v>
      </c>
      <c r="B181" s="1" t="str">
        <f>IFERROR(__xludf.DUMMYFUNCTION("""COMPUTED_VALUE"""),"M.Tech")</f>
        <v>M.Tech</v>
      </c>
      <c r="C181" s="1">
        <f>IFERROR(__xludf.DUMMYFUNCTION("""COMPUTED_VALUE"""),2018.0)</f>
        <v>2018</v>
      </c>
      <c r="D181" s="1" t="str">
        <f>IFERROR(__xludf.DUMMYFUNCTION("""COMPUTED_VALUE"""),"Approximation Algorithm for Temporal Bin Packing Problem")</f>
        <v>Approximation Algorithm for Temporal Bin Packing Problem</v>
      </c>
      <c r="E181" s="1"/>
    </row>
    <row r="182" ht="15.75" customHeight="1">
      <c r="A182" s="1" t="str">
        <f>IFERROR(__xludf.DUMMYFUNCTION("""COMPUTED_VALUE"""),"SREENATH S")</f>
        <v>SREENATH S</v>
      </c>
      <c r="B182" s="1" t="str">
        <f>IFERROR(__xludf.DUMMYFUNCTION("""COMPUTED_VALUE"""),"M.Tech")</f>
        <v>M.Tech</v>
      </c>
      <c r="C182" s="1">
        <f>IFERROR(__xludf.DUMMYFUNCTION("""COMPUTED_VALUE"""),2018.0)</f>
        <v>2018</v>
      </c>
      <c r="D182" s="1" t="str">
        <f>IFERROR(__xludf.DUMMYFUNCTION("""COMPUTED_VALUE"""),"Attack Saturation Branching Processes on Social Networks")</f>
        <v>Attack Saturation Branching Processes on Social Networks</v>
      </c>
      <c r="E182" s="1" t="str">
        <f>IFERROR(__xludf.DUMMYFUNCTION("""COMPUTED_VALUE"""),"Societe General")</f>
        <v>Societe General</v>
      </c>
    </row>
    <row r="183" ht="15.75" customHeight="1">
      <c r="A183" s="1" t="str">
        <f>IFERROR(__xludf.DUMMYFUNCTION("""COMPUTED_VALUE"""),"Tabrez ul Haque")</f>
        <v>Tabrez ul Haque</v>
      </c>
      <c r="B183" s="1" t="str">
        <f>IFERROR(__xludf.DUMMYFUNCTION("""COMPUTED_VALUE"""),"M.Tech")</f>
        <v>M.Tech</v>
      </c>
      <c r="C183" s="1">
        <f>IFERROR(__xludf.DUMMYFUNCTION("""COMPUTED_VALUE"""),2018.0)</f>
        <v>2018</v>
      </c>
      <c r="D183" s="1" t="str">
        <f>IFERROR(__xludf.DUMMYFUNCTION("""COMPUTED_VALUE"""),"COLLABORATION BETWEEN FIRMS")</f>
        <v>COLLABORATION BETWEEN FIRMS</v>
      </c>
      <c r="E183" s="1" t="str">
        <f>IFERROR(__xludf.DUMMYFUNCTION("""COMPUTED_VALUE"""),"Sutherland Global")</f>
        <v>Sutherland Global</v>
      </c>
    </row>
    <row r="184" ht="15.75" customHeight="1">
      <c r="A184" s="1" t="str">
        <f>IFERROR(__xludf.DUMMYFUNCTION("""COMPUTED_VALUE"""),"VIPIN MAURYA")</f>
        <v>VIPIN MAURYA</v>
      </c>
      <c r="B184" s="1" t="str">
        <f>IFERROR(__xludf.DUMMYFUNCTION("""COMPUTED_VALUE"""),"M.Tech")</f>
        <v>M.Tech</v>
      </c>
      <c r="C184" s="1">
        <f>IFERROR(__xludf.DUMMYFUNCTION("""COMPUTED_VALUE"""),2018.0)</f>
        <v>2018</v>
      </c>
      <c r="D184" s="1" t="str">
        <f>IFERROR(__xludf.DUMMYFUNCTION("""COMPUTED_VALUE"""),"Analyzing Railway Networks by Simulation and Parametric Modeling to Improve 
Freight Operations")</f>
        <v>Analyzing Railway Networks by Simulation and Parametric Modeling to Improve 
Freight Operations</v>
      </c>
      <c r="E184" s="1" t="str">
        <f>IFERROR(__xludf.DUMMYFUNCTION("""COMPUTED_VALUE"""),"Indegene")</f>
        <v>Indegene</v>
      </c>
    </row>
    <row r="185" ht="15.75" customHeight="1">
      <c r="A185" s="1" t="str">
        <f>IFERROR(__xludf.DUMMYFUNCTION("""COMPUTED_VALUE"""),"VIVEK BARSOPIYA")</f>
        <v>VIVEK BARSOPIYA</v>
      </c>
      <c r="B185" s="1" t="str">
        <f>IFERROR(__xludf.DUMMYFUNCTION("""COMPUTED_VALUE"""),"M.Tech")</f>
        <v>M.Tech</v>
      </c>
      <c r="C185" s="1">
        <f>IFERROR(__xludf.DUMMYFUNCTION("""COMPUTED_VALUE"""),2018.0)</f>
        <v>2018</v>
      </c>
      <c r="D185" s="1" t="str">
        <f>IFERROR(__xludf.DUMMYFUNCTION("""COMPUTED_VALUE"""),"Driving Scene Recognition")</f>
        <v>Driving Scene Recognition</v>
      </c>
      <c r="E185" s="1" t="str">
        <f>IFERROR(__xludf.DUMMYFUNCTION("""COMPUTED_VALUE"""),"NEC Japan")</f>
        <v>NEC Japan</v>
      </c>
    </row>
    <row r="186" ht="15.75" customHeight="1">
      <c r="A186" s="1" t="str">
        <f>IFERROR(__xludf.DUMMYFUNCTION("""COMPUTED_VALUE"""),"Akash Pradeep Bhattacharjee")</f>
        <v>Akash Pradeep Bhattacharjee</v>
      </c>
      <c r="B186" s="2" t="str">
        <f>IFERROR(__xludf.DUMMYFUNCTION("""COMPUTED_VALUE"""),"M.Sc")</f>
        <v>M.Sc</v>
      </c>
      <c r="C186" s="1">
        <f>IFERROR(__xludf.DUMMYFUNCTION("""COMPUTED_VALUE"""),2017.0)</f>
        <v>2017</v>
      </c>
      <c r="D186" s="1"/>
      <c r="E186" s="1" t="str">
        <f>IFERROR(__xludf.DUMMYFUNCTION("""COMPUTED_VALUE"""),"TCS Analytics")</f>
        <v>TCS Analytics</v>
      </c>
    </row>
    <row r="187" ht="15.75" customHeight="1">
      <c r="A187" s="1" t="str">
        <f>IFERROR(__xludf.DUMMYFUNCTION("""COMPUTED_VALUE"""),"Anil Kumar Sonker")</f>
        <v>Anil Kumar Sonker</v>
      </c>
      <c r="B187" s="2" t="str">
        <f>IFERROR(__xludf.DUMMYFUNCTION("""COMPUTED_VALUE"""),"M.Sc")</f>
        <v>M.Sc</v>
      </c>
      <c r="C187" s="1">
        <f>IFERROR(__xludf.DUMMYFUNCTION("""COMPUTED_VALUE"""),2017.0)</f>
        <v>2017</v>
      </c>
      <c r="D187" s="1"/>
      <c r="E187" s="1" t="str">
        <f>IFERROR(__xludf.DUMMYFUNCTION("""COMPUTED_VALUE"""),"KPIT")</f>
        <v>KPIT</v>
      </c>
    </row>
    <row r="188" ht="15.75" customHeight="1">
      <c r="A188" s="1" t="str">
        <f>IFERROR(__xludf.DUMMYFUNCTION("""COMPUTED_VALUE"""),"Anjum Rani")</f>
        <v>Anjum Rani</v>
      </c>
      <c r="B188" s="2" t="str">
        <f>IFERROR(__xludf.DUMMYFUNCTION("""COMPUTED_VALUE"""),"M.Sc")</f>
        <v>M.Sc</v>
      </c>
      <c r="C188" s="1">
        <f>IFERROR(__xludf.DUMMYFUNCTION("""COMPUTED_VALUE"""),2017.0)</f>
        <v>2017</v>
      </c>
      <c r="D188" s="1"/>
      <c r="E188" s="1"/>
    </row>
    <row r="189" ht="15.75" customHeight="1">
      <c r="A189" s="1" t="str">
        <f>IFERROR(__xludf.DUMMYFUNCTION("""COMPUTED_VALUE"""),"Debayan Das")</f>
        <v>Debayan Das</v>
      </c>
      <c r="B189" s="2" t="str">
        <f>IFERROR(__xludf.DUMMYFUNCTION("""COMPUTED_VALUE"""),"M.Sc")</f>
        <v>M.Sc</v>
      </c>
      <c r="C189" s="1">
        <f>IFERROR(__xludf.DUMMYFUNCTION("""COMPUTED_VALUE"""),2017.0)</f>
        <v>2017</v>
      </c>
      <c r="D189" s="1"/>
      <c r="E189" s="1"/>
    </row>
    <row r="190" ht="15.75" customHeight="1">
      <c r="A190" s="1" t="str">
        <f>IFERROR(__xludf.DUMMYFUNCTION("""COMPUTED_VALUE"""),"Munne Khan")</f>
        <v>Munne Khan</v>
      </c>
      <c r="B190" s="2" t="str">
        <f>IFERROR(__xludf.DUMMYFUNCTION("""COMPUTED_VALUE"""),"M.Sc")</f>
        <v>M.Sc</v>
      </c>
      <c r="C190" s="1">
        <f>IFERROR(__xludf.DUMMYFUNCTION("""COMPUTED_VALUE"""),2017.0)</f>
        <v>2017</v>
      </c>
      <c r="D190" s="1"/>
      <c r="E190" s="1" t="str">
        <f>IFERROR(__xludf.DUMMYFUNCTION("""COMPUTED_VALUE"""),"HSBC Global Resourcing")</f>
        <v>HSBC Global Resourcing</v>
      </c>
    </row>
    <row r="191" ht="15.75" customHeight="1">
      <c r="A191" s="1" t="str">
        <f>IFERROR(__xludf.DUMMYFUNCTION("""COMPUTED_VALUE"""),"Sushant Kumar")</f>
        <v>Sushant Kumar</v>
      </c>
      <c r="B191" s="2" t="str">
        <f>IFERROR(__xludf.DUMMYFUNCTION("""COMPUTED_VALUE"""),"M.Sc")</f>
        <v>M.Sc</v>
      </c>
      <c r="C191" s="1">
        <f>IFERROR(__xludf.DUMMYFUNCTION("""COMPUTED_VALUE"""),2017.0)</f>
        <v>2017</v>
      </c>
      <c r="D191" s="1"/>
      <c r="E191" s="1"/>
    </row>
    <row r="192" ht="15.75" customHeight="1">
      <c r="A192" s="1" t="str">
        <f>IFERROR(__xludf.DUMMYFUNCTION("""COMPUTED_VALUE"""),"Arko Chatterjee")</f>
        <v>Arko Chatterjee</v>
      </c>
      <c r="B192" s="1" t="str">
        <f>IFERROR(__xludf.DUMMYFUNCTION("""COMPUTED_VALUE"""),"M.Sc-Ph.D")</f>
        <v>M.Sc-Ph.D</v>
      </c>
      <c r="C192" s="1">
        <f>IFERROR(__xludf.DUMMYFUNCTION("""COMPUTED_VALUE"""),2017.0)</f>
        <v>2017</v>
      </c>
      <c r="D192" s="1"/>
      <c r="E192" s="1"/>
    </row>
    <row r="193" ht="15.75" customHeight="1">
      <c r="A193" s="1" t="str">
        <f>IFERROR(__xludf.DUMMYFUNCTION("""COMPUTED_VALUE"""),"Ashish Dogra")</f>
        <v>Ashish Dogra</v>
      </c>
      <c r="B193" s="1" t="str">
        <f>IFERROR(__xludf.DUMMYFUNCTION("""COMPUTED_VALUE"""),"M.Tech")</f>
        <v>M.Tech</v>
      </c>
      <c r="C193" s="1">
        <f>IFERROR(__xludf.DUMMYFUNCTION("""COMPUTED_VALUE"""),2017.0)</f>
        <v>2017</v>
      </c>
      <c r="D193" s="1" t="str">
        <f>IFERROR(__xludf.DUMMYFUNCTION("""COMPUTED_VALUE"""),"Feints / Deception in Strategies")</f>
        <v>Feints / Deception in Strategies</v>
      </c>
      <c r="E193" s="1"/>
    </row>
    <row r="194" ht="15.75" customHeight="1">
      <c r="A194" s="1" t="str">
        <f>IFERROR(__xludf.DUMMYFUNCTION("""COMPUTED_VALUE"""),"Ashish Jatav")</f>
        <v>Ashish Jatav</v>
      </c>
      <c r="B194" s="1" t="str">
        <f>IFERROR(__xludf.DUMMYFUNCTION("""COMPUTED_VALUE"""),"M.Tech")</f>
        <v>M.Tech</v>
      </c>
      <c r="C194" s="1">
        <f>IFERROR(__xludf.DUMMYFUNCTION("""COMPUTED_VALUE"""),2017.0)</f>
        <v>2017</v>
      </c>
      <c r="D194" s="1" t="str">
        <f>IFERROR(__xludf.DUMMYFUNCTION("""COMPUTED_VALUE"""),"Hybrid Methods for Forecasting")</f>
        <v>Hybrid Methods for Forecasting</v>
      </c>
      <c r="E194" s="1" t="str">
        <f>IFERROR(__xludf.DUMMYFUNCTION("""COMPUTED_VALUE"""),"General Mills")</f>
        <v>General Mills</v>
      </c>
    </row>
    <row r="195" ht="15.75" customHeight="1">
      <c r="A195" s="1" t="str">
        <f>IFERROR(__xludf.DUMMYFUNCTION("""COMPUTED_VALUE"""),"Ashlin Ghosh")</f>
        <v>Ashlin Ghosh</v>
      </c>
      <c r="B195" s="1" t="str">
        <f>IFERROR(__xludf.DUMMYFUNCTION("""COMPUTED_VALUE"""),"M.Tech")</f>
        <v>M.Tech</v>
      </c>
      <c r="C195" s="1">
        <f>IFERROR(__xludf.DUMMYFUNCTION("""COMPUTED_VALUE"""),2017.0)</f>
        <v>2017</v>
      </c>
      <c r="D195" s="1" t="str">
        <f>IFERROR(__xludf.DUMMYFUNCTION("""COMPUTED_VALUE"""),"SCHEDULING SYSTEM FOR ADDITIVE MANUFACTURING")</f>
        <v>SCHEDULING SYSTEM FOR ADDITIVE MANUFACTURING</v>
      </c>
      <c r="E195" s="1" t="str">
        <f>IFERROR(__xludf.DUMMYFUNCTION("""COMPUTED_VALUE"""),"Robert Bosch")</f>
        <v>Robert Bosch</v>
      </c>
    </row>
    <row r="196" ht="15.75" customHeight="1">
      <c r="A196" s="1" t="str">
        <f>IFERROR(__xludf.DUMMYFUNCTION("""COMPUTED_VALUE"""),"Bhave Akshay Jayant")</f>
        <v>Bhave Akshay Jayant</v>
      </c>
      <c r="B196" s="1" t="str">
        <f>IFERROR(__xludf.DUMMYFUNCTION("""COMPUTED_VALUE"""),"M.Tech")</f>
        <v>M.Tech</v>
      </c>
      <c r="C196" s="1">
        <f>IFERROR(__xludf.DUMMYFUNCTION("""COMPUTED_VALUE"""),2017.0)</f>
        <v>2017</v>
      </c>
      <c r="D196" s="1" t="str">
        <f>IFERROR(__xludf.DUMMYFUNCTION("""COMPUTED_VALUE"""),"Comparative study of heuristic methods for alternative graph in railway 
rescheduling")</f>
        <v>Comparative study of heuristic methods for alternative graph in railway 
rescheduling</v>
      </c>
      <c r="E196" s="1"/>
    </row>
    <row r="197" ht="15.75" customHeight="1">
      <c r="A197" s="1" t="str">
        <f>IFERROR(__xludf.DUMMYFUNCTION("""COMPUTED_VALUE"""),"Gawas Prakash Arjun")</f>
        <v>Gawas Prakash Arjun</v>
      </c>
      <c r="B197" s="1" t="str">
        <f>IFERROR(__xludf.DUMMYFUNCTION("""COMPUTED_VALUE"""),"M.Tech")</f>
        <v>M.Tech</v>
      </c>
      <c r="C197" s="1">
        <f>IFERROR(__xludf.DUMMYFUNCTION("""COMPUTED_VALUE"""),2017.0)</f>
        <v>2017</v>
      </c>
      <c r="D197" s="1" t="str">
        <f>IFERROR(__xludf.DUMMYFUNCTION("""COMPUTED_VALUE"""),"Risk sensitive Markov Decision Process and Linear Programs")</f>
        <v>Risk sensitive Markov Decision Process and Linear Programs</v>
      </c>
      <c r="E197" s="1" t="str">
        <f>IFERROR(__xludf.DUMMYFUNCTION("""COMPUTED_VALUE"""),"Bloom Energy India")</f>
        <v>Bloom Energy India</v>
      </c>
    </row>
    <row r="198" ht="15.75" customHeight="1">
      <c r="A198" s="1" t="str">
        <f>IFERROR(__xludf.DUMMYFUNCTION("""COMPUTED_VALUE"""),"Govind Kumar Yadav")</f>
        <v>Govind Kumar Yadav</v>
      </c>
      <c r="B198" s="1" t="str">
        <f>IFERROR(__xludf.DUMMYFUNCTION("""COMPUTED_VALUE"""),"M.Tech")</f>
        <v>M.Tech</v>
      </c>
      <c r="C198" s="1">
        <f>IFERROR(__xludf.DUMMYFUNCTION("""COMPUTED_VALUE"""),2017.0)</f>
        <v>2017</v>
      </c>
      <c r="D198" s="1" t="str">
        <f>IFERROR(__xludf.DUMMYFUNCTION("""COMPUTED_VALUE"""),"Double Auction With Regret")</f>
        <v>Double Auction With Regret</v>
      </c>
      <c r="E198" s="1" t="str">
        <f>IFERROR(__xludf.DUMMYFUNCTION("""COMPUTED_VALUE"""),"GeP Solutions Pvt Ltd")</f>
        <v>GeP Solutions Pvt Ltd</v>
      </c>
    </row>
    <row r="199" ht="15.75" customHeight="1">
      <c r="A199" s="1" t="str">
        <f>IFERROR(__xludf.DUMMYFUNCTION("""COMPUTED_VALUE"""),"Jijo Jose")</f>
        <v>Jijo Jose</v>
      </c>
      <c r="B199" s="1" t="str">
        <f>IFERROR(__xludf.DUMMYFUNCTION("""COMPUTED_VALUE"""),"M.Tech")</f>
        <v>M.Tech</v>
      </c>
      <c r="C199" s="1">
        <f>IFERROR(__xludf.DUMMYFUNCTION("""COMPUTED_VALUE"""),2017.0)</f>
        <v>2017</v>
      </c>
      <c r="D199" s="1" t="str">
        <f>IFERROR(__xludf.DUMMYFUNCTION("""COMPUTED_VALUE"""),"Branching process with population dependent offsprings")</f>
        <v>Branching process with population dependent offsprings</v>
      </c>
      <c r="E199" s="1" t="str">
        <f>IFERROR(__xludf.DUMMYFUNCTION("""COMPUTED_VALUE"""),"Mahindra Comviva")</f>
        <v>Mahindra Comviva</v>
      </c>
    </row>
    <row r="200" ht="15.75" customHeight="1">
      <c r="A200" s="1" t="str">
        <f>IFERROR(__xludf.DUMMYFUNCTION("""COMPUTED_VALUE"""),"Nibir Nath")</f>
        <v>Nibir Nath</v>
      </c>
      <c r="B200" s="1" t="str">
        <f>IFERROR(__xludf.DUMMYFUNCTION("""COMPUTED_VALUE"""),"M.Tech")</f>
        <v>M.Tech</v>
      </c>
      <c r="C200" s="1">
        <f>IFERROR(__xludf.DUMMYFUNCTION("""COMPUTED_VALUE"""),2017.0)</f>
        <v>2017</v>
      </c>
      <c r="D200" s="1" t="str">
        <f>IFERROR(__xludf.DUMMYFUNCTION("""COMPUTED_VALUE"""),"Modelling and analysis of after sales service operations")</f>
        <v>Modelling and analysis of after sales service operations</v>
      </c>
      <c r="E200" s="1" t="str">
        <f>IFERROR(__xludf.DUMMYFUNCTION("""COMPUTED_VALUE"""),"Indegene")</f>
        <v>Indegene</v>
      </c>
    </row>
    <row r="201" ht="15.75" customHeight="1">
      <c r="A201" s="1" t="str">
        <f>IFERROR(__xludf.DUMMYFUNCTION("""COMPUTED_VALUE"""),"R.Vidyadhar")</f>
        <v>R.Vidyadhar</v>
      </c>
      <c r="B201" s="1" t="str">
        <f>IFERROR(__xludf.DUMMYFUNCTION("""COMPUTED_VALUE"""),"M.Tech")</f>
        <v>M.Tech</v>
      </c>
      <c r="C201" s="1">
        <f>IFERROR(__xludf.DUMMYFUNCTION("""COMPUTED_VALUE"""),2017.0)</f>
        <v>2017</v>
      </c>
      <c r="D201" s="1" t="str">
        <f>IFERROR(__xludf.DUMMYFUNCTION("""COMPUTED_VALUE"""),"Simulation and critical Analysis of Railway Networks")</f>
        <v>Simulation and critical Analysis of Railway Networks</v>
      </c>
      <c r="E201" s="1"/>
    </row>
    <row r="202" ht="15.75" customHeight="1">
      <c r="A202" s="1" t="str">
        <f>IFERROR(__xludf.DUMMYFUNCTION("""COMPUTED_VALUE"""),"Rahul Munet")</f>
        <v>Rahul Munet</v>
      </c>
      <c r="B202" s="1" t="str">
        <f>IFERROR(__xludf.DUMMYFUNCTION("""COMPUTED_VALUE"""),"M.Tech")</f>
        <v>M.Tech</v>
      </c>
      <c r="C202" s="1">
        <f>IFERROR(__xludf.DUMMYFUNCTION("""COMPUTED_VALUE"""),2017.0)</f>
        <v>2017</v>
      </c>
      <c r="D202" s="1" t="str">
        <f>IFERROR(__xludf.DUMMYFUNCTION("""COMPUTED_VALUE"""),"Advanced Planning System for Additive Manufacturing")</f>
        <v>Advanced Planning System for Additive Manufacturing</v>
      </c>
      <c r="E202" s="1" t="str">
        <f>IFERROR(__xludf.DUMMYFUNCTION("""COMPUTED_VALUE"""),"Robert Bosch")</f>
        <v>Robert Bosch</v>
      </c>
    </row>
    <row r="203" ht="15.75" customHeight="1">
      <c r="A203" s="1" t="str">
        <f>IFERROR(__xludf.DUMMYFUNCTION("""COMPUTED_VALUE"""),"Raja Chauhan")</f>
        <v>Raja Chauhan</v>
      </c>
      <c r="B203" s="1" t="str">
        <f>IFERROR(__xludf.DUMMYFUNCTION("""COMPUTED_VALUE"""),"M.Tech")</f>
        <v>M.Tech</v>
      </c>
      <c r="C203" s="1">
        <f>IFERROR(__xludf.DUMMYFUNCTION("""COMPUTED_VALUE"""),2017.0)</f>
        <v>2017</v>
      </c>
      <c r="D203" s="1" t="str">
        <f>IFERROR(__xludf.DUMMYFUNCTION("""COMPUTED_VALUE"""),"Planning of New Product Diffusion")</f>
        <v>Planning of New Product Diffusion</v>
      </c>
      <c r="E203" s="1" t="str">
        <f>IFERROR(__xludf.DUMMYFUNCTION("""COMPUTED_VALUE"""),"ORMAE")</f>
        <v>ORMAE</v>
      </c>
    </row>
    <row r="204" ht="15.75" customHeight="1">
      <c r="A204" s="1" t="str">
        <f>IFERROR(__xludf.DUMMYFUNCTION("""COMPUTED_VALUE"""),"Salman Anis Memon")</f>
        <v>Salman Anis Memon</v>
      </c>
      <c r="B204" s="1" t="str">
        <f>IFERROR(__xludf.DUMMYFUNCTION("""COMPUTED_VALUE"""),"M.Tech")</f>
        <v>M.Tech</v>
      </c>
      <c r="C204" s="1">
        <f>IFERROR(__xludf.DUMMYFUNCTION("""COMPUTED_VALUE"""),2017.0)</f>
        <v>2017</v>
      </c>
      <c r="D204" s="1" t="str">
        <f>IFERROR(__xludf.DUMMYFUNCTION("""COMPUTED_VALUE"""),"User Response Based Recommendation System Design and Simulation")</f>
        <v>User Response Based Recommendation System Design and Simulation</v>
      </c>
      <c r="E204" s="1" t="str">
        <f>IFERROR(__xludf.DUMMYFUNCTION("""COMPUTED_VALUE"""),"DHL")</f>
        <v>DHL</v>
      </c>
    </row>
    <row r="205" ht="15.75" customHeight="1">
      <c r="A205" s="1" t="str">
        <f>IFERROR(__xludf.DUMMYFUNCTION("""COMPUTED_VALUE"""),"Shashank Mishra")</f>
        <v>Shashank Mishra</v>
      </c>
      <c r="B205" s="1" t="str">
        <f>IFERROR(__xludf.DUMMYFUNCTION("""COMPUTED_VALUE"""),"M.Tech")</f>
        <v>M.Tech</v>
      </c>
      <c r="C205" s="1">
        <f>IFERROR(__xludf.DUMMYFUNCTION("""COMPUTED_VALUE"""),2017.0)</f>
        <v>2017</v>
      </c>
      <c r="D205" s="1" t="str">
        <f>IFERROR(__xludf.DUMMYFUNCTION("""COMPUTED_VALUE"""),"Differential Pricing in Net Neutrality")</f>
        <v>Differential Pricing in Net Neutrality</v>
      </c>
      <c r="E205" s="1" t="str">
        <f>IFERROR(__xludf.DUMMYFUNCTION("""COMPUTED_VALUE"""),"Accenture Services")</f>
        <v>Accenture Services</v>
      </c>
    </row>
    <row r="206" ht="15.75" customHeight="1">
      <c r="A206" s="1" t="str">
        <f>IFERROR(__xludf.DUMMYFUNCTION("""COMPUTED_VALUE"""),"Vinay Rai")</f>
        <v>Vinay Rai</v>
      </c>
      <c r="B206" s="1" t="str">
        <f>IFERROR(__xludf.DUMMYFUNCTION("""COMPUTED_VALUE"""),"M.Tech")</f>
        <v>M.Tech</v>
      </c>
      <c r="C206" s="1">
        <f>IFERROR(__xludf.DUMMYFUNCTION("""COMPUTED_VALUE"""),2017.0)</f>
        <v>2017</v>
      </c>
      <c r="D206" s="1" t="str">
        <f>IFERROR(__xludf.DUMMYFUNCTION("""COMPUTED_VALUE"""),"Data Analysis of Parameters Related to Kidney Transplant Procedure")</f>
        <v>Data Analysis of Parameters Related to Kidney Transplant Procedure</v>
      </c>
      <c r="E206" s="1" t="str">
        <f>IFERROR(__xludf.DUMMYFUNCTION("""COMPUTED_VALUE"""),"DHL")</f>
        <v>DHL</v>
      </c>
    </row>
    <row r="207" ht="15.75" customHeight="1">
      <c r="A207" s="1" t="str">
        <f>IFERROR(__xludf.DUMMYFUNCTION("""COMPUTED_VALUE"""),"Yeole Harshal Anil")</f>
        <v>Yeole Harshal Anil</v>
      </c>
      <c r="B207" s="1" t="str">
        <f>IFERROR(__xludf.DUMMYFUNCTION("""COMPUTED_VALUE"""),"M.Tech")</f>
        <v>M.Tech</v>
      </c>
      <c r="C207" s="1">
        <f>IFERROR(__xludf.DUMMYFUNCTION("""COMPUTED_VALUE"""),2017.0)</f>
        <v>2017</v>
      </c>
      <c r="D207" s="1" t="str">
        <f>IFERROR(__xludf.DUMMYFUNCTION("""COMPUTED_VALUE"""),"Optimal beaconing for cellular networks with delay tolerent users.")</f>
        <v>Optimal beaconing for cellular networks with delay tolerent users.</v>
      </c>
      <c r="E207" s="1" t="str">
        <f>IFERROR(__xludf.DUMMYFUNCTION("""COMPUTED_VALUE"""),"General Mills")</f>
        <v>General Mills</v>
      </c>
    </row>
    <row r="208" ht="15.75" customHeight="1">
      <c r="A208" s="1" t="str">
        <f>IFERROR(__xludf.DUMMYFUNCTION("""COMPUTED_VALUE"""),"Ratnaji Vanga")</f>
        <v>Ratnaji Vanga</v>
      </c>
      <c r="B208" s="1" t="str">
        <f>IFERROR(__xludf.DUMMYFUNCTION("""COMPUTED_VALUE"""),"Ph.D")</f>
        <v>Ph.D</v>
      </c>
      <c r="C208" s="1">
        <f>IFERROR(__xludf.DUMMYFUNCTION("""COMPUTED_VALUE"""),2017.0)</f>
        <v>2017</v>
      </c>
      <c r="D208" s="1" t="str">
        <f>IFERROR(__xludf.DUMMYFUNCTION("""COMPUTED_VALUE"""),"Supply Chain Management of Reusable Articles")</f>
        <v>Supply Chain Management of Reusable Articles</v>
      </c>
      <c r="E208" s="1"/>
    </row>
    <row r="209" ht="15.75" customHeight="1">
      <c r="A209" s="1" t="str">
        <f>IFERROR(__xludf.DUMMYFUNCTION("""COMPUTED_VALUE"""),"Tilak Raj Singh")</f>
        <v>Tilak Raj Singh</v>
      </c>
      <c r="B209" s="1" t="str">
        <f>IFERROR(__xludf.DUMMYFUNCTION("""COMPUTED_VALUE"""),"Ph.D")</f>
        <v>Ph.D</v>
      </c>
      <c r="C209" s="1">
        <f>IFERROR(__xludf.DUMMYFUNCTION("""COMPUTED_VALUE"""),2017.0)</f>
        <v>2017</v>
      </c>
      <c r="D209" s="1" t="str">
        <f>IFERROR(__xludf.DUMMYFUNCTION("""COMPUTED_VALUE"""),"Configuration planning in mass customization: Optimization based models")</f>
        <v>Configuration planning in mass customization: Optimization based models</v>
      </c>
      <c r="E209" s="1"/>
    </row>
    <row r="210" ht="15.75" customHeight="1">
      <c r="A210" s="1" t="str">
        <f>IFERROR(__xludf.DUMMYFUNCTION("""COMPUTED_VALUE"""),"ADITI KATARA")</f>
        <v>ADITI KATARA</v>
      </c>
      <c r="B210" s="2" t="str">
        <f>IFERROR(__xludf.DUMMYFUNCTION("""COMPUTED_VALUE"""),"M.Sc")</f>
        <v>M.Sc</v>
      </c>
      <c r="C210" s="1">
        <f>IFERROR(__xludf.DUMMYFUNCTION("""COMPUTED_VALUE"""),2016.0)</f>
        <v>2016</v>
      </c>
      <c r="D210" s="1"/>
      <c r="E210" s="1"/>
    </row>
    <row r="211" ht="15.75" customHeight="1">
      <c r="A211" s="1" t="str">
        <f>IFERROR(__xludf.DUMMYFUNCTION("""COMPUTED_VALUE"""),"ASHISH CHANDRA")</f>
        <v>ASHISH CHANDRA</v>
      </c>
      <c r="B211" s="2" t="str">
        <f>IFERROR(__xludf.DUMMYFUNCTION("""COMPUTED_VALUE"""),"M.Sc")</f>
        <v>M.Sc</v>
      </c>
      <c r="C211" s="1">
        <f>IFERROR(__xludf.DUMMYFUNCTION("""COMPUTED_VALUE"""),2016.0)</f>
        <v>2016</v>
      </c>
      <c r="D211" s="1"/>
      <c r="E211" s="1"/>
    </row>
    <row r="212" ht="15.75" customHeight="1">
      <c r="A212" s="1" t="str">
        <f>IFERROR(__xludf.DUMMYFUNCTION("""COMPUTED_VALUE"""),"MANISHA SINGH")</f>
        <v>MANISHA SINGH</v>
      </c>
      <c r="B212" s="2" t="str">
        <f>IFERROR(__xludf.DUMMYFUNCTION("""COMPUTED_VALUE"""),"M.Sc")</f>
        <v>M.Sc</v>
      </c>
      <c r="C212" s="1">
        <f>IFERROR(__xludf.DUMMYFUNCTION("""COMPUTED_VALUE"""),2016.0)</f>
        <v>2016</v>
      </c>
      <c r="D212" s="1"/>
      <c r="E212" s="1"/>
    </row>
    <row r="213" ht="15.75" customHeight="1">
      <c r="A213" s="1" t="str">
        <f>IFERROR(__xludf.DUMMYFUNCTION("""COMPUTED_VALUE"""),"PRANJALI YADAV")</f>
        <v>PRANJALI YADAV</v>
      </c>
      <c r="B213" s="2" t="str">
        <f>IFERROR(__xludf.DUMMYFUNCTION("""COMPUTED_VALUE"""),"M.Sc")</f>
        <v>M.Sc</v>
      </c>
      <c r="C213" s="1">
        <f>IFERROR(__xludf.DUMMYFUNCTION("""COMPUTED_VALUE"""),2016.0)</f>
        <v>2016</v>
      </c>
      <c r="D213" s="1"/>
      <c r="E213" s="1"/>
    </row>
    <row r="214" ht="15.75" customHeight="1">
      <c r="A214" s="1" t="str">
        <f>IFERROR(__xludf.DUMMYFUNCTION("""COMPUTED_VALUE"""),"SALONI PATEL")</f>
        <v>SALONI PATEL</v>
      </c>
      <c r="B214" s="2" t="str">
        <f>IFERROR(__xludf.DUMMYFUNCTION("""COMPUTED_VALUE"""),"M.Sc")</f>
        <v>M.Sc</v>
      </c>
      <c r="C214" s="1">
        <f>IFERROR(__xludf.DUMMYFUNCTION("""COMPUTED_VALUE"""),2016.0)</f>
        <v>2016</v>
      </c>
      <c r="D214" s="1"/>
      <c r="E214" s="1"/>
    </row>
    <row r="215" ht="15.75" customHeight="1">
      <c r="A215" s="1" t="str">
        <f>IFERROR(__xludf.DUMMYFUNCTION("""COMPUTED_VALUE"""),"Kaushal Kumar Singh Gautam")</f>
        <v>Kaushal Kumar Singh Gautam</v>
      </c>
      <c r="B215" s="1" t="str">
        <f>IFERROR(__xludf.DUMMYFUNCTION("""COMPUTED_VALUE"""),"M.Sc-M.Phil")</f>
        <v>M.Sc-M.Phil</v>
      </c>
      <c r="C215" s="1">
        <f>IFERROR(__xludf.DUMMYFUNCTION("""COMPUTED_VALUE"""),2016.0)</f>
        <v>2016</v>
      </c>
      <c r="D215" s="1"/>
      <c r="E215" s="1"/>
    </row>
    <row r="216" ht="15.75" customHeight="1">
      <c r="A216" s="1" t="str">
        <f>IFERROR(__xludf.DUMMYFUNCTION("""COMPUTED_VALUE"""),"Raman Kumar Sinha")</f>
        <v>Raman Kumar Sinha</v>
      </c>
      <c r="B216" s="1" t="str">
        <f>IFERROR(__xludf.DUMMYFUNCTION("""COMPUTED_VALUE"""),"M.Sc-M.Phil")</f>
        <v>M.Sc-M.Phil</v>
      </c>
      <c r="C216" s="1">
        <f>IFERROR(__xludf.DUMMYFUNCTION("""COMPUTED_VALUE"""),2016.0)</f>
        <v>2016</v>
      </c>
      <c r="D216" s="1"/>
      <c r="E216" s="1"/>
    </row>
    <row r="217" ht="15.75" customHeight="1">
      <c r="A217" s="1" t="str">
        <f>IFERROR(__xludf.DUMMYFUNCTION("""COMPUTED_VALUE"""),"Manu Kumar Gupta")</f>
        <v>Manu Kumar Gupta</v>
      </c>
      <c r="B217" s="1" t="str">
        <f>IFERROR(__xludf.DUMMYFUNCTION("""COMPUTED_VALUE"""),"M.Sc-Ph.D")</f>
        <v>M.Sc-Ph.D</v>
      </c>
      <c r="C217" s="1">
        <f>IFERROR(__xludf.DUMMYFUNCTION("""COMPUTED_VALUE"""),2016.0)</f>
        <v>2016</v>
      </c>
      <c r="D217" s="1"/>
      <c r="E217" s="1"/>
    </row>
    <row r="218" ht="15.75" customHeight="1">
      <c r="A218" s="1" t="str">
        <f>IFERROR(__xludf.DUMMYFUNCTION("""COMPUTED_VALUE"""),"Akash Omer")</f>
        <v>Akash Omer</v>
      </c>
      <c r="B218" s="1" t="str">
        <f>IFERROR(__xludf.DUMMYFUNCTION("""COMPUTED_VALUE"""),"M.Tech")</f>
        <v>M.Tech</v>
      </c>
      <c r="C218" s="1">
        <f>IFERROR(__xludf.DUMMYFUNCTION("""COMPUTED_VALUE"""),2016.0)</f>
        <v>2016</v>
      </c>
      <c r="D218" s="1" t="str">
        <f>IFERROR(__xludf.DUMMYFUNCTION("""COMPUTED_VALUE"""),"Pricing Strategies for Technology based Services")</f>
        <v>Pricing Strategies for Technology based Services</v>
      </c>
      <c r="E218" s="1"/>
    </row>
    <row r="219" ht="15.75" customHeight="1">
      <c r="A219" s="1" t="str">
        <f>IFERROR(__xludf.DUMMYFUNCTION("""COMPUTED_VALUE"""),"Anirban Nag")</f>
        <v>Anirban Nag</v>
      </c>
      <c r="B219" s="1" t="str">
        <f>IFERROR(__xludf.DUMMYFUNCTION("""COMPUTED_VALUE"""),"M.Tech")</f>
        <v>M.Tech</v>
      </c>
      <c r="C219" s="1">
        <f>IFERROR(__xludf.DUMMYFUNCTION("""COMPUTED_VALUE"""),2016.0)</f>
        <v>2016</v>
      </c>
      <c r="D219" s="1" t="str">
        <f>IFERROR(__xludf.DUMMYFUNCTION("""COMPUTED_VALUE"""),"Exact Methods for Finding Optimal Schedules of New Trains in a Railway 
Network")</f>
        <v>Exact Methods for Finding Optimal Schedules of New Trains in a Railway 
Network</v>
      </c>
      <c r="E219" s="1"/>
    </row>
    <row r="220" ht="15.75" customHeight="1">
      <c r="A220" s="1" t="str">
        <f>IFERROR(__xludf.DUMMYFUNCTION("""COMPUTED_VALUE"""),"Anshika Chaurasia")</f>
        <v>Anshika Chaurasia</v>
      </c>
      <c r="B220" s="1" t="str">
        <f>IFERROR(__xludf.DUMMYFUNCTION("""COMPUTED_VALUE"""),"M.Tech")</f>
        <v>M.Tech</v>
      </c>
      <c r="C220" s="1">
        <f>IFERROR(__xludf.DUMMYFUNCTION("""COMPUTED_VALUE"""),2016.0)</f>
        <v>2016</v>
      </c>
      <c r="D220" s="1" t="str">
        <f>IFERROR(__xludf.DUMMYFUNCTION("""COMPUTED_VALUE"""),"Some Models for Influence Maximization Problem in Social Networks")</f>
        <v>Some Models for Influence Maximization Problem in Social Networks</v>
      </c>
      <c r="E220" s="1"/>
    </row>
    <row r="221" ht="15.75" customHeight="1">
      <c r="A221" s="1" t="str">
        <f>IFERROR(__xludf.DUMMYFUNCTION("""COMPUTED_VALUE"""),"ANUJI C")</f>
        <v>ANUJI C</v>
      </c>
      <c r="B221" s="1" t="str">
        <f>IFERROR(__xludf.DUMMYFUNCTION("""COMPUTED_VALUE"""),"M.Tech")</f>
        <v>M.Tech</v>
      </c>
      <c r="C221" s="1">
        <f>IFERROR(__xludf.DUMMYFUNCTION("""COMPUTED_VALUE"""),2016.0)</f>
        <v>2016</v>
      </c>
      <c r="D221" s="1" t="str">
        <f>IFERROR(__xludf.DUMMYFUNCTION("""COMPUTED_VALUE"""),"MANAGING TECHNOLOGY CONSULTING PROJECTS USING QUANTITATIVE METHODS")</f>
        <v>MANAGING TECHNOLOGY CONSULTING PROJECTS USING QUANTITATIVE METHODS</v>
      </c>
      <c r="E221" s="1"/>
    </row>
    <row r="222" ht="15.75" customHeight="1">
      <c r="A222" s="1" t="str">
        <f>IFERROR(__xludf.DUMMYFUNCTION("""COMPUTED_VALUE"""),"Asheesh Kumar Dubey")</f>
        <v>Asheesh Kumar Dubey</v>
      </c>
      <c r="B222" s="1" t="str">
        <f>IFERROR(__xludf.DUMMYFUNCTION("""COMPUTED_VALUE"""),"M.Tech")</f>
        <v>M.Tech</v>
      </c>
      <c r="C222" s="1">
        <f>IFERROR(__xludf.DUMMYFUNCTION("""COMPUTED_VALUE"""),2016.0)</f>
        <v>2016</v>
      </c>
      <c r="D222" s="1" t="str">
        <f>IFERROR(__xludf.DUMMYFUNCTION("""COMPUTED_VALUE"""),"Modeling Unsignalized Intersection of Road Transportation Network")</f>
        <v>Modeling Unsignalized Intersection of Road Transportation Network</v>
      </c>
      <c r="E222" s="1"/>
    </row>
    <row r="223" ht="15.75" customHeight="1">
      <c r="A223" s="1" t="str">
        <f>IFERROR(__xludf.DUMMYFUNCTION("""COMPUTED_VALUE"""),"Chetan Sharma")</f>
        <v>Chetan Sharma</v>
      </c>
      <c r="B223" s="1" t="str">
        <f>IFERROR(__xludf.DUMMYFUNCTION("""COMPUTED_VALUE"""),"M.Tech")</f>
        <v>M.Tech</v>
      </c>
      <c r="C223" s="1">
        <f>IFERROR(__xludf.DUMMYFUNCTION("""COMPUTED_VALUE"""),2016.0)</f>
        <v>2016</v>
      </c>
      <c r="D223" s="1" t="str">
        <f>IFERROR(__xludf.DUMMYFUNCTION("""COMPUTED_VALUE"""),"Experiments with Rake Scheduling models in Aluminum Supply Chain")</f>
        <v>Experiments with Rake Scheduling models in Aluminum Supply Chain</v>
      </c>
      <c r="E223" s="1"/>
    </row>
    <row r="224" ht="15.75" customHeight="1">
      <c r="A224" s="1" t="str">
        <f>IFERROR(__xludf.DUMMYFUNCTION("""COMPUTED_VALUE"""),"JAFEER H")</f>
        <v>JAFEER H</v>
      </c>
      <c r="B224" s="1" t="str">
        <f>IFERROR(__xludf.DUMMYFUNCTION("""COMPUTED_VALUE"""),"M.Tech")</f>
        <v>M.Tech</v>
      </c>
      <c r="C224" s="1">
        <f>IFERROR(__xludf.DUMMYFUNCTION("""COMPUTED_VALUE"""),2016.0)</f>
        <v>2016</v>
      </c>
      <c r="D224" s="1" t="str">
        <f>IFERROR(__xludf.DUMMYFUNCTION("""COMPUTED_VALUE"""),"Reinforcement Learning with Applications to Trade Execution in Financial 
Market")</f>
        <v>Reinforcement Learning with Applications to Trade Execution in Financial 
Market</v>
      </c>
      <c r="E224" s="1"/>
    </row>
    <row r="225" ht="15.75" customHeight="1">
      <c r="A225" s="1" t="str">
        <f>IFERROR(__xludf.DUMMYFUNCTION("""COMPUTED_VALUE"""),"Kalpande Abhijeet Ganesh")</f>
        <v>Kalpande Abhijeet Ganesh</v>
      </c>
      <c r="B225" s="1" t="str">
        <f>IFERROR(__xludf.DUMMYFUNCTION("""COMPUTED_VALUE"""),"M.Tech")</f>
        <v>M.Tech</v>
      </c>
      <c r="C225" s="1">
        <f>IFERROR(__xludf.DUMMYFUNCTION("""COMPUTED_VALUE"""),2016.0)</f>
        <v>2016</v>
      </c>
      <c r="D225" s="1" t="str">
        <f>IFERROR(__xludf.DUMMYFUNCTION("""COMPUTED_VALUE"""),"Failure Diagnosis and Predictive Analytics in Automotive Systems")</f>
        <v>Failure Diagnosis and Predictive Analytics in Automotive Systems</v>
      </c>
      <c r="E225" s="1"/>
    </row>
    <row r="226" ht="15.75" customHeight="1">
      <c r="A226" s="1" t="str">
        <f>IFERROR(__xludf.DUMMYFUNCTION("""COMPUTED_VALUE"""),"Kulkarni Pooja Rajendra")</f>
        <v>Kulkarni Pooja Rajendra</v>
      </c>
      <c r="B226" s="1" t="str">
        <f>IFERROR(__xludf.DUMMYFUNCTION("""COMPUTED_VALUE"""),"M.Tech")</f>
        <v>M.Tech</v>
      </c>
      <c r="C226" s="1">
        <f>IFERROR(__xludf.DUMMYFUNCTION("""COMPUTED_VALUE"""),2016.0)</f>
        <v>2016</v>
      </c>
      <c r="D226" s="1" t="str">
        <f>IFERROR(__xludf.DUMMYFUNCTION("""COMPUTED_VALUE"""),"Hybrid Simulation and Optimization Approaches to the Job Shop Scheduling 
Problems")</f>
        <v>Hybrid Simulation and Optimization Approaches to the Job Shop Scheduling 
Problems</v>
      </c>
      <c r="E226" s="1"/>
    </row>
    <row r="227" ht="15.75" customHeight="1">
      <c r="A227" s="1" t="str">
        <f>IFERROR(__xludf.DUMMYFUNCTION("""COMPUTED_VALUE"""),"Manish Chauhan")</f>
        <v>Manish Chauhan</v>
      </c>
      <c r="B227" s="1" t="str">
        <f>IFERROR(__xludf.DUMMYFUNCTION("""COMPUTED_VALUE"""),"M.Tech")</f>
        <v>M.Tech</v>
      </c>
      <c r="C227" s="1">
        <f>IFERROR(__xludf.DUMMYFUNCTION("""COMPUTED_VALUE"""),2016.0)</f>
        <v>2016</v>
      </c>
      <c r="D227" s="1" t="str">
        <f>IFERROR(__xludf.DUMMYFUNCTION("""COMPUTED_VALUE"""),"Equilibrium Analysis of Inventory Management Considering the Random Delays")</f>
        <v>Equilibrium Analysis of Inventory Management Considering the Random Delays</v>
      </c>
      <c r="E227" s="1"/>
    </row>
    <row r="228" ht="15.75" customHeight="1">
      <c r="A228" s="1" t="str">
        <f>IFERROR(__xludf.DUMMYFUNCTION("""COMPUTED_VALUE"""),"Neeraj Sinha")</f>
        <v>Neeraj Sinha</v>
      </c>
      <c r="B228" s="1" t="str">
        <f>IFERROR(__xludf.DUMMYFUNCTION("""COMPUTED_VALUE"""),"M.Tech")</f>
        <v>M.Tech</v>
      </c>
      <c r="C228" s="1">
        <f>IFERROR(__xludf.DUMMYFUNCTION("""COMPUTED_VALUE"""),2016.0)</f>
        <v>2016</v>
      </c>
      <c r="D228" s="1" t="str">
        <f>IFERROR(__xludf.DUMMYFUNCTION("""COMPUTED_VALUE"""),"A DIAGNOSTIC STUDY FOR RELIABILITY IMPROVEMENT OF CIRCUIT BREAKERS IN AN 
INDIAN MANUFACTURING COMPANY")</f>
        <v>A DIAGNOSTIC STUDY FOR RELIABILITY IMPROVEMENT OF CIRCUIT BREAKERS IN AN 
INDIAN MANUFACTURING COMPANY</v>
      </c>
      <c r="E228" s="1"/>
    </row>
    <row r="229" ht="15.75" customHeight="1">
      <c r="A229" s="1" t="str">
        <f>IFERROR(__xludf.DUMMYFUNCTION("""COMPUTED_VALUE"""),"Prateek Dahale")</f>
        <v>Prateek Dahale</v>
      </c>
      <c r="B229" s="1" t="str">
        <f>IFERROR(__xludf.DUMMYFUNCTION("""COMPUTED_VALUE"""),"M.Tech")</f>
        <v>M.Tech</v>
      </c>
      <c r="C229" s="1">
        <f>IFERROR(__xludf.DUMMYFUNCTION("""COMPUTED_VALUE"""),2016.0)</f>
        <v>2016</v>
      </c>
      <c r="D229" s="1" t="str">
        <f>IFERROR(__xludf.DUMMYFUNCTION("""COMPUTED_VALUE"""),"Heuristics for Solving Discrete Optimization Problems")</f>
        <v>Heuristics for Solving Discrete Optimization Problems</v>
      </c>
      <c r="E229" s="1"/>
    </row>
    <row r="230" ht="15.75" customHeight="1">
      <c r="A230" s="1" t="str">
        <f>IFERROR(__xludf.DUMMYFUNCTION("""COMPUTED_VALUE"""),"Raghvendr Omer")</f>
        <v>Raghvendr Omer</v>
      </c>
      <c r="B230" s="1" t="str">
        <f>IFERROR(__xludf.DUMMYFUNCTION("""COMPUTED_VALUE"""),"M.Tech")</f>
        <v>M.Tech</v>
      </c>
      <c r="C230" s="1">
        <f>IFERROR(__xludf.DUMMYFUNCTION("""COMPUTED_VALUE"""),2016.0)</f>
        <v>2016</v>
      </c>
      <c r="D230" s="1" t="str">
        <f>IFERROR(__xludf.DUMMYFUNCTION("""COMPUTED_VALUE"""),"Developing a Convex Quadratic Programming Solver with Warm-starting After 
Bound Changes")</f>
        <v>Developing a Convex Quadratic Programming Solver with Warm-starting After 
Bound Changes</v>
      </c>
      <c r="E230" s="1"/>
    </row>
    <row r="231" ht="15.75" customHeight="1">
      <c r="A231" s="1" t="str">
        <f>IFERROR(__xludf.DUMMYFUNCTION("""COMPUTED_VALUE"""),"Rakesh Kumar Sharma")</f>
        <v>Rakesh Kumar Sharma</v>
      </c>
      <c r="B231" s="1" t="str">
        <f>IFERROR(__xludf.DUMMYFUNCTION("""COMPUTED_VALUE"""),"M.Tech")</f>
        <v>M.Tech</v>
      </c>
      <c r="C231" s="1">
        <f>IFERROR(__xludf.DUMMYFUNCTION("""COMPUTED_VALUE"""),2016.0)</f>
        <v>2016</v>
      </c>
      <c r="D231" s="1" t="str">
        <f>IFERROR(__xludf.DUMMYFUNCTION("""COMPUTED_VALUE"""),"Managing Freight Traffic on Rail Networks: Analysis of Terminal Operations")</f>
        <v>Managing Freight Traffic on Rail Networks: Analysis of Terminal Operations</v>
      </c>
      <c r="E231" s="1"/>
    </row>
    <row r="232" ht="15.75" customHeight="1">
      <c r="A232" s="1" t="str">
        <f>IFERROR(__xludf.DUMMYFUNCTION("""COMPUTED_VALUE"""),"Rishikesh Kushwaha")</f>
        <v>Rishikesh Kushwaha</v>
      </c>
      <c r="B232" s="1" t="str">
        <f>IFERROR(__xludf.DUMMYFUNCTION("""COMPUTED_VALUE"""),"M.Tech")</f>
        <v>M.Tech</v>
      </c>
      <c r="C232" s="1">
        <f>IFERROR(__xludf.DUMMYFUNCTION("""COMPUTED_VALUE"""),2016.0)</f>
        <v>2016</v>
      </c>
      <c r="D232" s="1" t="str">
        <f>IFERROR(__xludf.DUMMYFUNCTION("""COMPUTED_VALUE"""),"Cutting Plane Algorithms: Development and Implementation")</f>
        <v>Cutting Plane Algorithms: Development and Implementation</v>
      </c>
      <c r="E232" s="1"/>
    </row>
    <row r="233" ht="15.75" customHeight="1">
      <c r="A233" s="1" t="str">
        <f>IFERROR(__xludf.DUMMYFUNCTION("""COMPUTED_VALUE"""),"Sanjeev Vijendra Irny")</f>
        <v>Sanjeev Vijendra Irny</v>
      </c>
      <c r="B233" s="1" t="str">
        <f>IFERROR(__xludf.DUMMYFUNCTION("""COMPUTED_VALUE"""),"M.Tech")</f>
        <v>M.Tech</v>
      </c>
      <c r="C233" s="1">
        <f>IFERROR(__xludf.DUMMYFUNCTION("""COMPUTED_VALUE"""),2016.0)</f>
        <v>2016</v>
      </c>
      <c r="D233" s="1" t="str">
        <f>IFERROR(__xludf.DUMMYFUNCTION("""COMPUTED_VALUE"""),"SERVER SELECTION IN TWO TIME SCALES")</f>
        <v>SERVER SELECTION IN TWO TIME SCALES</v>
      </c>
      <c r="E233" s="1"/>
    </row>
    <row r="234" ht="15.75" customHeight="1">
      <c r="A234" s="1" t="str">
        <f>IFERROR(__xludf.DUMMYFUNCTION("""COMPUTED_VALUE"""),"Satpal Singh")</f>
        <v>Satpal Singh</v>
      </c>
      <c r="B234" s="1" t="str">
        <f>IFERROR(__xludf.DUMMYFUNCTION("""COMPUTED_VALUE"""),"M.Tech")</f>
        <v>M.Tech</v>
      </c>
      <c r="C234" s="1">
        <f>IFERROR(__xludf.DUMMYFUNCTION("""COMPUTED_VALUE"""),2016.0)</f>
        <v>2016</v>
      </c>
      <c r="D234" s="1" t="str">
        <f>IFERROR(__xludf.DUMMYFUNCTION("""COMPUTED_VALUE"""),"Application of Genetic Algorithm in Project Scheduling Problems")</f>
        <v>Application of Genetic Algorithm in Project Scheduling Problems</v>
      </c>
      <c r="E234" s="1"/>
    </row>
    <row r="235" ht="15.75" customHeight="1">
      <c r="A235" s="1" t="str">
        <f>IFERROR(__xludf.DUMMYFUNCTION("""COMPUTED_VALUE"""),"Shinde Nimita Rajendra")</f>
        <v>Shinde Nimita Rajendra</v>
      </c>
      <c r="B235" s="1" t="str">
        <f>IFERROR(__xludf.DUMMYFUNCTION("""COMPUTED_VALUE"""),"M.Tech")</f>
        <v>M.Tech</v>
      </c>
      <c r="C235" s="1">
        <f>IFERROR(__xludf.DUMMYFUNCTION("""COMPUTED_VALUE"""),2016.0)</f>
        <v>2016</v>
      </c>
      <c r="D235" s="1" t="str">
        <f>IFERROR(__xludf.DUMMYFUNCTION("""COMPUTED_VALUE"""),"Improved Formulations for Facility Layout Problem")</f>
        <v>Improved Formulations for Facility Layout Problem</v>
      </c>
      <c r="E235" s="1"/>
    </row>
    <row r="236" ht="15.75" customHeight="1">
      <c r="A236" s="1" t="str">
        <f>IFERROR(__xludf.DUMMYFUNCTION("""COMPUTED_VALUE"""),"Yogesh Nailwal")</f>
        <v>Yogesh Nailwal</v>
      </c>
      <c r="B236" s="1" t="str">
        <f>IFERROR(__xludf.DUMMYFUNCTION("""COMPUTED_VALUE"""),"M.Tech")</f>
        <v>M.Tech</v>
      </c>
      <c r="C236" s="1">
        <f>IFERROR(__xludf.DUMMYFUNCTION("""COMPUTED_VALUE"""),2016.0)</f>
        <v>2016</v>
      </c>
      <c r="D236" s="1" t="str">
        <f>IFERROR(__xludf.DUMMYFUNCTION("""COMPUTED_VALUE"""),"Polling Systems: Achievable Region through Priority Schedulers")</f>
        <v>Polling Systems: Achievable Region through Priority Schedulers</v>
      </c>
      <c r="E236" s="1"/>
    </row>
    <row r="237" ht="15.75" customHeight="1">
      <c r="A237" s="1" t="str">
        <f>IFERROR(__xludf.DUMMYFUNCTION("""COMPUTED_VALUE"""),"Anusuya Ghosh")</f>
        <v>Anusuya Ghosh</v>
      </c>
      <c r="B237" s="1" t="str">
        <f>IFERROR(__xludf.DUMMYFUNCTION("""COMPUTED_VALUE"""),"Ph.D")</f>
        <v>Ph.D</v>
      </c>
      <c r="C237" s="1">
        <f>IFERROR(__xludf.DUMMYFUNCTION("""COMPUTED_VALUE"""),2016.0)</f>
        <v>2016</v>
      </c>
      <c r="D237" s="1" t="str">
        <f>IFERROR(__xludf.DUMMYFUNCTION("""COMPUTED_VALUE"""),"Semidefinite Representation of Convex Sets")</f>
        <v>Semidefinite Representation of Convex Sets</v>
      </c>
      <c r="E237" s="1"/>
    </row>
    <row r="238" ht="15.75" customHeight="1">
      <c r="A238" s="1" t="str">
        <f>IFERROR(__xludf.DUMMYFUNCTION("""COMPUTED_VALUE"""),"Arul Tyagi")</f>
        <v>Arul Tyagi</v>
      </c>
      <c r="B238" s="2" t="str">
        <f>IFERROR(__xludf.DUMMYFUNCTION("""COMPUTED_VALUE"""),"M.Sc")</f>
        <v>M.Sc</v>
      </c>
      <c r="C238" s="1">
        <f>IFERROR(__xludf.DUMMYFUNCTION("""COMPUTED_VALUE"""),2015.0)</f>
        <v>2015</v>
      </c>
      <c r="D238" s="1"/>
      <c r="E238" s="1"/>
    </row>
    <row r="239" ht="15.75" customHeight="1">
      <c r="A239" s="1" t="str">
        <f>IFERROR(__xludf.DUMMYFUNCTION("""COMPUTED_VALUE"""),"Hemant Kumar Nagar")</f>
        <v>Hemant Kumar Nagar</v>
      </c>
      <c r="B239" s="2" t="str">
        <f>IFERROR(__xludf.DUMMYFUNCTION("""COMPUTED_VALUE"""),"M.Sc")</f>
        <v>M.Sc</v>
      </c>
      <c r="C239" s="1">
        <f>IFERROR(__xludf.DUMMYFUNCTION("""COMPUTED_VALUE"""),2015.0)</f>
        <v>2015</v>
      </c>
      <c r="D239" s="1"/>
      <c r="E239" s="1"/>
    </row>
    <row r="240" ht="15.75" customHeight="1">
      <c r="A240" s="1" t="str">
        <f>IFERROR(__xludf.DUMMYFUNCTION("""COMPUTED_VALUE"""),"Sukanta Halder")</f>
        <v>Sukanta Halder</v>
      </c>
      <c r="B240" s="2" t="str">
        <f>IFERROR(__xludf.DUMMYFUNCTION("""COMPUTED_VALUE"""),"M.Sc")</f>
        <v>M.Sc</v>
      </c>
      <c r="C240" s="1">
        <f>IFERROR(__xludf.DUMMYFUNCTION("""COMPUTED_VALUE"""),2015.0)</f>
        <v>2015</v>
      </c>
      <c r="D240" s="1"/>
      <c r="E240" s="1"/>
    </row>
    <row r="241" ht="15.75" customHeight="1">
      <c r="A241" s="1" t="str">
        <f>IFERROR(__xludf.DUMMYFUNCTION("""COMPUTED_VALUE"""),"Vijay Kaushal")</f>
        <v>Vijay Kaushal</v>
      </c>
      <c r="B241" s="2" t="str">
        <f>IFERROR(__xludf.DUMMYFUNCTION("""COMPUTED_VALUE"""),"M.Sc")</f>
        <v>M.Sc</v>
      </c>
      <c r="C241" s="1">
        <f>IFERROR(__xludf.DUMMYFUNCTION("""COMPUTED_VALUE"""),2015.0)</f>
        <v>2015</v>
      </c>
      <c r="D241" s="1"/>
      <c r="E241" s="1"/>
    </row>
    <row r="242" ht="15.75" customHeight="1">
      <c r="A242" s="1" t="str">
        <f>IFERROR(__xludf.DUMMYFUNCTION("""COMPUTED_VALUE"""),"Anupam Tripathi")</f>
        <v>Anupam Tripathi</v>
      </c>
      <c r="B242" s="1" t="str">
        <f>IFERROR(__xludf.DUMMYFUNCTION("""COMPUTED_VALUE"""),"M.Tech")</f>
        <v>M.Tech</v>
      </c>
      <c r="C242" s="1">
        <f>IFERROR(__xludf.DUMMYFUNCTION("""COMPUTED_VALUE"""),2015.0)</f>
        <v>2015</v>
      </c>
      <c r="D242" s="1" t="str">
        <f>IFERROR(__xludf.DUMMYFUNCTION("""COMPUTED_VALUE"""),"An Investigative Study on Supply Chain of a Multinational Packaging Company")</f>
        <v>An Investigative Study on Supply Chain of a Multinational Packaging Company</v>
      </c>
      <c r="E242" s="1"/>
    </row>
    <row r="243" ht="15.75" customHeight="1">
      <c r="A243" s="1" t="str">
        <f>IFERROR(__xludf.DUMMYFUNCTION("""COMPUTED_VALUE"""),"Gundabathula Sai Muni Teja")</f>
        <v>Gundabathula Sai Muni Teja</v>
      </c>
      <c r="B243" s="1" t="str">
        <f>IFERROR(__xludf.DUMMYFUNCTION("""COMPUTED_VALUE"""),"M.Tech")</f>
        <v>M.Tech</v>
      </c>
      <c r="C243" s="1">
        <f>IFERROR(__xludf.DUMMYFUNCTION("""COMPUTED_VALUE"""),2015.0)</f>
        <v>2015</v>
      </c>
      <c r="D243" s="1" t="str">
        <f>IFERROR(__xludf.DUMMYFUNCTION("""COMPUTED_VALUE"""),"Fleet management in rail transport: Coal rakes in Indian Railways")</f>
        <v>Fleet management in rail transport: Coal rakes in Indian Railways</v>
      </c>
      <c r="E243" s="1"/>
    </row>
    <row r="244" ht="15.75" customHeight="1">
      <c r="A244" s="1" t="str">
        <f>IFERROR(__xludf.DUMMYFUNCTION("""COMPUTED_VALUE"""),"Jagdeep Nautiyal")</f>
        <v>Jagdeep Nautiyal</v>
      </c>
      <c r="B244" s="1" t="str">
        <f>IFERROR(__xludf.DUMMYFUNCTION("""COMPUTED_VALUE"""),"M.Tech")</f>
        <v>M.Tech</v>
      </c>
      <c r="C244" s="1">
        <f>IFERROR(__xludf.DUMMYFUNCTION("""COMPUTED_VALUE"""),2015.0)</f>
        <v>2015</v>
      </c>
      <c r="D244" s="1" t="str">
        <f>IFERROR(__xludf.DUMMYFUNCTION("""COMPUTED_VALUE"""),"Maintenance management and roadmap to TPM implementation: A real life case 
study")</f>
        <v>Maintenance management and roadmap to TPM implementation: A real life case 
study</v>
      </c>
      <c r="E244" s="1"/>
    </row>
    <row r="245" ht="15.75" customHeight="1">
      <c r="A245" s="1" t="str">
        <f>IFERROR(__xludf.DUMMYFUNCTION("""COMPUTED_VALUE"""),"Jyoti Swarup Aluri")</f>
        <v>Jyoti Swarup Aluri</v>
      </c>
      <c r="B245" s="1" t="str">
        <f>IFERROR(__xludf.DUMMYFUNCTION("""COMPUTED_VALUE"""),"M.Tech")</f>
        <v>M.Tech</v>
      </c>
      <c r="C245" s="1">
        <f>IFERROR(__xludf.DUMMYFUNCTION("""COMPUTED_VALUE"""),2015.0)</f>
        <v>2015</v>
      </c>
      <c r="D245" s="1" t="str">
        <f>IFERROR(__xludf.DUMMYFUNCTION("""COMPUTED_VALUE"""),"Scheduling of Railway Track Maintenance Operations")</f>
        <v>Scheduling of Railway Track Maintenance Operations</v>
      </c>
      <c r="E245" s="1"/>
    </row>
    <row r="246" ht="15.75" customHeight="1">
      <c r="A246" s="1" t="str">
        <f>IFERROR(__xludf.DUMMYFUNCTION("""COMPUTED_VALUE"""),"Karanvir")</f>
        <v>Karanvir</v>
      </c>
      <c r="B246" s="1" t="str">
        <f>IFERROR(__xludf.DUMMYFUNCTION("""COMPUTED_VALUE"""),"M.Tech")</f>
        <v>M.Tech</v>
      </c>
      <c r="C246" s="1">
        <f>IFERROR(__xludf.DUMMYFUNCTION("""COMPUTED_VALUE"""),2015.0)</f>
        <v>2015</v>
      </c>
      <c r="D246" s="1" t="str">
        <f>IFERROR(__xludf.DUMMYFUNCTION("""COMPUTED_VALUE"""),"A study on Applications of Data Analytics")</f>
        <v>A study on Applications of Data Analytics</v>
      </c>
      <c r="E246" s="1"/>
    </row>
    <row r="247" ht="15.75" customHeight="1">
      <c r="A247" s="1" t="str">
        <f>IFERROR(__xludf.DUMMYFUNCTION("""COMPUTED_VALUE"""),"Naveed Farhan K")</f>
        <v>Naveed Farhan K</v>
      </c>
      <c r="B247" s="1" t="str">
        <f>IFERROR(__xludf.DUMMYFUNCTION("""COMPUTED_VALUE"""),"M.Tech")</f>
        <v>M.Tech</v>
      </c>
      <c r="C247" s="1">
        <f>IFERROR(__xludf.DUMMYFUNCTION("""COMPUTED_VALUE"""),2015.0)</f>
        <v>2015</v>
      </c>
      <c r="D247" s="1" t="str">
        <f>IFERROR(__xludf.DUMMYFUNCTION("""COMPUTED_VALUE"""),"Selection of Representative Configurations in Highly Customized Automobiles 
by Large Scale Optimization")</f>
        <v>Selection of Representative Configurations in Highly Customized Automobiles 
by Large Scale Optimization</v>
      </c>
      <c r="E247" s="1"/>
    </row>
    <row r="248" ht="15.75" customHeight="1">
      <c r="A248" s="1" t="str">
        <f>IFERROR(__xludf.DUMMYFUNCTION("""COMPUTED_VALUE"""),"Padmaja Thatoi")</f>
        <v>Padmaja Thatoi</v>
      </c>
      <c r="B248" s="1" t="str">
        <f>IFERROR(__xludf.DUMMYFUNCTION("""COMPUTED_VALUE"""),"M.Tech")</f>
        <v>M.Tech</v>
      </c>
      <c r="C248" s="1">
        <f>IFERROR(__xludf.DUMMYFUNCTION("""COMPUTED_VALUE"""),2015.0)</f>
        <v>2015</v>
      </c>
      <c r="D248" s="1" t="str">
        <f>IFERROR(__xludf.DUMMYFUNCTION("""COMPUTED_VALUE"""),"Application of Genetic Algorithms in Vehicle Routing Problems")</f>
        <v>Application of Genetic Algorithms in Vehicle Routing Problems</v>
      </c>
      <c r="E248" s="1"/>
    </row>
    <row r="249" ht="15.75" customHeight="1">
      <c r="A249" s="1" t="str">
        <f>IFERROR(__xludf.DUMMYFUNCTION("""COMPUTED_VALUE"""),"Prathamesh Pramod Mayekar")</f>
        <v>Prathamesh Pramod Mayekar</v>
      </c>
      <c r="B249" s="1" t="str">
        <f>IFERROR(__xludf.DUMMYFUNCTION("""COMPUTED_VALUE"""),"M.Tech")</f>
        <v>M.Tech</v>
      </c>
      <c r="C249" s="1">
        <f>IFERROR(__xludf.DUMMYFUNCTION("""COMPUTED_VALUE"""),2015.0)</f>
        <v>2015</v>
      </c>
      <c r="D249" s="1" t="str">
        <f>IFERROR(__xludf.DUMMYFUNCTION("""COMPUTED_VALUE"""),"Multi-armed bandit approach to dynamic pricing")</f>
        <v>Multi-armed bandit approach to dynamic pricing</v>
      </c>
      <c r="E249" s="1"/>
    </row>
    <row r="250" ht="15.75" customHeight="1">
      <c r="A250" s="1" t="str">
        <f>IFERROR(__xludf.DUMMYFUNCTION("""COMPUTED_VALUE"""),"Priya Dubey")</f>
        <v>Priya Dubey</v>
      </c>
      <c r="B250" s="1" t="str">
        <f>IFERROR(__xludf.DUMMYFUNCTION("""COMPUTED_VALUE"""),"M.Tech")</f>
        <v>M.Tech</v>
      </c>
      <c r="C250" s="1">
        <f>IFERROR(__xludf.DUMMYFUNCTION("""COMPUTED_VALUE"""),2015.0)</f>
        <v>2015</v>
      </c>
      <c r="D250" s="1" t="str">
        <f>IFERROR(__xludf.DUMMYFUNCTION("""COMPUTED_VALUE"""),"Strategic Approach for Matching Supply and Demand")</f>
        <v>Strategic Approach for Matching Supply and Demand</v>
      </c>
      <c r="E250" s="1"/>
    </row>
    <row r="251" ht="15.75" customHeight="1">
      <c r="A251" s="1" t="str">
        <f>IFERROR(__xludf.DUMMYFUNCTION("""COMPUTED_VALUE"""),"Pusatkar Sanket Gopalrao")</f>
        <v>Pusatkar Sanket Gopalrao</v>
      </c>
      <c r="B251" s="1" t="str">
        <f>IFERROR(__xludf.DUMMYFUNCTION("""COMPUTED_VALUE"""),"M.Tech")</f>
        <v>M.Tech</v>
      </c>
      <c r="C251" s="1">
        <f>IFERROR(__xludf.DUMMYFUNCTION("""COMPUTED_VALUE"""),2015.0)</f>
        <v>2015</v>
      </c>
      <c r="D251" s="1" t="str">
        <f>IFERROR(__xludf.DUMMYFUNCTION("""COMPUTED_VALUE"""),"Stochastic Modelling of Algorithmic Trading")</f>
        <v>Stochastic Modelling of Algorithmic Trading</v>
      </c>
      <c r="E251" s="1"/>
    </row>
    <row r="252" ht="15.75" customHeight="1">
      <c r="A252" s="1" t="str">
        <f>IFERROR(__xludf.DUMMYFUNCTION("""COMPUTED_VALUE"""),"Rahul Kishor M")</f>
        <v>Rahul Kishor M</v>
      </c>
      <c r="B252" s="1" t="str">
        <f>IFERROR(__xludf.DUMMYFUNCTION("""COMPUTED_VALUE"""),"M.Tech")</f>
        <v>M.Tech</v>
      </c>
      <c r="C252" s="1">
        <f>IFERROR(__xludf.DUMMYFUNCTION("""COMPUTED_VALUE"""),2015.0)</f>
        <v>2015</v>
      </c>
      <c r="D252" s="1" t="str">
        <f>IFERROR(__xludf.DUMMYFUNCTION("""COMPUTED_VALUE"""),"Simulation Based Study of Spatial Queueing Systems")</f>
        <v>Simulation Based Study of Spatial Queueing Systems</v>
      </c>
      <c r="E252" s="1"/>
    </row>
    <row r="253" ht="15.75" customHeight="1">
      <c r="A253" s="1" t="str">
        <f>IFERROR(__xludf.DUMMYFUNCTION("""COMPUTED_VALUE"""),"Shamsher Singh")</f>
        <v>Shamsher Singh</v>
      </c>
      <c r="B253" s="1" t="str">
        <f>IFERROR(__xludf.DUMMYFUNCTION("""COMPUTED_VALUE"""),"M.Tech")</f>
        <v>M.Tech</v>
      </c>
      <c r="C253" s="1">
        <f>IFERROR(__xludf.DUMMYFUNCTION("""COMPUTED_VALUE"""),2015.0)</f>
        <v>2015</v>
      </c>
      <c r="D253" s="1" t="str">
        <f>IFERROR(__xludf.DUMMYFUNCTION("""COMPUTED_VALUE"""),"Deterministic Freight Train Scheduling for General Railway Network")</f>
        <v>Deterministic Freight Train Scheduling for General Railway Network</v>
      </c>
      <c r="E253" s="1"/>
    </row>
    <row r="254" ht="15.75" customHeight="1">
      <c r="A254" s="1" t="str">
        <f>IFERROR(__xludf.DUMMYFUNCTION("""COMPUTED_VALUE"""),"Shashank Shrivastava")</f>
        <v>Shashank Shrivastava</v>
      </c>
      <c r="B254" s="1" t="str">
        <f>IFERROR(__xludf.DUMMYFUNCTION("""COMPUTED_VALUE"""),"M.Tech")</f>
        <v>M.Tech</v>
      </c>
      <c r="C254" s="1">
        <f>IFERROR(__xludf.DUMMYFUNCTION("""COMPUTED_VALUE"""),2015.0)</f>
        <v>2015</v>
      </c>
      <c r="D254" s="1" t="str">
        <f>IFERROR(__xludf.DUMMYFUNCTION("""COMPUTED_VALUE"""),"Rerouting and Re-timetabling of trains through a railway station")</f>
        <v>Rerouting and Re-timetabling of trains through a railway station</v>
      </c>
      <c r="E254" s="1"/>
    </row>
    <row r="255" ht="15.75" customHeight="1">
      <c r="A255" s="1" t="str">
        <f>IFERROR(__xludf.DUMMYFUNCTION("""COMPUTED_VALUE"""),"Shilpi Bhargava")</f>
        <v>Shilpi Bhargava</v>
      </c>
      <c r="B255" s="1" t="str">
        <f>IFERROR(__xludf.DUMMYFUNCTION("""COMPUTED_VALUE"""),"M.Tech")</f>
        <v>M.Tech</v>
      </c>
      <c r="C255" s="1">
        <f>IFERROR(__xludf.DUMMYFUNCTION("""COMPUTED_VALUE"""),2015.0)</f>
        <v>2015</v>
      </c>
      <c r="D255" s="1" t="str">
        <f>IFERROR(__xludf.DUMMYFUNCTION("""COMPUTED_VALUE"""),"Passenger Demand Forecasting and Dynamic Pricing to support")</f>
        <v>Passenger Demand Forecasting and Dynamic Pricing to support</v>
      </c>
      <c r="E255" s="1"/>
    </row>
    <row r="256" ht="15.75" customHeight="1">
      <c r="A256" s="1" t="str">
        <f>IFERROR(__xludf.DUMMYFUNCTION("""COMPUTED_VALUE"""),"Shiva Shukla")</f>
        <v>Shiva Shukla</v>
      </c>
      <c r="B256" s="1" t="str">
        <f>IFERROR(__xludf.DUMMYFUNCTION("""COMPUTED_VALUE"""),"M.Tech")</f>
        <v>M.Tech</v>
      </c>
      <c r="C256" s="1">
        <f>IFERROR(__xludf.DUMMYFUNCTION("""COMPUTED_VALUE"""),2015.0)</f>
        <v>2015</v>
      </c>
      <c r="D256" s="1" t="str">
        <f>IFERROR(__xludf.DUMMYFUNCTION("""COMPUTED_VALUE"""),"Application of Ant System Algorithms in Vehicle Routing Problems")</f>
        <v>Application of Ant System Algorithms in Vehicle Routing Problems</v>
      </c>
      <c r="E256" s="1"/>
    </row>
    <row r="257" ht="15.75" customHeight="1">
      <c r="A257" s="1" t="str">
        <f>IFERROR(__xludf.DUMMYFUNCTION("""COMPUTED_VALUE"""),"Swapnil Shankar Renushe")</f>
        <v>Swapnil Shankar Renushe</v>
      </c>
      <c r="B257" s="1" t="str">
        <f>IFERROR(__xludf.DUMMYFUNCTION("""COMPUTED_VALUE"""),"M.Tech")</f>
        <v>M.Tech</v>
      </c>
      <c r="C257" s="1">
        <f>IFERROR(__xludf.DUMMYFUNCTION("""COMPUTED_VALUE"""),2015.0)</f>
        <v>2015</v>
      </c>
      <c r="D257" s="1" t="str">
        <f>IFERROR(__xludf.DUMMYFUNCTION("""COMPUTED_VALUE"""),"Application of Data Driven Approaches to Newsvendor Problem")</f>
        <v>Application of Data Driven Approaches to Newsvendor Problem</v>
      </c>
      <c r="E257" s="1"/>
    </row>
    <row r="258" ht="15.75" customHeight="1">
      <c r="A258" s="1" t="str">
        <f>IFERROR(__xludf.DUMMYFUNCTION("""COMPUTED_VALUE"""),"Tushar K Satish")</f>
        <v>Tushar K Satish</v>
      </c>
      <c r="B258" s="1" t="str">
        <f>IFERROR(__xludf.DUMMYFUNCTION("""COMPUTED_VALUE"""),"M.Tech")</f>
        <v>M.Tech</v>
      </c>
      <c r="C258" s="1">
        <f>IFERROR(__xludf.DUMMYFUNCTION("""COMPUTED_VALUE"""),2015.0)</f>
        <v>2015</v>
      </c>
      <c r="D258" s="1" t="str">
        <f>IFERROR(__xludf.DUMMYFUNCTION("""COMPUTED_VALUE"""),"Firm Market Equilibrium in Network Systems with Two Interacting Parameters")</f>
        <v>Firm Market Equilibrium in Network Systems with Two Interacting Parameters</v>
      </c>
      <c r="E258" s="1"/>
    </row>
    <row r="259" ht="15.75" customHeight="1">
      <c r="A259" s="1" t="str">
        <f>IFERROR(__xludf.DUMMYFUNCTION("""COMPUTED_VALUE"""),"Vadakoott Jithin Ravindran")</f>
        <v>Vadakoott Jithin Ravindran</v>
      </c>
      <c r="B259" s="1" t="str">
        <f>IFERROR(__xludf.DUMMYFUNCTION("""COMPUTED_VALUE"""),"M.Tech")</f>
        <v>M.Tech</v>
      </c>
      <c r="C259" s="1">
        <f>IFERROR(__xludf.DUMMYFUNCTION("""COMPUTED_VALUE"""),2015.0)</f>
        <v>2015</v>
      </c>
      <c r="D259" s="1" t="str">
        <f>IFERROR(__xludf.DUMMYFUNCTION("""COMPUTED_VALUE"""),"Modelling and Analysis of Lost Sales and Out-of-Stock in a Retail Chain")</f>
        <v>Modelling and Analysis of Lost Sales and Out-of-Stock in a Retail Chain</v>
      </c>
      <c r="E259" s="1"/>
    </row>
    <row r="260" ht="15.75" customHeight="1">
      <c r="A260" s="1" t="str">
        <f>IFERROR(__xludf.DUMMYFUNCTION("""COMPUTED_VALUE"""),"Goutam Sen")</f>
        <v>Goutam Sen</v>
      </c>
      <c r="B260" s="1" t="str">
        <f>IFERROR(__xludf.DUMMYFUNCTION("""COMPUTED_VALUE"""),"Ph.D")</f>
        <v>Ph.D</v>
      </c>
      <c r="C260" s="1">
        <f>IFERROR(__xludf.DUMMYFUNCTION("""COMPUTED_VALUE"""),2015.0)</f>
        <v>2015</v>
      </c>
      <c r="D260" s="1" t="str">
        <f>IFERROR(__xludf.DUMMYFUNCTION("""COMPUTED_VALUE"""),"Models and Algorithms for Static Data Segment Location in Information 
Networks")</f>
        <v>Models and Algorithms for Static Data Segment Location in Information 
Networks</v>
      </c>
      <c r="E260" s="1"/>
    </row>
    <row r="261" ht="15.75" customHeight="1">
      <c r="A261" s="1" t="str">
        <f>IFERROR(__xludf.DUMMYFUNCTION("""COMPUTED_VALUE"""),"K. Sunil Kumar")</f>
        <v>K. Sunil Kumar</v>
      </c>
      <c r="B261" s="1" t="str">
        <f>IFERROR(__xludf.DUMMYFUNCTION("""COMPUTED_VALUE"""),"Ph.D")</f>
        <v>Ph.D</v>
      </c>
      <c r="C261" s="1">
        <f>IFERROR(__xludf.DUMMYFUNCTION("""COMPUTED_VALUE"""),2015.0)</f>
        <v>2015</v>
      </c>
      <c r="D261" s="1" t="str">
        <f>IFERROR(__xludf.DUMMYFUNCTION("""COMPUTED_VALUE"""),"APPLICATIONS OF SELECT APPROACHES FOR MANAGING SUPPLY CHAINS RELEVANT TO 
RURAL AREAS")</f>
        <v>APPLICATIONS OF SELECT APPROACHES FOR MANAGING SUPPLY CHAINS RELEVANT TO 
RURAL AREAS</v>
      </c>
      <c r="E261" s="1"/>
    </row>
    <row r="262" ht="15.75" customHeight="1">
      <c r="A262" s="1" t="str">
        <f>IFERROR(__xludf.DUMMYFUNCTION("""COMPUTED_VALUE"""),"Ketki Kulkarni")</f>
        <v>Ketki Kulkarni</v>
      </c>
      <c r="B262" s="1" t="str">
        <f>IFERROR(__xludf.DUMMYFUNCTION("""COMPUTED_VALUE"""),"Ph.D")</f>
        <v>Ph.D</v>
      </c>
      <c r="C262" s="1">
        <f>IFERROR(__xludf.DUMMYFUNCTION("""COMPUTED_VALUE"""),2015.0)</f>
        <v>2015</v>
      </c>
      <c r="D262" s="1" t="str">
        <f>IFERROR(__xludf.DUMMYFUNCTION("""COMPUTED_VALUE"""),"Hybrid Simulation and Optimization Approaches to the Job Shop Scheduling 
Problem")</f>
        <v>Hybrid Simulation and Optimization Approaches to the Job Shop Scheduling 
Problem</v>
      </c>
      <c r="E262" s="1"/>
    </row>
    <row r="263" ht="15.75" customHeight="1">
      <c r="A263" s="1" t="str">
        <f>IFERROR(__xludf.DUMMYFUNCTION("""COMPUTED_VALUE"""),"Malve Shriram Dadasaheb")</f>
        <v>Malve Shriram Dadasaheb</v>
      </c>
      <c r="B263" s="2" t="str">
        <f>IFERROR(__xludf.DUMMYFUNCTION("""COMPUTED_VALUE"""),"M.Sc")</f>
        <v>M.Sc</v>
      </c>
      <c r="C263" s="1">
        <f>IFERROR(__xludf.DUMMYFUNCTION("""COMPUTED_VALUE"""),2014.0)</f>
        <v>2014</v>
      </c>
      <c r="D263" s="1"/>
      <c r="E263" s="1"/>
    </row>
    <row r="264" ht="15.75" customHeight="1">
      <c r="A264" s="1" t="str">
        <f>IFERROR(__xludf.DUMMYFUNCTION("""COMPUTED_VALUE"""),"Nand Jee")</f>
        <v>Nand Jee</v>
      </c>
      <c r="B264" s="2" t="str">
        <f>IFERROR(__xludf.DUMMYFUNCTION("""COMPUTED_VALUE"""),"M.Sc")</f>
        <v>M.Sc</v>
      </c>
      <c r="C264" s="1">
        <f>IFERROR(__xludf.DUMMYFUNCTION("""COMPUTED_VALUE"""),2014.0)</f>
        <v>2014</v>
      </c>
      <c r="D264" s="1"/>
      <c r="E264" s="1"/>
    </row>
    <row r="265" ht="15.75" customHeight="1">
      <c r="A265" s="1" t="str">
        <f>IFERROR(__xludf.DUMMYFUNCTION("""COMPUTED_VALUE"""),"Raju Prajapati")</f>
        <v>Raju Prajapati</v>
      </c>
      <c r="B265" s="2" t="str">
        <f>IFERROR(__xludf.DUMMYFUNCTION("""COMPUTED_VALUE"""),"M.Sc")</f>
        <v>M.Sc</v>
      </c>
      <c r="C265" s="1">
        <f>IFERROR(__xludf.DUMMYFUNCTION("""COMPUTED_VALUE"""),2014.0)</f>
        <v>2014</v>
      </c>
      <c r="D265" s="1"/>
      <c r="E265" s="1"/>
    </row>
    <row r="266" ht="15.75" customHeight="1">
      <c r="A266" s="1" t="str">
        <f>IFERROR(__xludf.DUMMYFUNCTION("""COMPUTED_VALUE"""),"Ram Nivas")</f>
        <v>Ram Nivas</v>
      </c>
      <c r="B266" s="2" t="str">
        <f>IFERROR(__xludf.DUMMYFUNCTION("""COMPUTED_VALUE"""),"M.Sc")</f>
        <v>M.Sc</v>
      </c>
      <c r="C266" s="1">
        <f>IFERROR(__xludf.DUMMYFUNCTION("""COMPUTED_VALUE"""),2014.0)</f>
        <v>2014</v>
      </c>
      <c r="D266" s="1"/>
      <c r="E266" s="1"/>
    </row>
    <row r="267" ht="15.75" customHeight="1">
      <c r="A267" s="1" t="str">
        <f>IFERROR(__xludf.DUMMYFUNCTION("""COMPUTED_VALUE"""),"Suraj Trivedi")</f>
        <v>Suraj Trivedi</v>
      </c>
      <c r="B267" s="2" t="str">
        <f>IFERROR(__xludf.DUMMYFUNCTION("""COMPUTED_VALUE"""),"M.Sc")</f>
        <v>M.Sc</v>
      </c>
      <c r="C267" s="1">
        <f>IFERROR(__xludf.DUMMYFUNCTION("""COMPUTED_VALUE"""),2014.0)</f>
        <v>2014</v>
      </c>
      <c r="D267" s="1"/>
      <c r="E267" s="1"/>
    </row>
    <row r="268" ht="15.75" customHeight="1">
      <c r="A268" s="1" t="str">
        <f>IFERROR(__xludf.DUMMYFUNCTION("""COMPUTED_VALUE"""),"AKASH GUPTA")</f>
        <v>AKASH GUPTA</v>
      </c>
      <c r="B268" s="1" t="str">
        <f>IFERROR(__xludf.DUMMYFUNCTION("""COMPUTED_VALUE"""),"M.Tech")</f>
        <v>M.Tech</v>
      </c>
      <c r="C268" s="1">
        <f>IFERROR(__xludf.DUMMYFUNCTION("""COMPUTED_VALUE"""),2014.0)</f>
        <v>2014</v>
      </c>
      <c r="D268" s="1" t="str">
        <f>IFERROR(__xludf.DUMMYFUNCTION("""COMPUTED_VALUE"""),"Exploring Branch-and-Bound Algorithm")</f>
        <v>Exploring Branch-and-Bound Algorithm</v>
      </c>
      <c r="E268" s="1"/>
    </row>
    <row r="269" ht="15.75" customHeight="1">
      <c r="A269" s="1" t="str">
        <f>IFERROR(__xludf.DUMMYFUNCTION("""COMPUTED_VALUE"""),"Ayush Rawal")</f>
        <v>Ayush Rawal</v>
      </c>
      <c r="B269" s="1" t="str">
        <f>IFERROR(__xludf.DUMMYFUNCTION("""COMPUTED_VALUE"""),"M.Tech")</f>
        <v>M.Tech</v>
      </c>
      <c r="C269" s="1">
        <f>IFERROR(__xludf.DUMMYFUNCTION("""COMPUTED_VALUE"""),2014.0)</f>
        <v>2014</v>
      </c>
      <c r="D269" s="1" t="str">
        <f>IFERROR(__xludf.DUMMYFUNCTION("""COMPUTED_VALUE"""),"Optimal Surplus Capacity Utilization in Polling Systems via Fluid Models")</f>
        <v>Optimal Surplus Capacity Utilization in Polling Systems via Fluid Models</v>
      </c>
      <c r="E269" s="1"/>
    </row>
    <row r="270" ht="15.75" customHeight="1">
      <c r="A270" s="1" t="str">
        <f>IFERROR(__xludf.DUMMYFUNCTION("""COMPUTED_VALUE"""),"BHAVSAR SHRIKANT SANJAY")</f>
        <v>BHAVSAR SHRIKANT SANJAY</v>
      </c>
      <c r="B270" s="1" t="str">
        <f>IFERROR(__xludf.DUMMYFUNCTION("""COMPUTED_VALUE"""),"M.Tech")</f>
        <v>M.Tech</v>
      </c>
      <c r="C270" s="1">
        <f>IFERROR(__xludf.DUMMYFUNCTION("""COMPUTED_VALUE"""),2014.0)</f>
        <v>2014</v>
      </c>
      <c r="D270" s="1" t="str">
        <f>IFERROR(__xludf.DUMMYFUNCTION("""COMPUTED_VALUE"""),"Some Recent Applications of Genetic Algorithms in Supply Chain Scheduling")</f>
        <v>Some Recent Applications of Genetic Algorithms in Supply Chain Scheduling</v>
      </c>
      <c r="E270" s="1"/>
    </row>
    <row r="271" ht="15.75" customHeight="1">
      <c r="A271" s="1" t="str">
        <f>IFERROR(__xludf.DUMMYFUNCTION("""COMPUTED_VALUE"""),"GUNJAN KUMAR SIKHERIA")</f>
        <v>GUNJAN KUMAR SIKHERIA</v>
      </c>
      <c r="B271" s="1" t="str">
        <f>IFERROR(__xludf.DUMMYFUNCTION("""COMPUTED_VALUE"""),"M.Tech")</f>
        <v>M.Tech</v>
      </c>
      <c r="C271" s="1">
        <f>IFERROR(__xludf.DUMMYFUNCTION("""COMPUTED_VALUE"""),2014.0)</f>
        <v>2014</v>
      </c>
      <c r="D271" s="1" t="str">
        <f>IFERROR(__xludf.DUMMYFUNCTION("""COMPUTED_VALUE"""),"Simulation based failure analysis of auxiliary warning system")</f>
        <v>Simulation based failure analysis of auxiliary warning system</v>
      </c>
      <c r="E271" s="1"/>
    </row>
    <row r="272" ht="15.75" customHeight="1">
      <c r="A272" s="1" t="str">
        <f>IFERROR(__xludf.DUMMYFUNCTION("""COMPUTED_VALUE"""),"J Manish Punjabi")</f>
        <v>J Manish Punjabi</v>
      </c>
      <c r="B272" s="1" t="str">
        <f>IFERROR(__xludf.DUMMYFUNCTION("""COMPUTED_VALUE"""),"M.Tech")</f>
        <v>M.Tech</v>
      </c>
      <c r="C272" s="1">
        <f>IFERROR(__xludf.DUMMYFUNCTION("""COMPUTED_VALUE"""),2014.0)</f>
        <v>2014</v>
      </c>
      <c r="D272" s="1" t="str">
        <f>IFERROR(__xludf.DUMMYFUNCTION("""COMPUTED_VALUE"""),"Portfolio Optimization with Application to Electricity Markets")</f>
        <v>Portfolio Optimization with Application to Electricity Markets</v>
      </c>
      <c r="E272" s="1"/>
    </row>
    <row r="273" ht="15.75" customHeight="1">
      <c r="A273" s="1" t="str">
        <f>IFERROR(__xludf.DUMMYFUNCTION("""COMPUTED_VALUE"""),"Joydip Ghosh")</f>
        <v>Joydip Ghosh</v>
      </c>
      <c r="B273" s="1" t="str">
        <f>IFERROR(__xludf.DUMMYFUNCTION("""COMPUTED_VALUE"""),"M.Tech")</f>
        <v>M.Tech</v>
      </c>
      <c r="C273" s="1">
        <f>IFERROR(__xludf.DUMMYFUNCTION("""COMPUTED_VALUE"""),2014.0)</f>
        <v>2014</v>
      </c>
      <c r="D273" s="1" t="str">
        <f>IFERROR(__xludf.DUMMYFUNCTION("""COMPUTED_VALUE"""),"Cointegration in Time Series analysis")</f>
        <v>Cointegration in Time Series analysis</v>
      </c>
      <c r="E273" s="1"/>
    </row>
    <row r="274" ht="15.75" customHeight="1">
      <c r="A274" s="1" t="str">
        <f>IFERROR(__xludf.DUMMYFUNCTION("""COMPUTED_VALUE"""),"KAUSHAL JAISAR")</f>
        <v>KAUSHAL JAISAR</v>
      </c>
      <c r="B274" s="1" t="str">
        <f>IFERROR(__xludf.DUMMYFUNCTION("""COMPUTED_VALUE"""),"M.Tech")</f>
        <v>M.Tech</v>
      </c>
      <c r="C274" s="1">
        <f>IFERROR(__xludf.DUMMYFUNCTION("""COMPUTED_VALUE"""),2014.0)</f>
        <v>2014</v>
      </c>
      <c r="D274" s="1" t="str">
        <f>IFERROR(__xludf.DUMMYFUNCTION("""COMPUTED_VALUE"""),"Revenue Sharing Games In Supply Chain")</f>
        <v>Revenue Sharing Games In Supply Chain</v>
      </c>
      <c r="E274" s="1"/>
    </row>
    <row r="275" ht="15.75" customHeight="1">
      <c r="A275" s="1" t="str">
        <f>IFERROR(__xludf.DUMMYFUNCTION("""COMPUTED_VALUE"""),"LAKSHYA SUKHWAL")</f>
        <v>LAKSHYA SUKHWAL</v>
      </c>
      <c r="B275" s="1" t="str">
        <f>IFERROR(__xludf.DUMMYFUNCTION("""COMPUTED_VALUE"""),"M.Tech")</f>
        <v>M.Tech</v>
      </c>
      <c r="C275" s="1">
        <f>IFERROR(__xludf.DUMMYFUNCTION("""COMPUTED_VALUE"""),2014.0)</f>
        <v>2014</v>
      </c>
      <c r="D275" s="1" t="str">
        <f>IFERROR(__xludf.DUMMYFUNCTION("""COMPUTED_VALUE"""),"A STUDY ON A CLASS OF PROBLEMS IN RETAIL STORES")</f>
        <v>A STUDY ON A CLASS OF PROBLEMS IN RETAIL STORES</v>
      </c>
      <c r="E275" s="1"/>
    </row>
    <row r="276" ht="15.75" customHeight="1">
      <c r="A276" s="1" t="str">
        <f>IFERROR(__xludf.DUMMYFUNCTION("""COMPUTED_VALUE"""),"Malpure Harshal Sadanand")</f>
        <v>Malpure Harshal Sadanand</v>
      </c>
      <c r="B276" s="1" t="str">
        <f>IFERROR(__xludf.DUMMYFUNCTION("""COMPUTED_VALUE"""),"M.Tech")</f>
        <v>M.Tech</v>
      </c>
      <c r="C276" s="1">
        <f>IFERROR(__xludf.DUMMYFUNCTION("""COMPUTED_VALUE"""),2014.0)</f>
        <v>2014</v>
      </c>
      <c r="D276" s="1" t="str">
        <f>IFERROR(__xludf.DUMMYFUNCTION("""COMPUTED_VALUE"""),"MULTI RESOURCE MULTI MODE MULTI PROJECT SCHEDULING")</f>
        <v>MULTI RESOURCE MULTI MODE MULTI PROJECT SCHEDULING</v>
      </c>
      <c r="E276" s="1"/>
    </row>
    <row r="277" ht="15.75" customHeight="1">
      <c r="A277" s="1" t="str">
        <f>IFERROR(__xludf.DUMMYFUNCTION("""COMPUTED_VALUE"""),"Mohd Kashif Siddiqui")</f>
        <v>Mohd Kashif Siddiqui</v>
      </c>
      <c r="B277" s="1" t="str">
        <f>IFERROR(__xludf.DUMMYFUNCTION("""COMPUTED_VALUE"""),"M.Tech")</f>
        <v>M.Tech</v>
      </c>
      <c r="C277" s="1">
        <f>IFERROR(__xludf.DUMMYFUNCTION("""COMPUTED_VALUE"""),2014.0)</f>
        <v>2014</v>
      </c>
      <c r="D277" s="1" t="str">
        <f>IFERROR(__xludf.DUMMYFUNCTION("""COMPUTED_VALUE"""),"A STUDY ON SHELF SPACE ALLOCATION IN RETAIL STORES")</f>
        <v>A STUDY ON SHELF SPACE ALLOCATION IN RETAIL STORES</v>
      </c>
      <c r="E277" s="1"/>
    </row>
    <row r="278" ht="15.75" customHeight="1">
      <c r="A278" s="1" t="str">
        <f>IFERROR(__xludf.DUMMYFUNCTION("""COMPUTED_VALUE"""),"NACHIKET PAL")</f>
        <v>NACHIKET PAL</v>
      </c>
      <c r="B278" s="1" t="str">
        <f>IFERROR(__xludf.DUMMYFUNCTION("""COMPUTED_VALUE"""),"M.Tech")</f>
        <v>M.Tech</v>
      </c>
      <c r="C278" s="1">
        <f>IFERROR(__xludf.DUMMYFUNCTION("""COMPUTED_VALUE"""),2014.0)</f>
        <v>2014</v>
      </c>
      <c r="D278" s="1" t="str">
        <f>IFERROR(__xludf.DUMMYFUNCTION("""COMPUTED_VALUE"""),"PROCUREMENT STRATEGY WITH SINGLE SUPPLIER AND MULTIPLE RETAILERS")</f>
        <v>PROCUREMENT STRATEGY WITH SINGLE SUPPLIER AND MULTIPLE RETAILERS</v>
      </c>
      <c r="E278" s="1"/>
    </row>
    <row r="279" ht="15.75" customHeight="1">
      <c r="A279" s="1" t="str">
        <f>IFERROR(__xludf.DUMMYFUNCTION("""COMPUTED_VALUE"""),"PATIL KISHOR YASHAVANT")</f>
        <v>PATIL KISHOR YASHAVANT</v>
      </c>
      <c r="B279" s="1" t="str">
        <f>IFERROR(__xludf.DUMMYFUNCTION("""COMPUTED_VALUE"""),"M.Tech")</f>
        <v>M.Tech</v>
      </c>
      <c r="C279" s="1">
        <f>IFERROR(__xludf.DUMMYFUNCTION("""COMPUTED_VALUE"""),2014.0)</f>
        <v>2014</v>
      </c>
      <c r="D279" s="1" t="str">
        <f>IFERROR(__xludf.DUMMYFUNCTION("""COMPUTED_VALUE"""),"Firm User-set Interaction in the Context of Admission Control of Some Queues")</f>
        <v>Firm User-set Interaction in the Context of Admission Control of Some Queues</v>
      </c>
      <c r="E279" s="1"/>
    </row>
    <row r="280" ht="15.75" customHeight="1">
      <c r="A280" s="1" t="str">
        <f>IFERROR(__xludf.DUMMYFUNCTION("""COMPUTED_VALUE"""),"PHATAK SAI GHANSHAM")</f>
        <v>PHATAK SAI GHANSHAM</v>
      </c>
      <c r="B280" s="1" t="str">
        <f>IFERROR(__xludf.DUMMYFUNCTION("""COMPUTED_VALUE"""),"M.Tech")</f>
        <v>M.Tech</v>
      </c>
      <c r="C280" s="1">
        <f>IFERROR(__xludf.DUMMYFUNCTION("""COMPUTED_VALUE"""),2014.0)</f>
        <v>2014</v>
      </c>
      <c r="D280" s="1" t="str">
        <f>IFERROR(__xludf.DUMMYFUNCTION("""COMPUTED_VALUE"""),"Simulation Based Optimization for Complex Manufacturing Flow Problems")</f>
        <v>Simulation Based Optimization for Complex Manufacturing Flow Problems</v>
      </c>
      <c r="E280" s="1"/>
    </row>
    <row r="281" ht="15.75" customHeight="1">
      <c r="A281" s="1" t="str">
        <f>IFERROR(__xludf.DUMMYFUNCTION("""COMPUTED_VALUE"""),"REWARI VISHAL ISHWARKUMAR")</f>
        <v>REWARI VISHAL ISHWARKUMAR</v>
      </c>
      <c r="B281" s="1" t="str">
        <f>IFERROR(__xludf.DUMMYFUNCTION("""COMPUTED_VALUE"""),"M.Tech")</f>
        <v>M.Tech</v>
      </c>
      <c r="C281" s="1">
        <f>IFERROR(__xludf.DUMMYFUNCTION("""COMPUTED_VALUE"""),2014.0)</f>
        <v>2014</v>
      </c>
      <c r="D281" s="1" t="str">
        <f>IFERROR(__xludf.DUMMYFUNCTION("""COMPUTED_VALUE"""),"Fleet management in rail transport: Petroleum rakes in Indian Railways")</f>
        <v>Fleet management in rail transport: Petroleum rakes in Indian Railways</v>
      </c>
      <c r="E281" s="1"/>
    </row>
    <row r="282" ht="15.75" customHeight="1">
      <c r="A282" s="1" t="str">
        <f>IFERROR(__xludf.DUMMYFUNCTION("""COMPUTED_VALUE"""),"ROHIT DIWAKER")</f>
        <v>ROHIT DIWAKER</v>
      </c>
      <c r="B282" s="1" t="str">
        <f>IFERROR(__xludf.DUMMYFUNCTION("""COMPUTED_VALUE"""),"M.Tech")</f>
        <v>M.Tech</v>
      </c>
      <c r="C282" s="1">
        <f>IFERROR(__xludf.DUMMYFUNCTION("""COMPUTED_VALUE"""),2014.0)</f>
        <v>2014</v>
      </c>
      <c r="D282" s="1" t="str">
        <f>IFERROR(__xludf.DUMMYFUNCTION("""COMPUTED_VALUE"""),"Revenue sharing contract in competitive supply chain")</f>
        <v>Revenue sharing contract in competitive supply chain</v>
      </c>
      <c r="E282" s="1"/>
    </row>
    <row r="283" ht="15.75" customHeight="1">
      <c r="A283" s="1" t="str">
        <f>IFERROR(__xludf.DUMMYFUNCTION("""COMPUTED_VALUE"""),"RUCHIR SANTUKA")</f>
        <v>RUCHIR SANTUKA</v>
      </c>
      <c r="B283" s="1" t="str">
        <f>IFERROR(__xludf.DUMMYFUNCTION("""COMPUTED_VALUE"""),"M.Tech")</f>
        <v>M.Tech</v>
      </c>
      <c r="C283" s="1">
        <f>IFERROR(__xludf.DUMMYFUNCTION("""COMPUTED_VALUE"""),2014.0)</f>
        <v>2014</v>
      </c>
      <c r="D283" s="1" t="str">
        <f>IFERROR(__xludf.DUMMYFUNCTION("""COMPUTED_VALUE"""),"Improved Formulations for Cutting Stock Problem with Set-up Cost")</f>
        <v>Improved Formulations for Cutting Stock Problem with Set-up Cost</v>
      </c>
      <c r="E283" s="1"/>
    </row>
    <row r="284" ht="15.75" customHeight="1">
      <c r="A284" s="1" t="str">
        <f>IFERROR(__xludf.DUMMYFUNCTION("""COMPUTED_VALUE"""),"SHABD VAISH")</f>
        <v>SHABD VAISH</v>
      </c>
      <c r="B284" s="1" t="str">
        <f>IFERROR(__xludf.DUMMYFUNCTION("""COMPUTED_VALUE"""),"M.Tech")</f>
        <v>M.Tech</v>
      </c>
      <c r="C284" s="1">
        <f>IFERROR(__xludf.DUMMYFUNCTION("""COMPUTED_VALUE"""),2014.0)</f>
        <v>2014</v>
      </c>
      <c r="D284" s="1" t="str">
        <f>IFERROR(__xludf.DUMMYFUNCTION("""COMPUTED_VALUE"""),"Scheduling of Freight Trains in Railway Network with Single Tracks Using 
Methods Including Genetic Algorithms")</f>
        <v>Scheduling of Freight Trains in Railway Network with Single Tracks Using 
Methods Including Genetic Algorithms</v>
      </c>
      <c r="E284" s="1"/>
    </row>
    <row r="285" ht="15.75" customHeight="1">
      <c r="A285" s="1" t="str">
        <f>IFERROR(__xludf.DUMMYFUNCTION("""COMPUTED_VALUE"""),"Shukla Ashish Yamunashankar")</f>
        <v>Shukla Ashish Yamunashankar</v>
      </c>
      <c r="B285" s="1" t="str">
        <f>IFERROR(__xludf.DUMMYFUNCTION("""COMPUTED_VALUE"""),"M.Tech")</f>
        <v>M.Tech</v>
      </c>
      <c r="C285" s="1">
        <f>IFERROR(__xludf.DUMMYFUNCTION("""COMPUTED_VALUE"""),2014.0)</f>
        <v>2014</v>
      </c>
      <c r="D285" s="1" t="str">
        <f>IFERROR(__xludf.DUMMYFUNCTION("""COMPUTED_VALUE"""),"Multileaf Collimator Sequencing with Integer Programming")</f>
        <v>Multileaf Collimator Sequencing with Integer Programming</v>
      </c>
      <c r="E285" s="1"/>
    </row>
    <row r="286" ht="15.75" customHeight="1">
      <c r="A286" s="1" t="str">
        <f>IFERROR(__xludf.DUMMYFUNCTION("""COMPUTED_VALUE"""),"SURESH B")</f>
        <v>SURESH B</v>
      </c>
      <c r="B286" s="1" t="str">
        <f>IFERROR(__xludf.DUMMYFUNCTION("""COMPUTED_VALUE"""),"M.Tech")</f>
        <v>M.Tech</v>
      </c>
      <c r="C286" s="1">
        <f>IFERROR(__xludf.DUMMYFUNCTION("""COMPUTED_VALUE"""),2014.0)</f>
        <v>2014</v>
      </c>
      <c r="D286" s="1" t="str">
        <f>IFERROR(__xludf.DUMMYFUNCTION("""COMPUTED_VALUE"""),"Practical Branching Techniques for Convex Mixed-Integer Nonlinear 
Optimization")</f>
        <v>Practical Branching Techniques for Convex Mixed-Integer Nonlinear 
Optimization</v>
      </c>
      <c r="E286" s="1"/>
    </row>
    <row r="287" ht="15.75" customHeight="1">
      <c r="A287" s="1" t="str">
        <f>IFERROR(__xludf.DUMMYFUNCTION("""COMPUTED_VALUE"""),"Anirban Ghatak")</f>
        <v>Anirban Ghatak</v>
      </c>
      <c r="B287" s="1" t="str">
        <f>IFERROR(__xludf.DUMMYFUNCTION("""COMPUTED_VALUE"""),"Ph.D")</f>
        <v>Ph.D</v>
      </c>
      <c r="C287" s="1">
        <f>IFERROR(__xludf.DUMMYFUNCTION("""COMPUTED_VALUE"""),2014.0)</f>
        <v>2014</v>
      </c>
      <c r="D287" s="1" t="str">
        <f>IFERROR(__xludf.DUMMYFUNCTION("""COMPUTED_VALUE"""),"Formulation and Study of Evolutionarily Stable Strategy against Multiple 
Mutations")</f>
        <v>Formulation and Study of Evolutionarily Stable Strategy against Multiple 
Mutations</v>
      </c>
      <c r="E287" s="1"/>
    </row>
    <row r="288" ht="15.75" customHeight="1">
      <c r="A288" s="1" t="str">
        <f>IFERROR(__xludf.DUMMYFUNCTION("""COMPUTED_VALUE"""),"Anu Thomas")</f>
        <v>Anu Thomas</v>
      </c>
      <c r="B288" s="1" t="str">
        <f>IFERROR(__xludf.DUMMYFUNCTION("""COMPUTED_VALUE"""),"Ph.D")</f>
        <v>Ph.D</v>
      </c>
      <c r="C288" s="1">
        <f>IFERROR(__xludf.DUMMYFUNCTION("""COMPUTED_VALUE"""),2014.0)</f>
        <v>2014</v>
      </c>
      <c r="D288" s="1" t="str">
        <f>IFERROR(__xludf.DUMMYFUNCTION("""COMPUTED_VALUE"""),"Approaches to Supply Chain Coordination: Decomposed and Decentralised 
Decision Making Models")</f>
        <v>Approaches to Supply Chain Coordination: Decomposed and Decentralised 
Decision Making Models</v>
      </c>
      <c r="E288" s="1"/>
    </row>
    <row r="289" ht="15.75" customHeight="1">
      <c r="A289" s="1" t="str">
        <f>IFERROR(__xludf.DUMMYFUNCTION("""COMPUTED_VALUE"""),"Dayama Niraj")</f>
        <v>Dayama Niraj</v>
      </c>
      <c r="B289" s="1" t="str">
        <f>IFERROR(__xludf.DUMMYFUNCTION("""COMPUTED_VALUE"""),"Ph.D")</f>
        <v>Ph.D</v>
      </c>
      <c r="C289" s="1">
        <f>IFERROR(__xludf.DUMMYFUNCTION("""COMPUTED_VALUE"""),2014.0)</f>
        <v>2014</v>
      </c>
      <c r="D289" s="1" t="str">
        <f>IFERROR(__xludf.DUMMYFUNCTION("""COMPUTED_VALUE"""),"Approaches and algorithms to solve generalized crane scheduling problems at 
cargo terminals")</f>
        <v>Approaches and algorithms to solve generalized crane scheduling problems at 
cargo terminals</v>
      </c>
      <c r="E289" s="1"/>
    </row>
    <row r="290" ht="15.75" customHeight="1">
      <c r="A290" s="1" t="str">
        <f>IFERROR(__xludf.DUMMYFUNCTION("""COMPUTED_VALUE"""),"Indu Chaudhary")</f>
        <v>Indu Chaudhary</v>
      </c>
      <c r="B290" s="2" t="str">
        <f>IFERROR(__xludf.DUMMYFUNCTION("""COMPUTED_VALUE"""),"M.Sc")</f>
        <v>M.Sc</v>
      </c>
      <c r="C290" s="1">
        <f>IFERROR(__xludf.DUMMYFUNCTION("""COMPUTED_VALUE"""),2013.0)</f>
        <v>2013</v>
      </c>
      <c r="D290" s="1"/>
      <c r="E290" s="1"/>
    </row>
    <row r="291" ht="15.75" customHeight="1">
      <c r="A291" s="1" t="str">
        <f>IFERROR(__xludf.DUMMYFUNCTION("""COMPUTED_VALUE"""),"Jitendra")</f>
        <v>Jitendra</v>
      </c>
      <c r="B291" s="2" t="str">
        <f>IFERROR(__xludf.DUMMYFUNCTION("""COMPUTED_VALUE"""),"M.Sc")</f>
        <v>M.Sc</v>
      </c>
      <c r="C291" s="1">
        <f>IFERROR(__xludf.DUMMYFUNCTION("""COMPUTED_VALUE"""),2013.0)</f>
        <v>2013</v>
      </c>
      <c r="D291" s="1"/>
      <c r="E291" s="1"/>
    </row>
    <row r="292" ht="15.75" customHeight="1">
      <c r="A292" s="1" t="str">
        <f>IFERROR(__xludf.DUMMYFUNCTION("""COMPUTED_VALUE"""),"K. C. Lalropuia")</f>
        <v>K. C. Lalropuia</v>
      </c>
      <c r="B292" s="2" t="str">
        <f>IFERROR(__xludf.DUMMYFUNCTION("""COMPUTED_VALUE"""),"M.Sc")</f>
        <v>M.Sc</v>
      </c>
      <c r="C292" s="1">
        <f>IFERROR(__xludf.DUMMYFUNCTION("""COMPUTED_VALUE"""),2013.0)</f>
        <v>2013</v>
      </c>
      <c r="D292" s="1"/>
      <c r="E292" s="1"/>
    </row>
    <row r="293" ht="15.75" customHeight="1">
      <c r="A293" s="1" t="str">
        <f>IFERROR(__xludf.DUMMYFUNCTION("""COMPUTED_VALUE"""),"Pratibha")</f>
        <v>Pratibha</v>
      </c>
      <c r="B293" s="2" t="str">
        <f>IFERROR(__xludf.DUMMYFUNCTION("""COMPUTED_VALUE"""),"M.Sc")</f>
        <v>M.Sc</v>
      </c>
      <c r="C293" s="1">
        <f>IFERROR(__xludf.DUMMYFUNCTION("""COMPUTED_VALUE"""),2013.0)</f>
        <v>2013</v>
      </c>
      <c r="D293" s="1"/>
      <c r="E293" s="1"/>
    </row>
    <row r="294" ht="15.75" customHeight="1">
      <c r="A294" s="1" t="str">
        <f>IFERROR(__xludf.DUMMYFUNCTION("""COMPUTED_VALUE"""),"Sweety Hansuwa")</f>
        <v>Sweety Hansuwa</v>
      </c>
      <c r="B294" s="2" t="str">
        <f>IFERROR(__xludf.DUMMYFUNCTION("""COMPUTED_VALUE"""),"M.Sc")</f>
        <v>M.Sc</v>
      </c>
      <c r="C294" s="1">
        <f>IFERROR(__xludf.DUMMYFUNCTION("""COMPUTED_VALUE"""),2013.0)</f>
        <v>2013</v>
      </c>
      <c r="D294" s="1"/>
      <c r="E294" s="1"/>
    </row>
    <row r="295" ht="15.75" customHeight="1">
      <c r="A295" s="1" t="str">
        <f>IFERROR(__xludf.DUMMYFUNCTION("""COMPUTED_VALUE"""),"Amit Sarkar")</f>
        <v>Amit Sarkar</v>
      </c>
      <c r="B295" s="1" t="str">
        <f>IFERROR(__xludf.DUMMYFUNCTION("""COMPUTED_VALUE"""),"M.Tech")</f>
        <v>M.Tech</v>
      </c>
      <c r="C295" s="1">
        <f>IFERROR(__xludf.DUMMYFUNCTION("""COMPUTED_VALUE"""),2013.0)</f>
        <v>2013</v>
      </c>
      <c r="D295" s="1" t="str">
        <f>IFERROR(__xludf.DUMMYFUNCTION("""COMPUTED_VALUE"""),"Some non transferable utility cooperative games in cost allocation")</f>
        <v>Some non transferable utility cooperative games in cost allocation</v>
      </c>
      <c r="E295" s="1"/>
    </row>
    <row r="296" ht="15.75" customHeight="1">
      <c r="A296" s="1" t="str">
        <f>IFERROR(__xludf.DUMMYFUNCTION("""COMPUTED_VALUE"""),"Ankit Kumar")</f>
        <v>Ankit Kumar</v>
      </c>
      <c r="B296" s="1" t="str">
        <f>IFERROR(__xludf.DUMMYFUNCTION("""COMPUTED_VALUE"""),"M.Tech")</f>
        <v>M.Tech</v>
      </c>
      <c r="C296" s="1">
        <f>IFERROR(__xludf.DUMMYFUNCTION("""COMPUTED_VALUE"""),2013.0)</f>
        <v>2013</v>
      </c>
      <c r="D296" s="1" t="str">
        <f>IFERROR(__xludf.DUMMYFUNCTION("""COMPUTED_VALUE"""),"Distributive Optimization: Theory and applications")</f>
        <v>Distributive Optimization: Theory and applications</v>
      </c>
      <c r="E296" s="1"/>
    </row>
    <row r="297" ht="15.75" customHeight="1">
      <c r="A297" s="1" t="str">
        <f>IFERROR(__xludf.DUMMYFUNCTION("""COMPUTED_VALUE"""),"Anoop Chatterjee")</f>
        <v>Anoop Chatterjee</v>
      </c>
      <c r="B297" s="1" t="str">
        <f>IFERROR(__xludf.DUMMYFUNCTION("""COMPUTED_VALUE"""),"M.Tech")</f>
        <v>M.Tech</v>
      </c>
      <c r="C297" s="1">
        <f>IFERROR(__xludf.DUMMYFUNCTION("""COMPUTED_VALUE"""),2013.0)</f>
        <v>2013</v>
      </c>
      <c r="D297" s="1" t="str">
        <f>IFERROR(__xludf.DUMMYFUNCTION("""COMPUTED_VALUE"""),"Priority based Task-level Scheduling in Multi-project, Multi-resource 
environments")</f>
        <v>Priority based Task-level Scheduling in Multi-project, Multi-resource 
environments</v>
      </c>
      <c r="E297" s="1"/>
    </row>
    <row r="298" ht="15.75" customHeight="1">
      <c r="A298" s="1" t="str">
        <f>IFERROR(__xludf.DUMMYFUNCTION("""COMPUTED_VALUE"""),"Chandra Prakash Panday")</f>
        <v>Chandra Prakash Panday</v>
      </c>
      <c r="B298" s="1" t="str">
        <f>IFERROR(__xludf.DUMMYFUNCTION("""COMPUTED_VALUE"""),"M.Tech")</f>
        <v>M.Tech</v>
      </c>
      <c r="C298" s="1">
        <f>IFERROR(__xludf.DUMMYFUNCTION("""COMPUTED_VALUE"""),2013.0)</f>
        <v>2013</v>
      </c>
      <c r="D298" s="1" t="str">
        <f>IFERROR(__xludf.DUMMYFUNCTION("""COMPUTED_VALUE"""),"Genetic Algorithm: Concepts and Applications in Scheduling")</f>
        <v>Genetic Algorithm: Concepts and Applications in Scheduling</v>
      </c>
      <c r="E298" s="1"/>
    </row>
    <row r="299" ht="15.75" customHeight="1">
      <c r="A299" s="1" t="str">
        <f>IFERROR(__xludf.DUMMYFUNCTION("""COMPUTED_VALUE"""),"Deepak Singh")</f>
        <v>Deepak Singh</v>
      </c>
      <c r="B299" s="1" t="str">
        <f>IFERROR(__xludf.DUMMYFUNCTION("""COMPUTED_VALUE"""),"M.Tech")</f>
        <v>M.Tech</v>
      </c>
      <c r="C299" s="1">
        <f>IFERROR(__xludf.DUMMYFUNCTION("""COMPUTED_VALUE"""),2013.0)</f>
        <v>2013</v>
      </c>
      <c r="D299" s="1" t="str">
        <f>IFERROR(__xludf.DUMMYFUNCTION("""COMPUTED_VALUE"""),"Some more properties of excess-sum based solution concepts for TU-games")</f>
        <v>Some more properties of excess-sum based solution concepts for TU-games</v>
      </c>
      <c r="E299" s="1"/>
    </row>
    <row r="300" ht="15.75" customHeight="1">
      <c r="A300" s="1" t="str">
        <f>IFERROR(__xludf.DUMMYFUNCTION("""COMPUTED_VALUE"""),"Jammula Ajith Kumar")</f>
        <v>Jammula Ajith Kumar</v>
      </c>
      <c r="B300" s="1" t="str">
        <f>IFERROR(__xludf.DUMMYFUNCTION("""COMPUTED_VALUE"""),"M.Tech")</f>
        <v>M.Tech</v>
      </c>
      <c r="C300" s="1">
        <f>IFERROR(__xludf.DUMMYFUNCTION("""COMPUTED_VALUE"""),2013.0)</f>
        <v>2013</v>
      </c>
      <c r="D300" s="1" t="str">
        <f>IFERROR(__xludf.DUMMYFUNCTION("""COMPUTED_VALUE"""),"PROCESS DESIGN AND SIMULATION ANALYSIS OF NEW PRODUCT MANUFACTURING FACILITY")</f>
        <v>PROCESS DESIGN AND SIMULATION ANALYSIS OF NEW PRODUCT MANUFACTURING FACILITY</v>
      </c>
      <c r="E300" s="1"/>
    </row>
    <row r="301" ht="15.75" customHeight="1">
      <c r="A301" s="1" t="str">
        <f>IFERROR(__xludf.DUMMYFUNCTION("""COMPUTED_VALUE"""),"Keshav Kumar")</f>
        <v>Keshav Kumar</v>
      </c>
      <c r="B301" s="1" t="str">
        <f>IFERROR(__xludf.DUMMYFUNCTION("""COMPUTED_VALUE"""),"M.Tech")</f>
        <v>M.Tech</v>
      </c>
      <c r="C301" s="1">
        <f>IFERROR(__xludf.DUMMYFUNCTION("""COMPUTED_VALUE"""),2013.0)</f>
        <v>2013</v>
      </c>
      <c r="D301" s="1" t="str">
        <f>IFERROR(__xludf.DUMMYFUNCTION("""COMPUTED_VALUE"""),"Modeling and Design of algorithms for rail operations and Capacity Planning")</f>
        <v>Modeling and Design of algorithms for rail operations and Capacity Planning</v>
      </c>
      <c r="E301" s="1"/>
    </row>
    <row r="302" ht="15.75" customHeight="1">
      <c r="A302" s="1" t="str">
        <f>IFERROR(__xludf.DUMMYFUNCTION("""COMPUTED_VALUE"""),"Kunal Sharma")</f>
        <v>Kunal Sharma</v>
      </c>
      <c r="B302" s="1" t="str">
        <f>IFERROR(__xludf.DUMMYFUNCTION("""COMPUTED_VALUE"""),"M.Tech")</f>
        <v>M.Tech</v>
      </c>
      <c r="C302" s="1">
        <f>IFERROR(__xludf.DUMMYFUNCTION("""COMPUTED_VALUE"""),2013.0)</f>
        <v>2013</v>
      </c>
      <c r="D302" s="1" t="str">
        <f>IFERROR(__xludf.DUMMYFUNCTION("""COMPUTED_VALUE"""),"Design of Survivable Communication Networks")</f>
        <v>Design of Survivable Communication Networks</v>
      </c>
      <c r="E302" s="1"/>
    </row>
    <row r="303" ht="15.75" customHeight="1">
      <c r="A303" s="1" t="str">
        <f>IFERROR(__xludf.DUMMYFUNCTION("""COMPUTED_VALUE"""),"Mohd Abdul Qavi")</f>
        <v>Mohd Abdul Qavi</v>
      </c>
      <c r="B303" s="1" t="str">
        <f>IFERROR(__xludf.DUMMYFUNCTION("""COMPUTED_VALUE"""),"M.Tech")</f>
        <v>M.Tech</v>
      </c>
      <c r="C303" s="1">
        <f>IFERROR(__xludf.DUMMYFUNCTION("""COMPUTED_VALUE"""),2013.0)</f>
        <v>2013</v>
      </c>
      <c r="D303" s="1" t="str">
        <f>IFERROR(__xludf.DUMMYFUNCTION("""COMPUTED_VALUE"""),"Firm User-set Interactions - Modeling &amp; Analysis of Carsharing and Queue 
Admission Control Systems")</f>
        <v>Firm User-set Interactions - Modeling &amp; Analysis of Carsharing and Queue 
Admission Control Systems</v>
      </c>
      <c r="E303" s="1"/>
    </row>
    <row r="304" ht="15.75" customHeight="1">
      <c r="A304" s="1" t="str">
        <f>IFERROR(__xludf.DUMMYFUNCTION("""COMPUTED_VALUE"""),"Rajesh Sharma")</f>
        <v>Rajesh Sharma</v>
      </c>
      <c r="B304" s="1" t="str">
        <f>IFERROR(__xludf.DUMMYFUNCTION("""COMPUTED_VALUE"""),"M.Tech")</f>
        <v>M.Tech</v>
      </c>
      <c r="C304" s="1">
        <f>IFERROR(__xludf.DUMMYFUNCTION("""COMPUTED_VALUE"""),2013.0)</f>
        <v>2013</v>
      </c>
      <c r="D304" s="1" t="str">
        <f>IFERROR(__xludf.DUMMYFUNCTION("""COMPUTED_VALUE"""),"Pricing of assets in rail operations and third party logistics services")</f>
        <v>Pricing of assets in rail operations and third party logistics services</v>
      </c>
      <c r="E304" s="1"/>
    </row>
    <row r="305" ht="15.75" customHeight="1">
      <c r="A305" s="1" t="str">
        <f>IFERROR(__xludf.DUMMYFUNCTION("""COMPUTED_VALUE"""),"Rao Rohan Krishnaraj")</f>
        <v>Rao Rohan Krishnaraj</v>
      </c>
      <c r="B305" s="1" t="str">
        <f>IFERROR(__xludf.DUMMYFUNCTION("""COMPUTED_VALUE"""),"M.Tech")</f>
        <v>M.Tech</v>
      </c>
      <c r="C305" s="1">
        <f>IFERROR(__xludf.DUMMYFUNCTION("""COMPUTED_VALUE"""),2013.0)</f>
        <v>2013</v>
      </c>
      <c r="D305" s="1" t="str">
        <f>IFERROR(__xludf.DUMMYFUNCTION("""COMPUTED_VALUE"""),"Part Demand Prediction in Mass Customization Environment")</f>
        <v>Part Demand Prediction in Mass Customization Environment</v>
      </c>
      <c r="E305" s="1"/>
    </row>
    <row r="306" ht="15.75" customHeight="1">
      <c r="A306" s="1" t="str">
        <f>IFERROR(__xludf.DUMMYFUNCTION("""COMPUTED_VALUE"""),"Shashi Kant Dubey")</f>
        <v>Shashi Kant Dubey</v>
      </c>
      <c r="B306" s="1" t="str">
        <f>IFERROR(__xludf.DUMMYFUNCTION("""COMPUTED_VALUE"""),"M.Tech")</f>
        <v>M.Tech</v>
      </c>
      <c r="C306" s="1">
        <f>IFERROR(__xludf.DUMMYFUNCTION("""COMPUTED_VALUE"""),2013.0)</f>
        <v>2013</v>
      </c>
      <c r="D306" s="1" t="str">
        <f>IFERROR(__xludf.DUMMYFUNCTION("""COMPUTED_VALUE"""),"Multi-attribute reverse auctions as matching problems")</f>
        <v>Multi-attribute reverse auctions as matching problems</v>
      </c>
      <c r="E306" s="1"/>
    </row>
    <row r="307" ht="15.75" customHeight="1">
      <c r="A307" s="1" t="str">
        <f>IFERROR(__xludf.DUMMYFUNCTION("""COMPUTED_VALUE"""),"Shinde Vishal Vilas")</f>
        <v>Shinde Vishal Vilas</v>
      </c>
      <c r="B307" s="1" t="str">
        <f>IFERROR(__xludf.DUMMYFUNCTION("""COMPUTED_VALUE"""),"M.Tech")</f>
        <v>M.Tech</v>
      </c>
      <c r="C307" s="1">
        <f>IFERROR(__xludf.DUMMYFUNCTION("""COMPUTED_VALUE"""),2013.0)</f>
        <v>2013</v>
      </c>
      <c r="D307" s="1" t="str">
        <f>IFERROR(__xludf.DUMMYFUNCTION("""COMPUTED_VALUE"""),"Decision Models in Retailing")</f>
        <v>Decision Models in Retailing</v>
      </c>
      <c r="E307" s="1"/>
    </row>
    <row r="308" ht="15.75" customHeight="1">
      <c r="A308" s="1" t="str">
        <f>IFERROR(__xludf.DUMMYFUNCTION("""COMPUTED_VALUE"""),"Sohani Shailesh Ratnakar")</f>
        <v>Sohani Shailesh Ratnakar</v>
      </c>
      <c r="B308" s="1" t="str">
        <f>IFERROR(__xludf.DUMMYFUNCTION("""COMPUTED_VALUE"""),"M.Tech")</f>
        <v>M.Tech</v>
      </c>
      <c r="C308" s="1">
        <f>IFERROR(__xludf.DUMMYFUNCTION("""COMPUTED_VALUE"""),2013.0)</f>
        <v>2013</v>
      </c>
      <c r="D308" s="1" t="str">
        <f>IFERROR(__xludf.DUMMYFUNCTION("""COMPUTED_VALUE"""),"Computing Budget Allocation Schemes For Stochastic Simulation Based 
Optimization")</f>
        <v>Computing Budget Allocation Schemes For Stochastic Simulation Based 
Optimization</v>
      </c>
      <c r="E308" s="1"/>
    </row>
    <row r="309" ht="15.75" customHeight="1">
      <c r="A309" s="1" t="str">
        <f>IFERROR(__xludf.DUMMYFUNCTION("""COMPUTED_VALUE"""),"Sonakshi Agarwal")</f>
        <v>Sonakshi Agarwal</v>
      </c>
      <c r="B309" s="1" t="str">
        <f>IFERROR(__xludf.DUMMYFUNCTION("""COMPUTED_VALUE"""),"M.Tech")</f>
        <v>M.Tech</v>
      </c>
      <c r="C309" s="1">
        <f>IFERROR(__xludf.DUMMYFUNCTION("""COMPUTED_VALUE"""),2013.0)</f>
        <v>2013</v>
      </c>
      <c r="D309" s="1" t="str">
        <f>IFERROR(__xludf.DUMMYFUNCTION("""COMPUTED_VALUE"""),"Application of Evolutionary Algorithms for deriving hierarchical inventory 
policies in supply chain")</f>
        <v>Application of Evolutionary Algorithms for deriving hierarchical inventory 
policies in supply chain</v>
      </c>
      <c r="E309" s="1"/>
    </row>
    <row r="310" ht="15.75" customHeight="1">
      <c r="A310" s="1" t="str">
        <f>IFERROR(__xludf.DUMMYFUNCTION("""COMPUTED_VALUE"""),"Surjit Laha")</f>
        <v>Surjit Laha</v>
      </c>
      <c r="B310" s="1" t="str">
        <f>IFERROR(__xludf.DUMMYFUNCTION("""COMPUTED_VALUE"""),"M.Tech")</f>
        <v>M.Tech</v>
      </c>
      <c r="C310" s="1">
        <f>IFERROR(__xludf.DUMMYFUNCTION("""COMPUTED_VALUE"""),2013.0)</f>
        <v>2013</v>
      </c>
      <c r="D310" s="1" t="str">
        <f>IFERROR(__xludf.DUMMYFUNCTION("""COMPUTED_VALUE"""),"Supply Chain Coopetition under Maximum Retail Price Setting")</f>
        <v>Supply Chain Coopetition under Maximum Retail Price Setting</v>
      </c>
      <c r="E310" s="1"/>
    </row>
    <row r="311" ht="15.75" customHeight="1">
      <c r="A311" s="1" t="str">
        <f>IFERROR(__xludf.DUMMYFUNCTION("""COMPUTED_VALUE"""),"Vyshnavi G")</f>
        <v>Vyshnavi G</v>
      </c>
      <c r="B311" s="1" t="str">
        <f>IFERROR(__xludf.DUMMYFUNCTION("""COMPUTED_VALUE"""),"M.Tech")</f>
        <v>M.Tech</v>
      </c>
      <c r="C311" s="1">
        <f>IFERROR(__xludf.DUMMYFUNCTION("""COMPUTED_VALUE"""),2013.0)</f>
        <v>2013</v>
      </c>
      <c r="D311" s="1" t="str">
        <f>IFERROR(__xludf.DUMMYFUNCTION("""COMPUTED_VALUE"""),"Performance evaluation of metaheuristic algorithms in optimizing 
deterministic and stochastic problems")</f>
        <v>Performance evaluation of metaheuristic algorithms in optimizing 
deterministic and stochastic problems</v>
      </c>
      <c r="E311" s="1"/>
    </row>
    <row r="312" ht="15.75" customHeight="1">
      <c r="A312" s="1" t="str">
        <f>IFERROR(__xludf.DUMMYFUNCTION("""COMPUTED_VALUE"""),"Vikas Vikram Singh")</f>
        <v>Vikas Vikram Singh</v>
      </c>
      <c r="B312" s="1" t="str">
        <f>IFERROR(__xludf.DUMMYFUNCTION("""COMPUTED_VALUE"""),"Ph.D")</f>
        <v>Ph.D</v>
      </c>
      <c r="C312" s="1">
        <f>IFERROR(__xludf.DUMMYFUNCTION("""COMPUTED_VALUE"""),2013.0)</f>
        <v>2013</v>
      </c>
      <c r="D312" s="1" t="str">
        <f>IFERROR(__xludf.DUMMYFUNCTION("""COMPUTED_VALUE"""),"Some Topics in Stochastic Games")</f>
        <v>Some Topics in Stochastic Games</v>
      </c>
      <c r="E312" s="1"/>
    </row>
    <row r="313" ht="15.75" customHeight="1">
      <c r="A313" s="1" t="str">
        <f>IFERROR(__xludf.DUMMYFUNCTION("""COMPUTED_VALUE"""),"Robin Bhandari")</f>
        <v>Robin Bhandari</v>
      </c>
      <c r="B313" s="2" t="str">
        <f>IFERROR(__xludf.DUMMYFUNCTION("""COMPUTED_VALUE"""),"M.Sc")</f>
        <v>M.Sc</v>
      </c>
      <c r="C313" s="1">
        <f>IFERROR(__xludf.DUMMYFUNCTION("""COMPUTED_VALUE"""),2012.0)</f>
        <v>2012</v>
      </c>
      <c r="D313" s="1"/>
      <c r="E313" s="1"/>
    </row>
    <row r="314" ht="15.75" customHeight="1">
      <c r="A314" s="1" t="str">
        <f>IFERROR(__xludf.DUMMYFUNCTION("""COMPUTED_VALUE"""),"Agrawal Priya Ashok")</f>
        <v>Agrawal Priya Ashok</v>
      </c>
      <c r="B314" s="1" t="str">
        <f>IFERROR(__xludf.DUMMYFUNCTION("""COMPUTED_VALUE"""),"M.Tech")</f>
        <v>M.Tech</v>
      </c>
      <c r="C314" s="1">
        <f>IFERROR(__xludf.DUMMYFUNCTION("""COMPUTED_VALUE"""),2012.0)</f>
        <v>2012</v>
      </c>
      <c r="D314" s="1" t="str">
        <f>IFERROR(__xludf.DUMMYFUNCTION("""COMPUTED_VALUE"""),"Facility design and operational strategies for railway networks")</f>
        <v>Facility design and operational strategies for railway networks</v>
      </c>
      <c r="E314" s="1"/>
    </row>
    <row r="315" ht="15.75" customHeight="1">
      <c r="A315" s="1" t="str">
        <f>IFERROR(__xludf.DUMMYFUNCTION("""COMPUTED_VALUE"""),"Anand Kumar Rajak")</f>
        <v>Anand Kumar Rajak</v>
      </c>
      <c r="B315" s="1" t="str">
        <f>IFERROR(__xludf.DUMMYFUNCTION("""COMPUTED_VALUE"""),"M.Tech")</f>
        <v>M.Tech</v>
      </c>
      <c r="C315" s="1">
        <f>IFERROR(__xludf.DUMMYFUNCTION("""COMPUTED_VALUE"""),2012.0)</f>
        <v>2012</v>
      </c>
      <c r="D315" s="1" t="str">
        <f>IFERROR(__xludf.DUMMYFUNCTION("""COMPUTED_VALUE"""),"Modelling and Computation Involved in Multi Echelon Supply Chain Network 
Design of an FMCG Industry")</f>
        <v>Modelling and Computation Involved in Multi Echelon Supply Chain Network 
Design of an FMCG Industry</v>
      </c>
      <c r="E315" s="1"/>
    </row>
    <row r="316" ht="15.75" customHeight="1">
      <c r="A316" s="1" t="str">
        <f>IFERROR(__xludf.DUMMYFUNCTION("""COMPUTED_VALUE"""),"Anubhav Aggarwal")</f>
        <v>Anubhav Aggarwal</v>
      </c>
      <c r="B316" s="1" t="str">
        <f>IFERROR(__xludf.DUMMYFUNCTION("""COMPUTED_VALUE"""),"M.Tech")</f>
        <v>M.Tech</v>
      </c>
      <c r="C316" s="1">
        <f>IFERROR(__xludf.DUMMYFUNCTION("""COMPUTED_VALUE"""),2012.0)</f>
        <v>2012</v>
      </c>
      <c r="D316" s="1" t="str">
        <f>IFERROR(__xludf.DUMMYFUNCTION("""COMPUTED_VALUE"""),"Agent Based Modeling and Simulation of Supply Chain Processes")</f>
        <v>Agent Based Modeling and Simulation of Supply Chain Processes</v>
      </c>
      <c r="E316" s="1"/>
    </row>
    <row r="317" ht="15.75" customHeight="1">
      <c r="A317" s="1" t="str">
        <f>IFERROR(__xludf.DUMMYFUNCTION("""COMPUTED_VALUE"""),"Chandar Mohan Singh")</f>
        <v>Chandar Mohan Singh</v>
      </c>
      <c r="B317" s="1" t="str">
        <f>IFERROR(__xludf.DUMMYFUNCTION("""COMPUTED_VALUE"""),"M.Tech")</f>
        <v>M.Tech</v>
      </c>
      <c r="C317" s="1">
        <f>IFERROR(__xludf.DUMMYFUNCTION("""COMPUTED_VALUE"""),2012.0)</f>
        <v>2012</v>
      </c>
      <c r="D317" s="1" t="str">
        <f>IFERROR(__xludf.DUMMYFUNCTION("""COMPUTED_VALUE"""),"A Study on the Reverse Supply Chain Management of Consumer Durable Items")</f>
        <v>A Study on the Reverse Supply Chain Management of Consumer Durable Items</v>
      </c>
      <c r="E317" s="1"/>
    </row>
    <row r="318" ht="15.75" customHeight="1">
      <c r="A318" s="1" t="str">
        <f>IFERROR(__xludf.DUMMYFUNCTION("""COMPUTED_VALUE"""),"Dugane Anup Mohan")</f>
        <v>Dugane Anup Mohan</v>
      </c>
      <c r="B318" s="1" t="str">
        <f>IFERROR(__xludf.DUMMYFUNCTION("""COMPUTED_VALUE"""),"M.Tech")</f>
        <v>M.Tech</v>
      </c>
      <c r="C318" s="1">
        <f>IFERROR(__xludf.DUMMYFUNCTION("""COMPUTED_VALUE"""),2012.0)</f>
        <v>2012</v>
      </c>
      <c r="D318" s="1" t="str">
        <f>IFERROR(__xludf.DUMMYFUNCTION("""COMPUTED_VALUE"""),"Simulation Based Optimization of a Single Stage Failure Prone Manufacturing 
System")</f>
        <v>Simulation Based Optimization of a Single Stage Failure Prone Manufacturing 
System</v>
      </c>
      <c r="E318" s="1"/>
    </row>
    <row r="319" ht="15.75" customHeight="1">
      <c r="A319" s="1" t="str">
        <f>IFERROR(__xludf.DUMMYFUNCTION("""COMPUTED_VALUE"""),"Kamble Pritam Vijay")</f>
        <v>Kamble Pritam Vijay</v>
      </c>
      <c r="B319" s="1" t="str">
        <f>IFERROR(__xludf.DUMMYFUNCTION("""COMPUTED_VALUE"""),"M.Tech")</f>
        <v>M.Tech</v>
      </c>
      <c r="C319" s="1">
        <f>IFERROR(__xludf.DUMMYFUNCTION("""COMPUTED_VALUE"""),2012.0)</f>
        <v>2012</v>
      </c>
      <c r="D319" s="1" t="str">
        <f>IFERROR(__xludf.DUMMYFUNCTION("""COMPUTED_VALUE"""),"Some contracts for closed loop supply chain")</f>
        <v>Some contracts for closed loop supply chain</v>
      </c>
      <c r="E319" s="1"/>
    </row>
    <row r="320" ht="15.75" customHeight="1">
      <c r="A320" s="1" t="str">
        <f>IFERROR(__xludf.DUMMYFUNCTION("""COMPUTED_VALUE"""),"Madhu Tangudu")</f>
        <v>Madhu Tangudu</v>
      </c>
      <c r="B320" s="1" t="str">
        <f>IFERROR(__xludf.DUMMYFUNCTION("""COMPUTED_VALUE"""),"M.Tech")</f>
        <v>M.Tech</v>
      </c>
      <c r="C320" s="1">
        <f>IFERROR(__xludf.DUMMYFUNCTION("""COMPUTED_VALUE"""),2012.0)</f>
        <v>2012</v>
      </c>
      <c r="D320" s="1" t="str">
        <f>IFERROR(__xludf.DUMMYFUNCTION("""COMPUTED_VALUE"""),"System Dynamics Modeling and Analysis of Production-Inventory System")</f>
        <v>System Dynamics Modeling and Analysis of Production-Inventory System</v>
      </c>
      <c r="E320" s="1"/>
    </row>
    <row r="321" ht="15.75" customHeight="1">
      <c r="A321" s="1" t="str">
        <f>IFERROR(__xludf.DUMMYFUNCTION("""COMPUTED_VALUE"""),"Phatak Neha Krishna")</f>
        <v>Phatak Neha Krishna</v>
      </c>
      <c r="B321" s="1" t="str">
        <f>IFERROR(__xludf.DUMMYFUNCTION("""COMPUTED_VALUE"""),"M.Tech")</f>
        <v>M.Tech</v>
      </c>
      <c r="C321" s="1">
        <f>IFERROR(__xludf.DUMMYFUNCTION("""COMPUTED_VALUE"""),2012.0)</f>
        <v>2012</v>
      </c>
      <c r="D321" s="1" t="str">
        <f>IFERROR(__xludf.DUMMYFUNCTION("""COMPUTED_VALUE"""),"Business Analytics for Customer Relationship Management")</f>
        <v>Business Analytics for Customer Relationship Management</v>
      </c>
      <c r="E321" s="1"/>
    </row>
    <row r="322" ht="15.75" customHeight="1">
      <c r="A322" s="1" t="str">
        <f>IFERROR(__xludf.DUMMYFUNCTION("""COMPUTED_VALUE"""),"Sri Naga Rajesh Kamma")</f>
        <v>Sri Naga Rajesh Kamma</v>
      </c>
      <c r="B322" s="1" t="str">
        <f>IFERROR(__xludf.DUMMYFUNCTION("""COMPUTED_VALUE"""),"M.Tech")</f>
        <v>M.Tech</v>
      </c>
      <c r="C322" s="1">
        <f>IFERROR(__xludf.DUMMYFUNCTION("""COMPUTED_VALUE"""),2012.0)</f>
        <v>2012</v>
      </c>
      <c r="D322" s="1" t="str">
        <f>IFERROR(__xludf.DUMMYFUNCTION("""COMPUTED_VALUE"""),"Firm-market interactions, parameterized MDPs and some models for carsharing 
systems")</f>
        <v>Firm-market interactions, parameterized MDPs and some models for carsharing 
systems</v>
      </c>
      <c r="E322" s="1"/>
    </row>
    <row r="323" ht="15.75" customHeight="1">
      <c r="A323" s="1" t="str">
        <f>IFERROR(__xludf.DUMMYFUNCTION("""COMPUTED_VALUE"""),"Valunj Yogesh Vijay")</f>
        <v>Valunj Yogesh Vijay</v>
      </c>
      <c r="B323" s="1" t="str">
        <f>IFERROR(__xludf.DUMMYFUNCTION("""COMPUTED_VALUE"""),"M.Tech")</f>
        <v>M.Tech</v>
      </c>
      <c r="C323" s="1">
        <f>IFERROR(__xludf.DUMMYFUNCTION("""COMPUTED_VALUE"""),2012.0)</f>
        <v>2012</v>
      </c>
      <c r="D323" s="1" t="str">
        <f>IFERROR(__xludf.DUMMYFUNCTION("""COMPUTED_VALUE"""),"Quantifying Bullwhip Effect in Supply Chains: Some Recent Developments")</f>
        <v>Quantifying Bullwhip Effect in Supply Chains: Some Recent Developments</v>
      </c>
      <c r="E323" s="1"/>
    </row>
    <row r="324" ht="15.75" customHeight="1">
      <c r="A324" s="1" t="str">
        <f>IFERROR(__xludf.DUMMYFUNCTION("""COMPUTED_VALUE"""),"Vikas Kankani")</f>
        <v>Vikas Kankani</v>
      </c>
      <c r="B324" s="1" t="str">
        <f>IFERROR(__xludf.DUMMYFUNCTION("""COMPUTED_VALUE"""),"M.Tech")</f>
        <v>M.Tech</v>
      </c>
      <c r="C324" s="1">
        <f>IFERROR(__xludf.DUMMYFUNCTION("""COMPUTED_VALUE"""),2012.0)</f>
        <v>2012</v>
      </c>
      <c r="D324" s="1" t="str">
        <f>IFERROR(__xludf.DUMMYFUNCTION("""COMPUTED_VALUE"""),"COOPERATIVE GAME THEORY AND CHARACTERIZATION OF SHAPLEY VALUE FOR DIFFERENT 
GAMES")</f>
        <v>COOPERATIVE GAME THEORY AND CHARACTERIZATION OF SHAPLEY VALUE FOR DIFFERENT 
GAMES</v>
      </c>
      <c r="E324" s="1"/>
    </row>
    <row r="325" ht="15.75" customHeight="1">
      <c r="A325" s="1" t="str">
        <f>IFERROR(__xludf.DUMMYFUNCTION("""COMPUTED_VALUE"""),"Bharat Singh Raghav")</f>
        <v>Bharat Singh Raghav</v>
      </c>
      <c r="B325" s="1" t="str">
        <f>IFERROR(__xludf.DUMMYFUNCTION("""COMPUTED_VALUE"""),"M.Tech")</f>
        <v>M.Tech</v>
      </c>
      <c r="C325" s="1">
        <f>IFERROR(__xludf.DUMMYFUNCTION("""COMPUTED_VALUE"""),2011.0)</f>
        <v>2011</v>
      </c>
      <c r="D325" s="1" t="str">
        <f>IFERROR(__xludf.DUMMYFUNCTION("""COMPUTED_VALUE"""),"Performance Analysis of a Delay Dependent Priority Queue")</f>
        <v>Performance Analysis of a Delay Dependent Priority Queue</v>
      </c>
      <c r="E325" s="1"/>
    </row>
    <row r="326" ht="15.75" customHeight="1">
      <c r="A326" s="1" t="str">
        <f>IFERROR(__xludf.DUMMYFUNCTION("""COMPUTED_VALUE"""),"Chandrama Naha")</f>
        <v>Chandrama Naha</v>
      </c>
      <c r="B326" s="1" t="str">
        <f>IFERROR(__xludf.DUMMYFUNCTION("""COMPUTED_VALUE"""),"M.Tech")</f>
        <v>M.Tech</v>
      </c>
      <c r="C326" s="1">
        <f>IFERROR(__xludf.DUMMYFUNCTION("""COMPUTED_VALUE"""),2011.0)</f>
        <v>2011</v>
      </c>
      <c r="D326" s="1" t="str">
        <f>IFERROR(__xludf.DUMMYFUNCTION("""COMPUTED_VALUE"""),"Agent Based Simulation Games for Analysis of Supply Chain Processes")</f>
        <v>Agent Based Simulation Games for Analysis of Supply Chain Processes</v>
      </c>
      <c r="E326" s="1"/>
    </row>
    <row r="327" ht="15.75" customHeight="1">
      <c r="A327" s="1" t="str">
        <f>IFERROR(__xludf.DUMMYFUNCTION("""COMPUTED_VALUE"""),"Chiranjoy Chowdhuri")</f>
        <v>Chiranjoy Chowdhuri</v>
      </c>
      <c r="B327" s="1" t="str">
        <f>IFERROR(__xludf.DUMMYFUNCTION("""COMPUTED_VALUE"""),"M.Tech")</f>
        <v>M.Tech</v>
      </c>
      <c r="C327" s="1">
        <f>IFERROR(__xludf.DUMMYFUNCTION("""COMPUTED_VALUE"""),2011.0)</f>
        <v>2011</v>
      </c>
      <c r="D327" s="1" t="str">
        <f>IFERROR(__xludf.DUMMYFUNCTION("""COMPUTED_VALUE"""),"Mutual Exclusion Scheduling using Bounded Vertex Coloring and Bin Packing 
with Conflicts")</f>
        <v>Mutual Exclusion Scheduling using Bounded Vertex Coloring and Bin Packing 
with Conflicts</v>
      </c>
      <c r="E327" s="1"/>
    </row>
    <row r="328" ht="15.75" customHeight="1">
      <c r="A328" s="1" t="str">
        <f>IFERROR(__xludf.DUMMYFUNCTION("""COMPUTED_VALUE"""),"Damayyawar Dileep Siddheshwar")</f>
        <v>Damayyawar Dileep Siddheshwar</v>
      </c>
      <c r="B328" s="1" t="str">
        <f>IFERROR(__xludf.DUMMYFUNCTION("""COMPUTED_VALUE"""),"M.Tech")</f>
        <v>M.Tech</v>
      </c>
      <c r="C328" s="1">
        <f>IFERROR(__xludf.DUMMYFUNCTION("""COMPUTED_VALUE"""),2011.0)</f>
        <v>2011</v>
      </c>
      <c r="D328" s="1" t="str">
        <f>IFERROR(__xludf.DUMMYFUNCTION("""COMPUTED_VALUE"""),"Inventory Planning and Management of a Cold Storage Facility for Grapes")</f>
        <v>Inventory Planning and Management of a Cold Storage Facility for Grapes</v>
      </c>
      <c r="E328" s="1"/>
    </row>
    <row r="329" ht="15.75" customHeight="1">
      <c r="A329" s="1" t="str">
        <f>IFERROR(__xludf.DUMMYFUNCTION("""COMPUTED_VALUE"""),"Ingulkar Raju Raghunath")</f>
        <v>Ingulkar Raju Raghunath</v>
      </c>
      <c r="B329" s="1" t="str">
        <f>IFERROR(__xludf.DUMMYFUNCTION("""COMPUTED_VALUE"""),"M.Tech")</f>
        <v>M.Tech</v>
      </c>
      <c r="C329" s="1">
        <f>IFERROR(__xludf.DUMMYFUNCTION("""COMPUTED_VALUE"""),2011.0)</f>
        <v>2011</v>
      </c>
      <c r="D329" s="1" t="str">
        <f>IFERROR(__xludf.DUMMYFUNCTION("""COMPUTED_VALUE"""),"A Study on Managing Supply Chain for Bottom of the Pyramid Group")</f>
        <v>A Study on Managing Supply Chain for Bottom of the Pyramid Group</v>
      </c>
      <c r="E329" s="1"/>
    </row>
    <row r="330" ht="15.75" customHeight="1">
      <c r="A330" s="1" t="str">
        <f>IFERROR(__xludf.DUMMYFUNCTION("""COMPUTED_VALUE"""),"Kamath Vibhav Vivek")</f>
        <v>Kamath Vibhav Vivek</v>
      </c>
      <c r="B330" s="1" t="str">
        <f>IFERROR(__xludf.DUMMYFUNCTION("""COMPUTED_VALUE"""),"M.Tech")</f>
        <v>M.Tech</v>
      </c>
      <c r="C330" s="1">
        <f>IFERROR(__xludf.DUMMYFUNCTION("""COMPUTED_VALUE"""),2011.0)</f>
        <v>2011</v>
      </c>
      <c r="D330" s="1" t="str">
        <f>IFERROR(__xludf.DUMMYFUNCTION("""COMPUTED_VALUE"""),"Analysis of Parameter Uncertainty in Queuing Systems")</f>
        <v>Analysis of Parameter Uncertainty in Queuing Systems</v>
      </c>
      <c r="E330" s="1"/>
    </row>
    <row r="331" ht="15.75" customHeight="1">
      <c r="A331" s="1" t="str">
        <f>IFERROR(__xludf.DUMMYFUNCTION("""COMPUTED_VALUE"""),"Krishna Chaitanya V.")</f>
        <v>Krishna Chaitanya V.</v>
      </c>
      <c r="B331" s="1" t="str">
        <f>IFERROR(__xludf.DUMMYFUNCTION("""COMPUTED_VALUE"""),"M.Tech")</f>
        <v>M.Tech</v>
      </c>
      <c r="C331" s="1">
        <f>IFERROR(__xludf.DUMMYFUNCTION("""COMPUTED_VALUE"""),2011.0)</f>
        <v>2011</v>
      </c>
      <c r="D331" s="1" t="str">
        <f>IFERROR(__xludf.DUMMYFUNCTION("""COMPUTED_VALUE"""),"An Excess-based Solution Concept for Cooperative Games with Transferable 
Utility")</f>
        <v>An Excess-based Solution Concept for Cooperative Games with Transferable 
Utility</v>
      </c>
      <c r="E331" s="1"/>
    </row>
    <row r="332" ht="15.75" customHeight="1">
      <c r="A332" s="1" t="str">
        <f>IFERROR(__xludf.DUMMYFUNCTION("""COMPUTED_VALUE"""),"Mukul Sharma")</f>
        <v>Mukul Sharma</v>
      </c>
      <c r="B332" s="1" t="str">
        <f>IFERROR(__xludf.DUMMYFUNCTION("""COMPUTED_VALUE"""),"M.Tech")</f>
        <v>M.Tech</v>
      </c>
      <c r="C332" s="1">
        <f>IFERROR(__xludf.DUMMYFUNCTION("""COMPUTED_VALUE"""),2011.0)</f>
        <v>2011</v>
      </c>
      <c r="D332" s="1" t="str">
        <f>IFERROR(__xludf.DUMMYFUNCTION("""COMPUTED_VALUE"""),"Robust Airline Scheduling: Minimizing Airline Delay")</f>
        <v>Robust Airline Scheduling: Minimizing Airline Delay</v>
      </c>
      <c r="E332" s="1"/>
    </row>
    <row r="333" ht="15.75" customHeight="1">
      <c r="A333" s="1" t="str">
        <f>IFERROR(__xludf.DUMMYFUNCTION("""COMPUTED_VALUE"""),"Pratikkumar Vitthalbhai Fadadu")</f>
        <v>Pratikkumar Vitthalbhai Fadadu</v>
      </c>
      <c r="B333" s="1" t="str">
        <f>IFERROR(__xludf.DUMMYFUNCTION("""COMPUTED_VALUE"""),"M.Tech")</f>
        <v>M.Tech</v>
      </c>
      <c r="C333" s="1">
        <f>IFERROR(__xludf.DUMMYFUNCTION("""COMPUTED_VALUE"""),2011.0)</f>
        <v>2011</v>
      </c>
      <c r="D333" s="1" t="str">
        <f>IFERROR(__xludf.DUMMYFUNCTION("""COMPUTED_VALUE"""),"Network Level Investment to Improve Rail Capacity")</f>
        <v>Network Level Investment to Improve Rail Capacity</v>
      </c>
      <c r="E333" s="1"/>
    </row>
    <row r="334" ht="15.75" customHeight="1">
      <c r="A334" s="1" t="str">
        <f>IFERROR(__xludf.DUMMYFUNCTION("""COMPUTED_VALUE"""),"Raghavendran Mohan")</f>
        <v>Raghavendran Mohan</v>
      </c>
      <c r="B334" s="1" t="str">
        <f>IFERROR(__xludf.DUMMYFUNCTION("""COMPUTED_VALUE"""),"M.Tech")</f>
        <v>M.Tech</v>
      </c>
      <c r="C334" s="1">
        <f>IFERROR(__xludf.DUMMYFUNCTION("""COMPUTED_VALUE"""),2011.0)</f>
        <v>2011</v>
      </c>
      <c r="D334" s="1" t="str">
        <f>IFERROR(__xludf.DUMMYFUNCTION("""COMPUTED_VALUE"""),"Internet Reverse Auctions with Multiple Buyers and Multiple Suppliers in a 
Supply Chain")</f>
        <v>Internet Reverse Auctions with Multiple Buyers and Multiple Suppliers in a 
Supply Chain</v>
      </c>
      <c r="E334" s="1"/>
    </row>
    <row r="335" ht="15.75" customHeight="1">
      <c r="A335" s="1" t="str">
        <f>IFERROR(__xludf.DUMMYFUNCTION("""COMPUTED_VALUE"""),"Sunil Kumar")</f>
        <v>Sunil Kumar</v>
      </c>
      <c r="B335" s="1" t="str">
        <f>IFERROR(__xludf.DUMMYFUNCTION("""COMPUTED_VALUE"""),"M.Tech")</f>
        <v>M.Tech</v>
      </c>
      <c r="C335" s="1">
        <f>IFERROR(__xludf.DUMMYFUNCTION("""COMPUTED_VALUE"""),2011.0)</f>
        <v>2011</v>
      </c>
      <c r="D335" s="1" t="str">
        <f>IFERROR(__xludf.DUMMYFUNCTION("""COMPUTED_VALUE"""),"Transfer Pricing and Transportation Cost Allocation in a Global Supply 
Chain under Exchange Rate Uncertainty")</f>
        <v>Transfer Pricing and Transportation Cost Allocation in a Global Supply 
Chain under Exchange Rate Uncertainty</v>
      </c>
      <c r="E335" s="1"/>
    </row>
    <row r="336" ht="15.75" customHeight="1">
      <c r="A336" s="1" t="str">
        <f>IFERROR(__xludf.DUMMYFUNCTION("""COMPUTED_VALUE"""),"Suralkar Varsha Suresh")</f>
        <v>Suralkar Varsha Suresh</v>
      </c>
      <c r="B336" s="1" t="str">
        <f>IFERROR(__xludf.DUMMYFUNCTION("""COMPUTED_VALUE"""),"M.Tech")</f>
        <v>M.Tech</v>
      </c>
      <c r="C336" s="1">
        <f>IFERROR(__xludf.DUMMYFUNCTION("""COMPUTED_VALUE"""),2011.0)</f>
        <v>2011</v>
      </c>
      <c r="D336" s="1" t="str">
        <f>IFERROR(__xludf.DUMMYFUNCTION("""COMPUTED_VALUE"""),"One-Dimensional Cutting Stock Problem: Recent Developments")</f>
        <v>One-Dimensional Cutting Stock Problem: Recent Developments</v>
      </c>
      <c r="E336" s="1"/>
    </row>
    <row r="337" ht="15.75" customHeight="1">
      <c r="A337" s="1" t="str">
        <f>IFERROR(__xludf.DUMMYFUNCTION("""COMPUTED_VALUE"""),"Vinit Kumar Rongata")</f>
        <v>Vinit Kumar Rongata</v>
      </c>
      <c r="B337" s="1" t="str">
        <f>IFERROR(__xludf.DUMMYFUNCTION("""COMPUTED_VALUE"""),"M.Tech")</f>
        <v>M.Tech</v>
      </c>
      <c r="C337" s="1">
        <f>IFERROR(__xludf.DUMMYFUNCTION("""COMPUTED_VALUE"""),2011.0)</f>
        <v>2011</v>
      </c>
      <c r="D337" s="1" t="str">
        <f>IFERROR(__xludf.DUMMYFUNCTION("""COMPUTED_VALUE"""),"A Study On Data Envelopment Analysis-Concept, Developments and Applications")</f>
        <v>A Study On Data Envelopment Analysis-Concept, Developments and Applications</v>
      </c>
      <c r="E337" s="1"/>
    </row>
    <row r="338" ht="15.75" customHeight="1">
      <c r="A338" s="1" t="str">
        <f>IFERROR(__xludf.DUMMYFUNCTION("""COMPUTED_VALUE"""),"Violet Bhattacharyya")</f>
        <v>Violet Bhattacharyya</v>
      </c>
      <c r="B338" s="1" t="str">
        <f>IFERROR(__xludf.DUMMYFUNCTION("""COMPUTED_VALUE"""),"M.Tech")</f>
        <v>M.Tech</v>
      </c>
      <c r="C338" s="1">
        <f>IFERROR(__xludf.DUMMYFUNCTION("""COMPUTED_VALUE"""),2011.0)</f>
        <v>2011</v>
      </c>
      <c r="D338" s="1" t="str">
        <f>IFERROR(__xludf.DUMMYFUNCTION("""COMPUTED_VALUE"""),"THE CAPACITATED VEHICLE ROUTING PROBLEM - RECENT DEVELOPMENTS AND AN 
ANALYSIS OF EFFECTS OF PARAMETERS")</f>
        <v>THE CAPACITATED VEHICLE ROUTING PROBLEM - RECENT DEVELOPMENTS AND AN 
ANALYSIS OF EFFECTS OF PARAMETERS</v>
      </c>
      <c r="E338" s="1"/>
    </row>
    <row r="339" ht="15.75" customHeight="1">
      <c r="A339" s="1" t="str">
        <f>IFERROR(__xludf.DUMMYFUNCTION("""COMPUTED_VALUE"""),"Bijulal D.")</f>
        <v>Bijulal D.</v>
      </c>
      <c r="B339" s="1" t="str">
        <f>IFERROR(__xludf.DUMMYFUNCTION("""COMPUTED_VALUE"""),"Ph.D")</f>
        <v>Ph.D</v>
      </c>
      <c r="C339" s="1">
        <f>IFERROR(__xludf.DUMMYFUNCTION("""COMPUTED_VALUE"""),2011.0)</f>
        <v>2011</v>
      </c>
      <c r="D339" s="1" t="str">
        <f>IFERROR(__xludf.DUMMYFUNCTION("""COMPUTED_VALUE"""),"Stability and Service Level based Control of some Forward and Reverse Flow 
Production-Inventory Systems")</f>
        <v>Stability and Service Level based Control of some Forward and Reverse Flow 
Production-Inventory Systems</v>
      </c>
      <c r="E339" s="1"/>
    </row>
    <row r="340" ht="15.75" customHeight="1">
      <c r="A340" s="1" t="str">
        <f>IFERROR(__xludf.DUMMYFUNCTION("""COMPUTED_VALUE"""),"Damodar Garg")</f>
        <v>Damodar Garg</v>
      </c>
      <c r="B340" s="1" t="str">
        <f>IFERROR(__xludf.DUMMYFUNCTION("""COMPUTED_VALUE"""),"M.Tech")</f>
        <v>M.Tech</v>
      </c>
      <c r="C340" s="1">
        <f>IFERROR(__xludf.DUMMYFUNCTION("""COMPUTED_VALUE"""),2010.0)</f>
        <v>2010</v>
      </c>
      <c r="D340" s="1" t="str">
        <f>IFERROR(__xludf.DUMMYFUNCTION("""COMPUTED_VALUE"""),"Web Service Based Distributed Simulation Environment")</f>
        <v>Web Service Based Distributed Simulation Environment</v>
      </c>
      <c r="E340" s="1"/>
    </row>
    <row r="341" ht="15.75" customHeight="1">
      <c r="A341" s="1" t="str">
        <f>IFERROR(__xludf.DUMMYFUNCTION("""COMPUTED_VALUE"""),"Dashrath")</f>
        <v>Dashrath</v>
      </c>
      <c r="B341" s="1" t="str">
        <f>IFERROR(__xludf.DUMMYFUNCTION("""COMPUTED_VALUE"""),"M.Tech")</f>
        <v>M.Tech</v>
      </c>
      <c r="C341" s="1">
        <f>IFERROR(__xludf.DUMMYFUNCTION("""COMPUTED_VALUE"""),2010.0)</f>
        <v>2010</v>
      </c>
      <c r="D341" s="1" t="str">
        <f>IFERROR(__xludf.DUMMYFUNCTION("""COMPUTED_VALUE"""),"Pricing Communication Networks")</f>
        <v>Pricing Communication Networks</v>
      </c>
      <c r="E341" s="1"/>
    </row>
    <row r="342" ht="15.75" customHeight="1">
      <c r="A342" s="1" t="str">
        <f>IFERROR(__xludf.DUMMYFUNCTION("""COMPUTED_VALUE"""),"Kulkarni Atul Ramesh")</f>
        <v>Kulkarni Atul Ramesh</v>
      </c>
      <c r="B342" s="1" t="str">
        <f>IFERROR(__xludf.DUMMYFUNCTION("""COMPUTED_VALUE"""),"M.Tech")</f>
        <v>M.Tech</v>
      </c>
      <c r="C342" s="1">
        <f>IFERROR(__xludf.DUMMYFUNCTION("""COMPUTED_VALUE"""),2010.0)</f>
        <v>2010</v>
      </c>
      <c r="D342" s="1" t="str">
        <f>IFERROR(__xludf.DUMMYFUNCTION("""COMPUTED_VALUE"""),"Network Optimization with application to supply chain")</f>
        <v>Network Optimization with application to supply chain</v>
      </c>
      <c r="E342" s="1"/>
    </row>
    <row r="343" ht="15.75" customHeight="1">
      <c r="A343" s="1" t="str">
        <f>IFERROR(__xludf.DUMMYFUNCTION("""COMPUTED_VALUE"""),"Meenarli Sharma")</f>
        <v>Meenarli Sharma</v>
      </c>
      <c r="B343" s="1" t="str">
        <f>IFERROR(__xludf.DUMMYFUNCTION("""COMPUTED_VALUE"""),"M.Tech")</f>
        <v>M.Tech</v>
      </c>
      <c r="C343" s="1">
        <f>IFERROR(__xludf.DUMMYFUNCTION("""COMPUTED_VALUE"""),2010.0)</f>
        <v>2010</v>
      </c>
      <c r="D343" s="1" t="str">
        <f>IFERROR(__xludf.DUMMYFUNCTION("""COMPUTED_VALUE"""),"Heuristics in Resource Constrained Project Scheduling")</f>
        <v>Heuristics in Resource Constrained Project Scheduling</v>
      </c>
      <c r="E343" s="1"/>
    </row>
    <row r="344" ht="15.75" customHeight="1">
      <c r="A344" s="1" t="str">
        <f>IFERROR(__xludf.DUMMYFUNCTION("""COMPUTED_VALUE"""),"Meghraj Nalge")</f>
        <v>Meghraj Nalge</v>
      </c>
      <c r="B344" s="1" t="str">
        <f>IFERROR(__xludf.DUMMYFUNCTION("""COMPUTED_VALUE"""),"M.Tech")</f>
        <v>M.Tech</v>
      </c>
      <c r="C344" s="1">
        <f>IFERROR(__xludf.DUMMYFUNCTION("""COMPUTED_VALUE"""),2010.0)</f>
        <v>2010</v>
      </c>
      <c r="D344" s="1" t="str">
        <f>IFERROR(__xludf.DUMMYFUNCTION("""COMPUTED_VALUE"""),"Adaptive Traffic Control Methods with Downstream Detection System")</f>
        <v>Adaptive Traffic Control Methods with Downstream Detection System</v>
      </c>
      <c r="E344" s="1"/>
    </row>
    <row r="345" ht="15.75" customHeight="1">
      <c r="A345" s="1" t="str">
        <f>IFERROR(__xludf.DUMMYFUNCTION("""COMPUTED_VALUE"""),"Patil Nikhil Suresh")</f>
        <v>Patil Nikhil Suresh</v>
      </c>
      <c r="B345" s="1" t="str">
        <f>IFERROR(__xludf.DUMMYFUNCTION("""COMPUTED_VALUE"""),"M.Tech")</f>
        <v>M.Tech</v>
      </c>
      <c r="C345" s="1">
        <f>IFERROR(__xludf.DUMMYFUNCTION("""COMPUTED_VALUE"""),2010.0)</f>
        <v>2010</v>
      </c>
      <c r="D345" s="1" t="str">
        <f>IFERROR(__xludf.DUMMYFUNCTION("""COMPUTED_VALUE"""),"University Timetabling and Resource Scheduling")</f>
        <v>University Timetabling and Resource Scheduling</v>
      </c>
      <c r="E345" s="1"/>
    </row>
    <row r="346" ht="15.75" customHeight="1">
      <c r="A346" s="1" t="str">
        <f>IFERROR(__xludf.DUMMYFUNCTION("""COMPUTED_VALUE"""),"Polu Ashok Kumar Reddy")</f>
        <v>Polu Ashok Kumar Reddy</v>
      </c>
      <c r="B346" s="1" t="str">
        <f>IFERROR(__xludf.DUMMYFUNCTION("""COMPUTED_VALUE"""),"M.Tech")</f>
        <v>M.Tech</v>
      </c>
      <c r="C346" s="1">
        <f>IFERROR(__xludf.DUMMYFUNCTION("""COMPUTED_VALUE"""),2010.0)</f>
        <v>2010</v>
      </c>
      <c r="D346" s="1" t="str">
        <f>IFERROR(__xludf.DUMMYFUNCTION("""COMPUTED_VALUE"""),"Hybrid Genetic algorithms for Job Shop Scheduling")</f>
        <v>Hybrid Genetic algorithms for Job Shop Scheduling</v>
      </c>
      <c r="E346" s="1"/>
    </row>
    <row r="347" ht="15.75" customHeight="1">
      <c r="A347" s="1" t="str">
        <f>IFERROR(__xludf.DUMMYFUNCTION("""COMPUTED_VALUE"""),"Priyank Umraode")</f>
        <v>Priyank Umraode</v>
      </c>
      <c r="B347" s="1" t="str">
        <f>IFERROR(__xludf.DUMMYFUNCTION("""COMPUTED_VALUE"""),"M.Tech")</f>
        <v>M.Tech</v>
      </c>
      <c r="C347" s="1">
        <f>IFERROR(__xludf.DUMMYFUNCTION("""COMPUTED_VALUE"""),2010.0)</f>
        <v>2010</v>
      </c>
      <c r="D347" s="1" t="str">
        <f>IFERROR(__xludf.DUMMYFUNCTION("""COMPUTED_VALUE"""),"Managing Wastes in supply chain- A case study")</f>
        <v>Managing Wastes in supply chain- A case study</v>
      </c>
      <c r="E347" s="1"/>
    </row>
    <row r="348" ht="15.75" customHeight="1">
      <c r="A348" s="1" t="str">
        <f>IFERROR(__xludf.DUMMYFUNCTION("""COMPUTED_VALUE"""),"Rajat Choudhary")</f>
        <v>Rajat Choudhary</v>
      </c>
      <c r="B348" s="1" t="str">
        <f>IFERROR(__xludf.DUMMYFUNCTION("""COMPUTED_VALUE"""),"M.Tech")</f>
        <v>M.Tech</v>
      </c>
      <c r="C348" s="1">
        <f>IFERROR(__xludf.DUMMYFUNCTION("""COMPUTED_VALUE"""),2010.0)</f>
        <v>2010</v>
      </c>
      <c r="D348" s="1" t="str">
        <f>IFERROR(__xludf.DUMMYFUNCTION("""COMPUTED_VALUE"""),"Vehicle Routing Problem: Application to routing of vehicles for 
distributing meals under the Mid Day Meal Scheme")</f>
        <v>Vehicle Routing Problem: Application to routing of vehicles for 
distributing meals under the Mid Day Meal Scheme</v>
      </c>
      <c r="E348" s="1"/>
    </row>
    <row r="349" ht="15.75" customHeight="1">
      <c r="A349" s="1" t="str">
        <f>IFERROR(__xludf.DUMMYFUNCTION("""COMPUTED_VALUE"""),"Sankar S.")</f>
        <v>Sankar S.</v>
      </c>
      <c r="B349" s="1" t="str">
        <f>IFERROR(__xludf.DUMMYFUNCTION("""COMPUTED_VALUE"""),"M.Tech")</f>
        <v>M.Tech</v>
      </c>
      <c r="C349" s="1">
        <f>IFERROR(__xludf.DUMMYFUNCTION("""COMPUTED_VALUE"""),2010.0)</f>
        <v>2010</v>
      </c>
      <c r="D349" s="1" t="str">
        <f>IFERROR(__xludf.DUMMYFUNCTION("""COMPUTED_VALUE"""),"Parallel and Distributed Discrete Event Simulation")</f>
        <v>Parallel and Distributed Discrete Event Simulation</v>
      </c>
      <c r="E349" s="1"/>
    </row>
    <row r="350" ht="15.75" customHeight="1">
      <c r="A350" s="1" t="str">
        <f>IFERROR(__xludf.DUMMYFUNCTION("""COMPUTED_VALUE"""),"Satish Kumar Amirisetti")</f>
        <v>Satish Kumar Amirisetti</v>
      </c>
      <c r="B350" s="1" t="str">
        <f>IFERROR(__xludf.DUMMYFUNCTION("""COMPUTED_VALUE"""),"M.Tech")</f>
        <v>M.Tech</v>
      </c>
      <c r="C350" s="1">
        <f>IFERROR(__xludf.DUMMYFUNCTION("""COMPUTED_VALUE"""),2010.0)</f>
        <v>2010</v>
      </c>
      <c r="D350" s="1" t="str">
        <f>IFERROR(__xludf.DUMMYFUNCTION("""COMPUTED_VALUE"""),"Mixed Integer Programming applied to Distribution System Reconfiguration")</f>
        <v>Mixed Integer Programming applied to Distribution System Reconfiguration</v>
      </c>
      <c r="E350" s="1"/>
    </row>
    <row r="351" ht="15.75" customHeight="1">
      <c r="A351" s="1" t="str">
        <f>IFERROR(__xludf.DUMMYFUNCTION("""COMPUTED_VALUE"""),"Saykhedkar Harshad Sanjay")</f>
        <v>Saykhedkar Harshad Sanjay</v>
      </c>
      <c r="B351" s="1" t="str">
        <f>IFERROR(__xludf.DUMMYFUNCTION("""COMPUTED_VALUE"""),"M.Tech")</f>
        <v>M.Tech</v>
      </c>
      <c r="C351" s="1">
        <f>IFERROR(__xludf.DUMMYFUNCTION("""COMPUTED_VALUE"""),2010.0)</f>
        <v>2010</v>
      </c>
      <c r="D351" s="1" t="str">
        <f>IFERROR(__xludf.DUMMYFUNCTION("""COMPUTED_VALUE"""),"Markov decision Process Model for Opportunistic Scheduling in Wireless 
Networks")</f>
        <v>Markov decision Process Model for Opportunistic Scheduling in Wireless 
Networks</v>
      </c>
      <c r="E351" s="1"/>
    </row>
    <row r="352" ht="15.75" customHeight="1">
      <c r="A352" s="1" t="str">
        <f>IFERROR(__xludf.DUMMYFUNCTION("""COMPUTED_VALUE"""),"Virendra Patidar")</f>
        <v>Virendra Patidar</v>
      </c>
      <c r="B352" s="1" t="str">
        <f>IFERROR(__xludf.DUMMYFUNCTION("""COMPUTED_VALUE"""),"M.Tech")</f>
        <v>M.Tech</v>
      </c>
      <c r="C352" s="1">
        <f>IFERROR(__xludf.DUMMYFUNCTION("""COMPUTED_VALUE"""),2010.0)</f>
        <v>2010</v>
      </c>
      <c r="D352" s="1" t="str">
        <f>IFERROR(__xludf.DUMMYFUNCTION("""COMPUTED_VALUE"""),"Heuristics for Quadratic Assignment Problem")</f>
        <v>Heuristics for Quadratic Assignment Problem</v>
      </c>
      <c r="E352" s="1"/>
    </row>
    <row r="353" ht="15.75" customHeight="1">
      <c r="A353" s="1" t="str">
        <f>IFERROR(__xludf.DUMMYFUNCTION("""COMPUTED_VALUE"""),"More Dileep Satappa")</f>
        <v>More Dileep Satappa</v>
      </c>
      <c r="B353" s="1" t="str">
        <f>IFERROR(__xludf.DUMMYFUNCTION("""COMPUTED_VALUE"""),"Ph.D")</f>
        <v>Ph.D</v>
      </c>
      <c r="C353" s="1">
        <f>IFERROR(__xludf.DUMMYFUNCTION("""COMPUTED_VALUE"""),2010.0)</f>
        <v>2010</v>
      </c>
      <c r="D353" s="1" t="str">
        <f>IFERROR(__xludf.DUMMYFUNCTION("""COMPUTED_VALUE"""),"Some Studies on Supply Chain Flexibility")</f>
        <v>Some Studies on Supply Chain Flexibility</v>
      </c>
      <c r="E353" s="1"/>
    </row>
    <row r="354" ht="15.75" customHeight="1">
      <c r="A354" s="1" t="str">
        <f>IFERROR(__xludf.DUMMYFUNCTION("""COMPUTED_VALUE"""),"ABHISHEK SINGH VERMA")</f>
        <v>ABHISHEK SINGH VERMA</v>
      </c>
      <c r="B354" s="1" t="str">
        <f>IFERROR(__xludf.DUMMYFUNCTION("""COMPUTED_VALUE"""),"M.Tech")</f>
        <v>M.Tech</v>
      </c>
      <c r="C354" s="1">
        <f>IFERROR(__xludf.DUMMYFUNCTION("""COMPUTED_VALUE"""),2009.0)</f>
        <v>2009</v>
      </c>
      <c r="D354" s="1" t="str">
        <f>IFERROR(__xludf.DUMMYFUNCTION("""COMPUTED_VALUE"""),"Production Planning &amp; Scheduling in Automotive Paint Shops")</f>
        <v>Production Planning &amp; Scheduling in Automotive Paint Shops</v>
      </c>
      <c r="E354" s="1"/>
    </row>
    <row r="355" ht="15.75" customHeight="1">
      <c r="A355" s="1" t="str">
        <f>IFERROR(__xludf.DUMMYFUNCTION("""COMPUTED_VALUE"""),"AITHA PRATEEP KUMAR")</f>
        <v>AITHA PRATEEP KUMAR</v>
      </c>
      <c r="B355" s="1" t="str">
        <f>IFERROR(__xludf.DUMMYFUNCTION("""COMPUTED_VALUE"""),"M.Tech")</f>
        <v>M.Tech</v>
      </c>
      <c r="C355" s="1">
        <f>IFERROR(__xludf.DUMMYFUNCTION("""COMPUTED_VALUE"""),2009.0)</f>
        <v>2009</v>
      </c>
      <c r="D355" s="1" t="str">
        <f>IFERROR(__xludf.DUMMYFUNCTION("""COMPUTED_VALUE"""),"A REAL OPTIONS APPROACH TO PROJECT VALUATIONS: APPLICATION TO RFID 
INVESTMENT VALUATION IN SUPPLY CHAINS")</f>
        <v>A REAL OPTIONS APPROACH TO PROJECT VALUATIONS: APPLICATION TO RFID 
INVESTMENT VALUATION IN SUPPLY CHAINS</v>
      </c>
      <c r="E355" s="1"/>
    </row>
    <row r="356" ht="15.75" customHeight="1">
      <c r="A356" s="1" t="str">
        <f>IFERROR(__xludf.DUMMYFUNCTION("""COMPUTED_VALUE"""),"ANIL KUMAR")</f>
        <v>ANIL KUMAR</v>
      </c>
      <c r="B356" s="1" t="str">
        <f>IFERROR(__xludf.DUMMYFUNCTION("""COMPUTED_VALUE"""),"M.Tech")</f>
        <v>M.Tech</v>
      </c>
      <c r="C356" s="1">
        <f>IFERROR(__xludf.DUMMYFUNCTION("""COMPUTED_VALUE"""),2009.0)</f>
        <v>2009</v>
      </c>
      <c r="D356" s="1" t="str">
        <f>IFERROR(__xludf.DUMMYFUNCTION("""COMPUTED_VALUE"""),"Supply Chain Coordination with Revenue Sharing Contract through Game Theory 
Approach")</f>
        <v>Supply Chain Coordination with Revenue Sharing Contract through Game Theory 
Approach</v>
      </c>
      <c r="E356" s="1"/>
    </row>
    <row r="357" ht="15.75" customHeight="1">
      <c r="A357" s="1" t="str">
        <f>IFERROR(__xludf.DUMMYFUNCTION("""COMPUTED_VALUE"""),"ANKUR SINGH")</f>
        <v>ANKUR SINGH</v>
      </c>
      <c r="B357" s="1" t="str">
        <f>IFERROR(__xludf.DUMMYFUNCTION("""COMPUTED_VALUE"""),"M.Tech")</f>
        <v>M.Tech</v>
      </c>
      <c r="C357" s="1">
        <f>IFERROR(__xludf.DUMMYFUNCTION("""COMPUTED_VALUE"""),2009.0)</f>
        <v>2009</v>
      </c>
      <c r="D357" s="1" t="str">
        <f>IFERROR(__xludf.DUMMYFUNCTION("""COMPUTED_VALUE"""),"Impact of Demand Forecasting Techniques on Supply Chain Performance")</f>
        <v>Impact of Demand Forecasting Techniques on Supply Chain Performance</v>
      </c>
      <c r="E357" s="1"/>
    </row>
    <row r="358" ht="15.75" customHeight="1">
      <c r="A358" s="1" t="str">
        <f>IFERROR(__xludf.DUMMYFUNCTION("""COMPUTED_VALUE"""),"B VINOD KUMAR REDDY")</f>
        <v>B VINOD KUMAR REDDY</v>
      </c>
      <c r="B358" s="1" t="str">
        <f>IFERROR(__xludf.DUMMYFUNCTION("""COMPUTED_VALUE"""),"M.Tech")</f>
        <v>M.Tech</v>
      </c>
      <c r="C358" s="1">
        <f>IFERROR(__xludf.DUMMYFUNCTION("""COMPUTED_VALUE"""),2009.0)</f>
        <v>2009</v>
      </c>
      <c r="D358" s="1" t="str">
        <f>IFERROR(__xludf.DUMMYFUNCTION("""COMPUTED_VALUE"""),"OUTPUT ANALYSIS IN DISTRIBUTED SIMULATION OF SUPPLY CHAINS")</f>
        <v>OUTPUT ANALYSIS IN DISTRIBUTED SIMULATION OF SUPPLY CHAINS</v>
      </c>
      <c r="E358" s="1"/>
    </row>
    <row r="359" ht="15.75" customHeight="1">
      <c r="A359" s="1" t="str">
        <f>IFERROR(__xludf.DUMMYFUNCTION("""COMPUTED_VALUE"""),"BEJGAMWAR GAJANAN NAGNATH")</f>
        <v>BEJGAMWAR GAJANAN NAGNATH</v>
      </c>
      <c r="B359" s="1" t="str">
        <f>IFERROR(__xludf.DUMMYFUNCTION("""COMPUTED_VALUE"""),"M.Tech")</f>
        <v>M.Tech</v>
      </c>
      <c r="C359" s="1">
        <f>IFERROR(__xludf.DUMMYFUNCTION("""COMPUTED_VALUE"""),2009.0)</f>
        <v>2009</v>
      </c>
      <c r="D359" s="1" t="str">
        <f>IFERROR(__xludf.DUMMYFUNCTION("""COMPUTED_VALUE"""),"A Study on Warranty Policies")</f>
        <v>A Study on Warranty Policies</v>
      </c>
      <c r="E359" s="1"/>
    </row>
    <row r="360" ht="15.75" customHeight="1">
      <c r="A360" s="1" t="str">
        <f>IFERROR(__xludf.DUMMYFUNCTION("""COMPUTED_VALUE"""),"D. Narendra Varma")</f>
        <v>D. Narendra Varma</v>
      </c>
      <c r="B360" s="1" t="str">
        <f>IFERROR(__xludf.DUMMYFUNCTION("""COMPUTED_VALUE"""),"M.Tech")</f>
        <v>M.Tech</v>
      </c>
      <c r="C360" s="1">
        <f>IFERROR(__xludf.DUMMYFUNCTION("""COMPUTED_VALUE"""),2009.0)</f>
        <v>2009</v>
      </c>
      <c r="D360" s="1" t="str">
        <f>IFERROR(__xludf.DUMMYFUNCTION("""COMPUTED_VALUE"""),"Sensitivity Analysis of Value at Risk (VaR) and Conditional Value at Risk 
(CVaR)")</f>
        <v>Sensitivity Analysis of Value at Risk (VaR) and Conditional Value at Risk 
(CVaR)</v>
      </c>
      <c r="E360" s="1"/>
    </row>
    <row r="361" ht="15.75" customHeight="1">
      <c r="A361" s="1" t="str">
        <f>IFERROR(__xludf.DUMMYFUNCTION("""COMPUTED_VALUE"""),"DEEPESH JAIN")</f>
        <v>DEEPESH JAIN</v>
      </c>
      <c r="B361" s="1" t="str">
        <f>IFERROR(__xludf.DUMMYFUNCTION("""COMPUTED_VALUE"""),"M.Tech")</f>
        <v>M.Tech</v>
      </c>
      <c r="C361" s="1">
        <f>IFERROR(__xludf.DUMMYFUNCTION("""COMPUTED_VALUE"""),2009.0)</f>
        <v>2009</v>
      </c>
      <c r="D361" s="1" t="str">
        <f>IFERROR(__xludf.DUMMYFUNCTION("""COMPUTED_VALUE"""),"Robust Optimization based Multi-period Portfolio Management")</f>
        <v>Robust Optimization based Multi-period Portfolio Management</v>
      </c>
      <c r="E361" s="1"/>
    </row>
    <row r="362" ht="15.75" customHeight="1">
      <c r="A362" s="1" t="str">
        <f>IFERROR(__xludf.DUMMYFUNCTION("""COMPUTED_VALUE"""),"JOSHI SANDIP SUBHASHRAO")</f>
        <v>JOSHI SANDIP SUBHASHRAO</v>
      </c>
      <c r="B362" s="1" t="str">
        <f>IFERROR(__xludf.DUMMYFUNCTION("""COMPUTED_VALUE"""),"M.Tech")</f>
        <v>M.Tech</v>
      </c>
      <c r="C362" s="1">
        <f>IFERROR(__xludf.DUMMYFUNCTION("""COMPUTED_VALUE"""),2009.0)</f>
        <v>2009</v>
      </c>
      <c r="D362" s="1" t="str">
        <f>IFERROR(__xludf.DUMMYFUNCTION("""COMPUTED_VALUE"""),"A study of Sponsored Search Auctions")</f>
        <v>A study of Sponsored Search Auctions</v>
      </c>
      <c r="E362" s="1"/>
    </row>
    <row r="363" ht="15.75" customHeight="1">
      <c r="A363" s="1" t="str">
        <f>IFERROR(__xludf.DUMMYFUNCTION("""COMPUTED_VALUE"""),"KADAM SUHAS TARACHAND")</f>
        <v>KADAM SUHAS TARACHAND</v>
      </c>
      <c r="B363" s="1" t="str">
        <f>IFERROR(__xludf.DUMMYFUNCTION("""COMPUTED_VALUE"""),"M.Tech")</f>
        <v>M.Tech</v>
      </c>
      <c r="C363" s="1">
        <f>IFERROR(__xludf.DUMMYFUNCTION("""COMPUTED_VALUE"""),2009.0)</f>
        <v>2009</v>
      </c>
      <c r="D363" s="1" t="str">
        <f>IFERROR(__xludf.DUMMYFUNCTION("""COMPUTED_VALUE"""),"Credit Risk Exposure for different Financial Instruments")</f>
        <v>Credit Risk Exposure for different Financial Instruments</v>
      </c>
      <c r="E363" s="1"/>
    </row>
    <row r="364" ht="15.75" customHeight="1">
      <c r="A364" s="1" t="str">
        <f>IFERROR(__xludf.DUMMYFUNCTION("""COMPUTED_VALUE"""),"KALLOL RAMESH GANGADHARRAO")</f>
        <v>KALLOL RAMESH GANGADHARRAO</v>
      </c>
      <c r="B364" s="1" t="str">
        <f>IFERROR(__xludf.DUMMYFUNCTION("""COMPUTED_VALUE"""),"M.Tech")</f>
        <v>M.Tech</v>
      </c>
      <c r="C364" s="1">
        <f>IFERROR(__xludf.DUMMYFUNCTION("""COMPUTED_VALUE"""),2009.0)</f>
        <v>2009</v>
      </c>
      <c r="D364" s="1" t="str">
        <f>IFERROR(__xludf.DUMMYFUNCTION("""COMPUTED_VALUE"""),"APPLICATIONS OF PRICING AND REVENUE MANAGEMENT")</f>
        <v>APPLICATIONS OF PRICING AND REVENUE MANAGEMENT</v>
      </c>
      <c r="E364" s="1"/>
    </row>
    <row r="365" ht="15.75" customHeight="1">
      <c r="A365" s="1" t="str">
        <f>IFERROR(__xludf.DUMMYFUNCTION("""COMPUTED_VALUE"""),"LOKESH PALIWAL")</f>
        <v>LOKESH PALIWAL</v>
      </c>
      <c r="B365" s="1" t="str">
        <f>IFERROR(__xludf.DUMMYFUNCTION("""COMPUTED_VALUE"""),"M.Tech")</f>
        <v>M.Tech</v>
      </c>
      <c r="C365" s="1">
        <f>IFERROR(__xludf.DUMMYFUNCTION("""COMPUTED_VALUE"""),2009.0)</f>
        <v>2009</v>
      </c>
      <c r="D365" s="1" t="str">
        <f>IFERROR(__xludf.DUMMYFUNCTION("""COMPUTED_VALUE"""),"Model Predictive Control Principles and Applications")</f>
        <v>Model Predictive Control Principles and Applications</v>
      </c>
      <c r="E365" s="1"/>
    </row>
    <row r="366" ht="15.75" customHeight="1">
      <c r="A366" s="1" t="str">
        <f>IFERROR(__xludf.DUMMYFUNCTION("""COMPUTED_VALUE"""),"MOHAMMED JAMAL")</f>
        <v>MOHAMMED JAMAL</v>
      </c>
      <c r="B366" s="1" t="str">
        <f>IFERROR(__xludf.DUMMYFUNCTION("""COMPUTED_VALUE"""),"M.Tech")</f>
        <v>M.Tech</v>
      </c>
      <c r="C366" s="1">
        <f>IFERROR(__xludf.DUMMYFUNCTION("""COMPUTED_VALUE"""),2009.0)</f>
        <v>2009</v>
      </c>
      <c r="D366" s="1" t="str">
        <f>IFERROR(__xludf.DUMMYFUNCTION("""COMPUTED_VALUE"""),"Capacitated lot sizing in multi echelon inventory systems")</f>
        <v>Capacitated lot sizing in multi echelon inventory systems</v>
      </c>
      <c r="E366" s="1"/>
    </row>
    <row r="367" ht="15.75" customHeight="1">
      <c r="A367" s="1" t="str">
        <f>IFERROR(__xludf.DUMMYFUNCTION("""COMPUTED_VALUE"""),"PRASHANT PALKAR")</f>
        <v>PRASHANT PALKAR</v>
      </c>
      <c r="B367" s="1" t="str">
        <f>IFERROR(__xludf.DUMMYFUNCTION("""COMPUTED_VALUE"""),"M.Tech")</f>
        <v>M.Tech</v>
      </c>
      <c r="C367" s="1">
        <f>IFERROR(__xludf.DUMMYFUNCTION("""COMPUTED_VALUE"""),2009.0)</f>
        <v>2009</v>
      </c>
      <c r="D367" s="1" t="str">
        <f>IFERROR(__xludf.DUMMYFUNCTION("""COMPUTED_VALUE"""),"A Study on Custom-Logistics Service Systems")</f>
        <v>A Study on Custom-Logistics Service Systems</v>
      </c>
      <c r="E367" s="1"/>
    </row>
    <row r="368" ht="15.75" customHeight="1">
      <c r="A368" s="1" t="str">
        <f>IFERROR(__xludf.DUMMYFUNCTION("""COMPUTED_VALUE"""),"PRIYANKA JAIN")</f>
        <v>PRIYANKA JAIN</v>
      </c>
      <c r="B368" s="1" t="str">
        <f>IFERROR(__xludf.DUMMYFUNCTION("""COMPUTED_VALUE"""),"M.Tech")</f>
        <v>M.Tech</v>
      </c>
      <c r="C368" s="1">
        <f>IFERROR(__xludf.DUMMYFUNCTION("""COMPUTED_VALUE"""),2009.0)</f>
        <v>2009</v>
      </c>
      <c r="D368" s="1" t="str">
        <f>IFERROR(__xludf.DUMMYFUNCTION("""COMPUTED_VALUE"""),"A Study on Supply Chain Management of a Manufacturing Comapny")</f>
        <v>A Study on Supply Chain Management of a Manufacturing Comapny</v>
      </c>
      <c r="E368" s="1"/>
    </row>
    <row r="369" ht="15.75" customHeight="1">
      <c r="A369" s="1" t="str">
        <f>IFERROR(__xludf.DUMMYFUNCTION("""COMPUTED_VALUE"""),"RANE TUSHAR NEMINATH")</f>
        <v>RANE TUSHAR NEMINATH</v>
      </c>
      <c r="B369" s="1" t="str">
        <f>IFERROR(__xludf.DUMMYFUNCTION("""COMPUTED_VALUE"""),"M.Tech")</f>
        <v>M.Tech</v>
      </c>
      <c r="C369" s="1">
        <f>IFERROR(__xludf.DUMMYFUNCTION("""COMPUTED_VALUE"""),2009.0)</f>
        <v>2009</v>
      </c>
      <c r="D369" s="1" t="str">
        <f>IFERROR(__xludf.DUMMYFUNCTION("""COMPUTED_VALUE"""),"Distributed and Hybrid Simulation Environment for Supply Chain Analysis")</f>
        <v>Distributed and Hybrid Simulation Environment for Supply Chain Analysis</v>
      </c>
      <c r="E369" s="1"/>
    </row>
    <row r="370" ht="15.75" customHeight="1">
      <c r="A370" s="1" t="str">
        <f>IFERROR(__xludf.DUMMYFUNCTION("""COMPUTED_VALUE"""),"SANKARA PRASAD K")</f>
        <v>SANKARA PRASAD K</v>
      </c>
      <c r="B370" s="1" t="str">
        <f>IFERROR(__xludf.DUMMYFUNCTION("""COMPUTED_VALUE"""),"M.Tech")</f>
        <v>M.Tech</v>
      </c>
      <c r="C370" s="1">
        <f>IFERROR(__xludf.DUMMYFUNCTION("""COMPUTED_VALUE"""),2009.0)</f>
        <v>2009</v>
      </c>
      <c r="D370" s="1" t="str">
        <f>IFERROR(__xludf.DUMMYFUNCTION("""COMPUTED_VALUE"""),"Analysis of the Bullwhip Effect and Design of Dynamic Base Stock Control 
Policies in the Multi-Stage Production-Inventory Systems")</f>
        <v>Analysis of the Bullwhip Effect and Design of Dynamic Base Stock Control 
Policies in the Multi-Stage Production-Inventory Systems</v>
      </c>
      <c r="E370" s="1"/>
    </row>
    <row r="371" ht="15.75" customHeight="1">
      <c r="A371" s="1" t="str">
        <f>IFERROR(__xludf.DUMMYFUNCTION("""COMPUTED_VALUE"""),"SHREYA JAIN")</f>
        <v>SHREYA JAIN</v>
      </c>
      <c r="B371" s="1" t="str">
        <f>IFERROR(__xludf.DUMMYFUNCTION("""COMPUTED_VALUE"""),"M.Tech")</f>
        <v>M.Tech</v>
      </c>
      <c r="C371" s="1">
        <f>IFERROR(__xludf.DUMMYFUNCTION("""COMPUTED_VALUE"""),2009.0)</f>
        <v>2009</v>
      </c>
      <c r="D371" s="1" t="str">
        <f>IFERROR(__xludf.DUMMYFUNCTION("""COMPUTED_VALUE"""),"Application of Priority Dispatching Rules in Assembly Job Shop")</f>
        <v>Application of Priority Dispatching Rules in Assembly Job Shop</v>
      </c>
      <c r="E371" s="1"/>
    </row>
    <row r="372" ht="15.75" customHeight="1">
      <c r="A372" s="1" t="str">
        <f>IFERROR(__xludf.DUMMYFUNCTION("""COMPUTED_VALUE"""),"TAPAN DEY")</f>
        <v>TAPAN DEY</v>
      </c>
      <c r="B372" s="1" t="str">
        <f>IFERROR(__xludf.DUMMYFUNCTION("""COMPUTED_VALUE"""),"M.Tech")</f>
        <v>M.Tech</v>
      </c>
      <c r="C372" s="1">
        <f>IFERROR(__xludf.DUMMYFUNCTION("""COMPUTED_VALUE"""),2009.0)</f>
        <v>2009</v>
      </c>
      <c r="D372" s="1" t="str">
        <f>IFERROR(__xludf.DUMMYFUNCTION("""COMPUTED_VALUE"""),"Game Theoretic Analysis in Supply Chain")</f>
        <v>Game Theoretic Analysis in Supply Chain</v>
      </c>
      <c r="E372" s="1"/>
    </row>
    <row r="373" ht="15.75" customHeight="1">
      <c r="A373" s="1" t="str">
        <f>IFERROR(__xludf.DUMMYFUNCTION("""COMPUTED_VALUE"""),"VIGNESH B")</f>
        <v>VIGNESH B</v>
      </c>
      <c r="B373" s="1" t="str">
        <f>IFERROR(__xludf.DUMMYFUNCTION("""COMPUTED_VALUE"""),"M.Tech")</f>
        <v>M.Tech</v>
      </c>
      <c r="C373" s="1">
        <f>IFERROR(__xludf.DUMMYFUNCTION("""COMPUTED_VALUE"""),2009.0)</f>
        <v>2009</v>
      </c>
      <c r="D373" s="1" t="str">
        <f>IFERROR(__xludf.DUMMYFUNCTION("""COMPUTED_VALUE"""),"Capacity Requirement Planning in ITES Supply Chain")</f>
        <v>Capacity Requirement Planning in ITES Supply Chain</v>
      </c>
      <c r="E373" s="1"/>
    </row>
    <row r="374" ht="15.75" customHeight="1">
      <c r="A374" s="1" t="str">
        <f>IFERROR(__xludf.DUMMYFUNCTION("""COMPUTED_VALUE"""),"VINAY KUMAR KALAKBANDI")</f>
        <v>VINAY KUMAR KALAKBANDI</v>
      </c>
      <c r="B374" s="1" t="str">
        <f>IFERROR(__xludf.DUMMYFUNCTION("""COMPUTED_VALUE"""),"M.Tech")</f>
        <v>M.Tech</v>
      </c>
      <c r="C374" s="1">
        <f>IFERROR(__xludf.DUMMYFUNCTION("""COMPUTED_VALUE"""),2009.0)</f>
        <v>2009</v>
      </c>
      <c r="D374" s="1" t="str">
        <f>IFERROR(__xludf.DUMMYFUNCTION("""COMPUTED_VALUE"""),"A Study on Performance Measurement and Improvement in a Manufacturing 
Company")</f>
        <v>A Study on Performance Measurement and Improvement in a Manufacturing 
Company</v>
      </c>
      <c r="E374" s="1"/>
    </row>
    <row r="375" ht="15.75" customHeight="1">
      <c r="A375" s="1" t="str">
        <f>IFERROR(__xludf.DUMMYFUNCTION("""COMPUTED_VALUE"""),"Sundaravalli L.")</f>
        <v>Sundaravalli L.</v>
      </c>
      <c r="B375" s="1" t="str">
        <f>IFERROR(__xludf.DUMMYFUNCTION("""COMPUTED_VALUE"""),"Ph.D")</f>
        <v>Ph.D</v>
      </c>
      <c r="C375" s="1">
        <f>IFERROR(__xludf.DUMMYFUNCTION("""COMPUTED_VALUE"""),2009.0)</f>
        <v>2009</v>
      </c>
      <c r="D375" s="1" t="str">
        <f>IFERROR(__xludf.DUMMYFUNCTION("""COMPUTED_VALUE"""),"Dynamic Railway Rescheduling using Intelligent Agents")</f>
        <v>Dynamic Railway Rescheduling using Intelligent Agents</v>
      </c>
      <c r="E375" s="1"/>
    </row>
    <row r="376" ht="15.75" customHeight="1">
      <c r="A376" s="1" t="str">
        <f>IFERROR(__xludf.DUMMYFUNCTION("""COMPUTED_VALUE"""),"A. Nageshwar Sharma")</f>
        <v>A. Nageshwar Sharma</v>
      </c>
      <c r="B376" s="1" t="str">
        <f>IFERROR(__xludf.DUMMYFUNCTION("""COMPUTED_VALUE"""),"M.Tech")</f>
        <v>M.Tech</v>
      </c>
      <c r="C376" s="1">
        <f>IFERROR(__xludf.DUMMYFUNCTION("""COMPUTED_VALUE"""),2008.0)</f>
        <v>2008</v>
      </c>
      <c r="D376" s="1" t="str">
        <f>IFERROR(__xludf.DUMMYFUNCTION("""COMPUTED_VALUE"""),"Constraint Directed Scheduling: Concepts and Applications")</f>
        <v>Constraint Directed Scheduling: Concepts and Applications</v>
      </c>
      <c r="E376" s="1"/>
    </row>
    <row r="377" ht="15.75" customHeight="1">
      <c r="A377" s="1" t="str">
        <f>IFERROR(__xludf.DUMMYFUNCTION("""COMPUTED_VALUE"""),"Abhishek Maheshwari")</f>
        <v>Abhishek Maheshwari</v>
      </c>
      <c r="B377" s="1" t="str">
        <f>IFERROR(__xludf.DUMMYFUNCTION("""COMPUTED_VALUE"""),"M.Tech")</f>
        <v>M.Tech</v>
      </c>
      <c r="C377" s="1">
        <f>IFERROR(__xludf.DUMMYFUNCTION("""COMPUTED_VALUE"""),2008.0)</f>
        <v>2008</v>
      </c>
      <c r="D377" s="1" t="str">
        <f>IFERROR(__xludf.DUMMYFUNCTION("""COMPUTED_VALUE"""),"Distributed Simulation Environment for Supply Chain Analysis")</f>
        <v>Distributed Simulation Environment for Supply Chain Analysis</v>
      </c>
      <c r="E377" s="1"/>
    </row>
    <row r="378" ht="15.75" customHeight="1">
      <c r="A378" s="1" t="str">
        <f>IFERROR(__xludf.DUMMYFUNCTION("""COMPUTED_VALUE"""),"Ankit Jain")</f>
        <v>Ankit Jain</v>
      </c>
      <c r="B378" s="1" t="str">
        <f>IFERROR(__xludf.DUMMYFUNCTION("""COMPUTED_VALUE"""),"M.Tech")</f>
        <v>M.Tech</v>
      </c>
      <c r="C378" s="1">
        <f>IFERROR(__xludf.DUMMYFUNCTION("""COMPUTED_VALUE"""),2008.0)</f>
        <v>2008</v>
      </c>
      <c r="D378" s="1" t="str">
        <f>IFERROR(__xludf.DUMMYFUNCTION("""COMPUTED_VALUE"""),"Impact of Supply Uncertainty in Supply Chains")</f>
        <v>Impact of Supply Uncertainty in Supply Chains</v>
      </c>
      <c r="E378" s="1"/>
    </row>
    <row r="379" ht="15.75" customHeight="1">
      <c r="A379" s="1" t="str">
        <f>IFERROR(__xludf.DUMMYFUNCTION("""COMPUTED_VALUE"""),"Bhalerao Shrikant Vishnu")</f>
        <v>Bhalerao Shrikant Vishnu</v>
      </c>
      <c r="B379" s="1" t="str">
        <f>IFERROR(__xludf.DUMMYFUNCTION("""COMPUTED_VALUE"""),"M.Tech")</f>
        <v>M.Tech</v>
      </c>
      <c r="C379" s="1">
        <f>IFERROR(__xludf.DUMMYFUNCTION("""COMPUTED_VALUE"""),2008.0)</f>
        <v>2008</v>
      </c>
      <c r="D379" s="1" t="str">
        <f>IFERROR(__xludf.DUMMYFUNCTION("""COMPUTED_VALUE"""),"Automating Data Placement in Affordable Parallel Database Systems")</f>
        <v>Automating Data Placement in Affordable Parallel Database Systems</v>
      </c>
      <c r="E379" s="1"/>
    </row>
    <row r="380" ht="15.75" customHeight="1">
      <c r="A380" s="1" t="str">
        <f>IFERROR(__xludf.DUMMYFUNCTION("""COMPUTED_VALUE"""),"Krishna Teja Bandi")</f>
        <v>Krishna Teja Bandi</v>
      </c>
      <c r="B380" s="1" t="str">
        <f>IFERROR(__xludf.DUMMYFUNCTION("""COMPUTED_VALUE"""),"M.Tech")</f>
        <v>M.Tech</v>
      </c>
      <c r="C380" s="1">
        <f>IFERROR(__xludf.DUMMYFUNCTION("""COMPUTED_VALUE"""),2008.0)</f>
        <v>2008</v>
      </c>
      <c r="D380" s="1" t="str">
        <f>IFERROR(__xludf.DUMMYFUNCTION("""COMPUTED_VALUE"""),"Applications of reinforcement learning in multistage production planning")</f>
        <v>Applications of reinforcement learning in multistage production planning</v>
      </c>
      <c r="E380" s="1"/>
    </row>
    <row r="381" ht="15.75" customHeight="1">
      <c r="A381" s="1" t="str">
        <f>IFERROR(__xludf.DUMMYFUNCTION("""COMPUTED_VALUE"""),"Manish Kumar Singh")</f>
        <v>Manish Kumar Singh</v>
      </c>
      <c r="B381" s="1" t="str">
        <f>IFERROR(__xludf.DUMMYFUNCTION("""COMPUTED_VALUE"""),"M.Tech")</f>
        <v>M.Tech</v>
      </c>
      <c r="C381" s="1">
        <f>IFERROR(__xludf.DUMMYFUNCTION("""COMPUTED_VALUE"""),2008.0)</f>
        <v>2008</v>
      </c>
      <c r="D381" s="1" t="str">
        <f>IFERROR(__xludf.DUMMYFUNCTION("""COMPUTED_VALUE"""),"Optimal booking strategies for a shipper dealing with a monopolistic 
logistics carrier")</f>
        <v>Optimal booking strategies for a shipper dealing with a monopolistic 
logistics carrier</v>
      </c>
      <c r="E381" s="1"/>
    </row>
    <row r="382" ht="15.75" customHeight="1">
      <c r="A382" s="1" t="str">
        <f>IFERROR(__xludf.DUMMYFUNCTION("""COMPUTED_VALUE"""),"Naga Satya Narayana Bojja")</f>
        <v>Naga Satya Narayana Bojja</v>
      </c>
      <c r="B382" s="1" t="str">
        <f>IFERROR(__xludf.DUMMYFUNCTION("""COMPUTED_VALUE"""),"M.Tech")</f>
        <v>M.Tech</v>
      </c>
      <c r="C382" s="1">
        <f>IFERROR(__xludf.DUMMYFUNCTION("""COMPUTED_VALUE"""),2008.0)</f>
        <v>2008</v>
      </c>
      <c r="D382" s="1" t="str">
        <f>IFERROR(__xludf.DUMMYFUNCTION("""COMPUTED_VALUE"""),"Neural Networks for System Identification &amp; Estimation: Principles &amp; 
Applications")</f>
        <v>Neural Networks for System Identification &amp; Estimation: Principles &amp; 
Applications</v>
      </c>
      <c r="E382" s="1"/>
    </row>
    <row r="383" ht="15.75" customHeight="1">
      <c r="A383" s="1" t="str">
        <f>IFERROR(__xludf.DUMMYFUNCTION("""COMPUTED_VALUE"""),"NARODE AVINASH RAVINDRA")</f>
        <v>NARODE AVINASH RAVINDRA</v>
      </c>
      <c r="B383" s="1" t="str">
        <f>IFERROR(__xludf.DUMMYFUNCTION("""COMPUTED_VALUE"""),"M.Tech")</f>
        <v>M.Tech</v>
      </c>
      <c r="C383" s="1">
        <f>IFERROR(__xludf.DUMMYFUNCTION("""COMPUTED_VALUE"""),2008.0)</f>
        <v>2008</v>
      </c>
      <c r="D383" s="1" t="str">
        <f>IFERROR(__xludf.DUMMYFUNCTION("""COMPUTED_VALUE"""),"A Study on Lean Manufacturing")</f>
        <v>A Study on Lean Manufacturing</v>
      </c>
      <c r="E383" s="1"/>
    </row>
    <row r="384" ht="15.75" customHeight="1">
      <c r="A384" s="1" t="str">
        <f>IFERROR(__xludf.DUMMYFUNCTION("""COMPUTED_VALUE"""),"Piyush Verma")</f>
        <v>Piyush Verma</v>
      </c>
      <c r="B384" s="1" t="str">
        <f>IFERROR(__xludf.DUMMYFUNCTION("""COMPUTED_VALUE"""),"M.Tech")</f>
        <v>M.Tech</v>
      </c>
      <c r="C384" s="1">
        <f>IFERROR(__xludf.DUMMYFUNCTION("""COMPUTED_VALUE"""),2008.0)</f>
        <v>2008</v>
      </c>
      <c r="D384" s="1" t="str">
        <f>IFERROR(__xludf.DUMMYFUNCTION("""COMPUTED_VALUE"""),"Timetabling and Operations Planning in Railway Networks")</f>
        <v>Timetabling and Operations Planning in Railway Networks</v>
      </c>
      <c r="E384" s="1"/>
    </row>
    <row r="385" ht="15.75" customHeight="1">
      <c r="A385" s="1" t="str">
        <f>IFERROR(__xludf.DUMMYFUNCTION("""COMPUTED_VALUE"""),"Pratap Dangeti")</f>
        <v>Pratap Dangeti</v>
      </c>
      <c r="B385" s="1" t="str">
        <f>IFERROR(__xludf.DUMMYFUNCTION("""COMPUTED_VALUE"""),"M.Tech")</f>
        <v>M.Tech</v>
      </c>
      <c r="C385" s="1">
        <f>IFERROR(__xludf.DUMMYFUNCTION("""COMPUTED_VALUE"""),2008.0)</f>
        <v>2008</v>
      </c>
      <c r="D385" s="1" t="str">
        <f>IFERROR(__xludf.DUMMYFUNCTION("""COMPUTED_VALUE"""),"Modeling and analysis of manufacturing systems : A case study")</f>
        <v>Modeling and analysis of manufacturing systems : A case study</v>
      </c>
      <c r="E385" s="1"/>
    </row>
    <row r="386" ht="15.75" customHeight="1">
      <c r="A386" s="1" t="str">
        <f>IFERROR(__xludf.DUMMYFUNCTION("""COMPUTED_VALUE"""),"Tilak Raj Singh")</f>
        <v>Tilak Raj Singh</v>
      </c>
      <c r="B386" s="1" t="str">
        <f>IFERROR(__xludf.DUMMYFUNCTION("""COMPUTED_VALUE"""),"M.Tech")</f>
        <v>M.Tech</v>
      </c>
      <c r="C386" s="1">
        <f>IFERROR(__xludf.DUMMYFUNCTION("""COMPUTED_VALUE"""),2008.0)</f>
        <v>2008</v>
      </c>
      <c r="D386" s="1" t="str">
        <f>IFERROR(__xludf.DUMMYFUNCTION("""COMPUTED_VALUE"""),"Airline Crew Planning and Management")</f>
        <v>Airline Crew Planning and Management</v>
      </c>
      <c r="E386" s="1"/>
    </row>
    <row r="387" ht="15.75" customHeight="1">
      <c r="A387" s="1" t="str">
        <f>IFERROR(__xludf.DUMMYFUNCTION("""COMPUTED_VALUE"""),"Yogesh Prakash Awate")</f>
        <v>Yogesh Prakash Awate</v>
      </c>
      <c r="B387" s="1" t="str">
        <f>IFERROR(__xludf.DUMMYFUNCTION("""COMPUTED_VALUE"""),"M.Tech")</f>
        <v>M.Tech</v>
      </c>
      <c r="C387" s="1">
        <f>IFERROR(__xludf.DUMMYFUNCTION("""COMPUTED_VALUE"""),2008.0)</f>
        <v>2008</v>
      </c>
      <c r="D387" s="1" t="str">
        <f>IFERROR(__xludf.DUMMYFUNCTION("""COMPUTED_VALUE"""),"Some Novel Algorithms in Reinforcement Learning")</f>
        <v>Some Novel Algorithms in Reinforcement Learning</v>
      </c>
      <c r="E387" s="1"/>
    </row>
    <row r="388" ht="15.75" customHeight="1">
      <c r="A388" s="1" t="str">
        <f>IFERROR(__xludf.DUMMYFUNCTION("""COMPUTED_VALUE"""),"ATEEKH-UR-REHMAN")</f>
        <v>ATEEKH-UR-REHMAN</v>
      </c>
      <c r="B388" s="1" t="str">
        <f>IFERROR(__xludf.DUMMYFUNCTION("""COMPUTED_VALUE"""),"Ph.D")</f>
        <v>Ph.D</v>
      </c>
      <c r="C388" s="1">
        <f>IFERROR(__xludf.DUMMYFUNCTION("""COMPUTED_VALUE"""),2008.0)</f>
        <v>2008</v>
      </c>
      <c r="D388" s="1" t="str">
        <f>IFERROR(__xludf.DUMMYFUNCTION("""COMPUTED_VALUE"""),"EVALUATION OF RECONFIGURED MANUFACTURING SYSTEMS USING SIMULATION AND 
MULTI-CRITERIA METHODS")</f>
        <v>EVALUATION OF RECONFIGURED MANUFACTURING SYSTEMS USING SIMULATION AND 
MULTI-CRITERIA METHODS</v>
      </c>
      <c r="E388" s="1"/>
    </row>
    <row r="389" ht="15.75" customHeight="1">
      <c r="A389" s="1" t="str">
        <f>IFERROR(__xludf.DUMMYFUNCTION("""COMPUTED_VALUE"""),"Sudhir Kumar Sinha")</f>
        <v>Sudhir Kumar Sinha</v>
      </c>
      <c r="B389" s="1" t="str">
        <f>IFERROR(__xludf.DUMMYFUNCTION("""COMPUTED_VALUE"""),"Ph.D")</f>
        <v>Ph.D</v>
      </c>
      <c r="C389" s="1">
        <f>IFERROR(__xludf.DUMMYFUNCTION("""COMPUTED_VALUE"""),2008.0)</f>
        <v>2008</v>
      </c>
      <c r="D389" s="1" t="str">
        <f>IFERROR(__xludf.DUMMYFUNCTION("""COMPUTED_VALUE"""),"Service Level Contracts for Supply Chains")</f>
        <v>Service Level Contracts for Supply Chains</v>
      </c>
      <c r="E389" s="1"/>
    </row>
    <row r="390" ht="15.75" customHeight="1">
      <c r="A390" s="1" t="str">
        <f>IFERROR(__xludf.DUMMYFUNCTION("""COMPUTED_VALUE"""),"Alok Arun Kulkarni")</f>
        <v>Alok Arun Kulkarni</v>
      </c>
      <c r="B390" s="1" t="str">
        <f>IFERROR(__xludf.DUMMYFUNCTION("""COMPUTED_VALUE"""),"M.Tech")</f>
        <v>M.Tech</v>
      </c>
      <c r="C390" s="1">
        <f>IFERROR(__xludf.DUMMYFUNCTION("""COMPUTED_VALUE"""),2007.0)</f>
        <v>2007</v>
      </c>
      <c r="D390" s="1" t="str">
        <f>IFERROR(__xludf.DUMMYFUNCTION("""COMPUTED_VALUE"""),"A case study on supply chain management")</f>
        <v>A case study on supply chain management</v>
      </c>
      <c r="E390" s="1"/>
    </row>
    <row r="391" ht="15.75" customHeight="1">
      <c r="A391" s="1" t="str">
        <f>IFERROR(__xludf.DUMMYFUNCTION("""COMPUTED_VALUE"""),"Amey.D.Kamat")</f>
        <v>Amey.D.Kamat</v>
      </c>
      <c r="B391" s="1" t="str">
        <f>IFERROR(__xludf.DUMMYFUNCTION("""COMPUTED_VALUE"""),"M.Tech")</f>
        <v>M.Tech</v>
      </c>
      <c r="C391" s="1">
        <f>IFERROR(__xludf.DUMMYFUNCTION("""COMPUTED_VALUE"""),2007.0)</f>
        <v>2007</v>
      </c>
      <c r="D391" s="1" t="str">
        <f>IFERROR(__xludf.DUMMYFUNCTION("""COMPUTED_VALUE"""),"Optimization Problems In Sensor Network Design")</f>
        <v>Optimization Problems In Sensor Network Design</v>
      </c>
      <c r="E391" s="1"/>
    </row>
    <row r="392" ht="15.75" customHeight="1">
      <c r="A392" s="1" t="str">
        <f>IFERROR(__xludf.DUMMYFUNCTION("""COMPUTED_VALUE"""),"Anil Kumar Gupta")</f>
        <v>Anil Kumar Gupta</v>
      </c>
      <c r="B392" s="1" t="str">
        <f>IFERROR(__xludf.DUMMYFUNCTION("""COMPUTED_VALUE"""),"M.Tech")</f>
        <v>M.Tech</v>
      </c>
      <c r="C392" s="1">
        <f>IFERROR(__xludf.DUMMYFUNCTION("""COMPUTED_VALUE"""),2007.0)</f>
        <v>2007</v>
      </c>
      <c r="D392" s="1" t="str">
        <f>IFERROR(__xludf.DUMMYFUNCTION("""COMPUTED_VALUE"""),"Markov Chain Monte Carlo Simulation and its Application")</f>
        <v>Markov Chain Monte Carlo Simulation and its Application</v>
      </c>
      <c r="E392" s="1"/>
    </row>
    <row r="393" ht="15.75" customHeight="1">
      <c r="A393" s="1" t="str">
        <f>IFERROR(__xludf.DUMMYFUNCTION("""COMPUTED_VALUE"""),"Anoop Kumar Katiyar")</f>
        <v>Anoop Kumar Katiyar</v>
      </c>
      <c r="B393" s="1" t="str">
        <f>IFERROR(__xludf.DUMMYFUNCTION("""COMPUTED_VALUE"""),"M.Tech")</f>
        <v>M.Tech</v>
      </c>
      <c r="C393" s="1">
        <f>IFERROR(__xludf.DUMMYFUNCTION("""COMPUTED_VALUE"""),2007.0)</f>
        <v>2007</v>
      </c>
      <c r="D393" s="1" t="str">
        <f>IFERROR(__xludf.DUMMYFUNCTION("""COMPUTED_VALUE"""),"Applications of Six Sigma Management")</f>
        <v>Applications of Six Sigma Management</v>
      </c>
      <c r="E393" s="1"/>
    </row>
    <row r="394" ht="15.75" customHeight="1">
      <c r="A394" s="1" t="str">
        <f>IFERROR(__xludf.DUMMYFUNCTION("""COMPUTED_VALUE"""),"Ashutosh Kumar Garg")</f>
        <v>Ashutosh Kumar Garg</v>
      </c>
      <c r="B394" s="1" t="str">
        <f>IFERROR(__xludf.DUMMYFUNCTION("""COMPUTED_VALUE"""),"M.Tech")</f>
        <v>M.Tech</v>
      </c>
      <c r="C394" s="1">
        <f>IFERROR(__xludf.DUMMYFUNCTION("""COMPUTED_VALUE"""),2007.0)</f>
        <v>2007</v>
      </c>
      <c r="D394" s="1" t="str">
        <f>IFERROR(__xludf.DUMMYFUNCTION("""COMPUTED_VALUE"""),"Interface Specifications and Output Analysis for Distributed Simulation of 
Supply Chains")</f>
        <v>Interface Specifications and Output Analysis for Distributed Simulation of 
Supply Chains</v>
      </c>
      <c r="E394" s="1"/>
    </row>
    <row r="395" ht="15.75" customHeight="1">
      <c r="A395" s="1" t="str">
        <f>IFERROR(__xludf.DUMMYFUNCTION("""COMPUTED_VALUE"""),"Atul Kumar Tiwari")</f>
        <v>Atul Kumar Tiwari</v>
      </c>
      <c r="B395" s="1" t="str">
        <f>IFERROR(__xludf.DUMMYFUNCTION("""COMPUTED_VALUE"""),"M.Tech")</f>
        <v>M.Tech</v>
      </c>
      <c r="C395" s="1">
        <f>IFERROR(__xludf.DUMMYFUNCTION("""COMPUTED_VALUE"""),2007.0)</f>
        <v>2007</v>
      </c>
      <c r="D395" s="1" t="str">
        <f>IFERROR(__xludf.DUMMYFUNCTION("""COMPUTED_VALUE"""),"Algorithms for computing equilibria and policies in some game theoretic 
models")</f>
        <v>Algorithms for computing equilibria and policies in some game theoretic 
models</v>
      </c>
      <c r="E395" s="1"/>
    </row>
    <row r="396" ht="15.75" customHeight="1">
      <c r="A396" s="1" t="str">
        <f>IFERROR(__xludf.DUMMYFUNCTION("""COMPUTED_VALUE"""),"Charru Hasti")</f>
        <v>Charru Hasti</v>
      </c>
      <c r="B396" s="1" t="str">
        <f>IFERROR(__xludf.DUMMYFUNCTION("""COMPUTED_VALUE"""),"M.Tech")</f>
        <v>M.Tech</v>
      </c>
      <c r="C396" s="1">
        <f>IFERROR(__xludf.DUMMYFUNCTION("""COMPUTED_VALUE"""),2007.0)</f>
        <v>2007</v>
      </c>
      <c r="D396" s="1" t="str">
        <f>IFERROR(__xludf.DUMMYFUNCTION("""COMPUTED_VALUE"""),"System Dynamics Analysis of MRP-Based Production-Inventory Systems")</f>
        <v>System Dynamics Analysis of MRP-Based Production-Inventory Systems</v>
      </c>
      <c r="E396" s="1"/>
    </row>
    <row r="397" ht="15.75" customHeight="1">
      <c r="A397" s="1" t="str">
        <f>IFERROR(__xludf.DUMMYFUNCTION("""COMPUTED_VALUE"""),"Deepika Taneja")</f>
        <v>Deepika Taneja</v>
      </c>
      <c r="B397" s="1" t="str">
        <f>IFERROR(__xludf.DUMMYFUNCTION("""COMPUTED_VALUE"""),"M.Tech")</f>
        <v>M.Tech</v>
      </c>
      <c r="C397" s="1">
        <f>IFERROR(__xludf.DUMMYFUNCTION("""COMPUTED_VALUE"""),2007.0)</f>
        <v>2007</v>
      </c>
      <c r="D397" s="1" t="str">
        <f>IFERROR(__xludf.DUMMYFUNCTION("""COMPUTED_VALUE"""),"Pricing for Third Party Logistics Service Providers")</f>
        <v>Pricing for Third Party Logistics Service Providers</v>
      </c>
      <c r="E397" s="1"/>
    </row>
    <row r="398" ht="15.75" customHeight="1">
      <c r="A398" s="1" t="str">
        <f>IFERROR(__xludf.DUMMYFUNCTION("""COMPUTED_VALUE"""),"K. SUNIL KUMAR")</f>
        <v>K. SUNIL KUMAR</v>
      </c>
      <c r="B398" s="1" t="str">
        <f>IFERROR(__xludf.DUMMYFUNCTION("""COMPUTED_VALUE"""),"M.Tech")</f>
        <v>M.Tech</v>
      </c>
      <c r="C398" s="1">
        <f>IFERROR(__xludf.DUMMYFUNCTION("""COMPUTED_VALUE"""),2007.0)</f>
        <v>2007</v>
      </c>
      <c r="D398" s="1" t="str">
        <f>IFERROR(__xludf.DUMMYFUNCTION("""COMPUTED_VALUE"""),"A STUDY ON SOURCING")</f>
        <v>A STUDY ON SOURCING</v>
      </c>
      <c r="E398" s="1"/>
    </row>
    <row r="399" ht="15.75" customHeight="1">
      <c r="A399" s="1" t="str">
        <f>IFERROR(__xludf.DUMMYFUNCTION("""COMPUTED_VALUE"""),"K.V.SRIKANTH.V")</f>
        <v>K.V.SRIKANTH.V</v>
      </c>
      <c r="B399" s="1" t="str">
        <f>IFERROR(__xludf.DUMMYFUNCTION("""COMPUTED_VALUE"""),"M.Tech")</f>
        <v>M.Tech</v>
      </c>
      <c r="C399" s="1">
        <f>IFERROR(__xludf.DUMMYFUNCTION("""COMPUTED_VALUE"""),2007.0)</f>
        <v>2007</v>
      </c>
      <c r="D399" s="1" t="str">
        <f>IFERROR(__xludf.DUMMYFUNCTION("""COMPUTED_VALUE"""),"PROJECT RISK MANAGEMENT")</f>
        <v>PROJECT RISK MANAGEMENT</v>
      </c>
      <c r="E399" s="1"/>
    </row>
    <row r="400" ht="15.75" customHeight="1">
      <c r="A400" s="1" t="str">
        <f>IFERROR(__xludf.DUMMYFUNCTION("""COMPUTED_VALUE"""),"Ketan Bodas")</f>
        <v>Ketan Bodas</v>
      </c>
      <c r="B400" s="1" t="str">
        <f>IFERROR(__xludf.DUMMYFUNCTION("""COMPUTED_VALUE"""),"M.Tech")</f>
        <v>M.Tech</v>
      </c>
      <c r="C400" s="1">
        <f>IFERROR(__xludf.DUMMYFUNCTION("""COMPUTED_VALUE"""),2007.0)</f>
        <v>2007</v>
      </c>
      <c r="D400" s="1" t="str">
        <f>IFERROR(__xludf.DUMMYFUNCTION("""COMPUTED_VALUE"""),"Recent Development In Application of Neural Networks in Combinatorial 
Optimization")</f>
        <v>Recent Development In Application of Neural Networks in Combinatorial 
Optimization</v>
      </c>
      <c r="E400" s="1"/>
    </row>
    <row r="401" ht="15.75" customHeight="1">
      <c r="A401" s="1" t="str">
        <f>IFERROR(__xludf.DUMMYFUNCTION("""COMPUTED_VALUE"""),"Rochit Anand Marcus")</f>
        <v>Rochit Anand Marcus</v>
      </c>
      <c r="B401" s="1" t="str">
        <f>IFERROR(__xludf.DUMMYFUNCTION("""COMPUTED_VALUE"""),"M.Tech")</f>
        <v>M.Tech</v>
      </c>
      <c r="C401" s="1">
        <f>IFERROR(__xludf.DUMMYFUNCTION("""COMPUTED_VALUE"""),2007.0)</f>
        <v>2007</v>
      </c>
      <c r="D401" s="1" t="str">
        <f>IFERROR(__xludf.DUMMYFUNCTION("""COMPUTED_VALUE"""),"Automatic Partitioning of Legacy Enterprise Simulation Models for 
Distributed Simulation")</f>
        <v>Automatic Partitioning of Legacy Enterprise Simulation Models for 
Distributed Simulation</v>
      </c>
      <c r="E401" s="1"/>
    </row>
    <row r="402" ht="15.75" customHeight="1">
      <c r="A402" s="1" t="str">
        <f>IFERROR(__xludf.DUMMYFUNCTION("""COMPUTED_VALUE"""),"Shahaur Rahman")</f>
        <v>Shahaur Rahman</v>
      </c>
      <c r="B402" s="1" t="str">
        <f>IFERROR(__xludf.DUMMYFUNCTION("""COMPUTED_VALUE"""),"M.Tech")</f>
        <v>M.Tech</v>
      </c>
      <c r="C402" s="1">
        <f>IFERROR(__xludf.DUMMYFUNCTION("""COMPUTED_VALUE"""),2007.0)</f>
        <v>2007</v>
      </c>
      <c r="D402" s="1" t="str">
        <f>IFERROR(__xludf.DUMMYFUNCTION("""COMPUTED_VALUE"""),"Processing and Properties of Metal Matrix composites for Satellite and 
Launch Vehicles")</f>
        <v>Processing and Properties of Metal Matrix composites for Satellite and 
Launch Vehicles</v>
      </c>
      <c r="E402" s="1"/>
    </row>
    <row r="403" ht="15.75" customHeight="1">
      <c r="A403" s="1" t="str">
        <f>IFERROR(__xludf.DUMMYFUNCTION("""COMPUTED_VALUE"""),"sharad kumar shrivastava")</f>
        <v>sharad kumar shrivastava</v>
      </c>
      <c r="B403" s="1" t="str">
        <f>IFERROR(__xludf.DUMMYFUNCTION("""COMPUTED_VALUE"""),"M.Tech")</f>
        <v>M.Tech</v>
      </c>
      <c r="C403" s="1">
        <f>IFERROR(__xludf.DUMMYFUNCTION("""COMPUTED_VALUE"""),2007.0)</f>
        <v>2007</v>
      </c>
      <c r="D403" s="1" t="str">
        <f>IFERROR(__xludf.DUMMYFUNCTION("""COMPUTED_VALUE"""),"Scheduling Problems Using Constraint Satisfaciton Programming")</f>
        <v>Scheduling Problems Using Constraint Satisfaciton Programming</v>
      </c>
      <c r="E403" s="1"/>
    </row>
    <row r="404" ht="15.75" customHeight="1">
      <c r="A404" s="1" t="str">
        <f>IFERROR(__xludf.DUMMYFUNCTION("""COMPUTED_VALUE"""),"Vinay Pydah")</f>
        <v>Vinay Pydah</v>
      </c>
      <c r="B404" s="1" t="str">
        <f>IFERROR(__xludf.DUMMYFUNCTION("""COMPUTED_VALUE"""),"M.Tech")</f>
        <v>M.Tech</v>
      </c>
      <c r="C404" s="1">
        <f>IFERROR(__xludf.DUMMYFUNCTION("""COMPUTED_VALUE"""),2007.0)</f>
        <v>2007</v>
      </c>
      <c r="D404" s="1" t="str">
        <f>IFERROR(__xludf.DUMMYFUNCTION("""COMPUTED_VALUE"""),"Integrated Planning and Scheduling of Manufacturing Systems under 
Uncertainty")</f>
        <v>Integrated Planning and Scheduling of Manufacturing Systems under 
Uncertainty</v>
      </c>
      <c r="E404" s="1"/>
    </row>
    <row r="405" ht="15.75" customHeight="1">
      <c r="A405" s="1" t="str">
        <f>IFERROR(__xludf.DUMMYFUNCTION("""COMPUTED_VALUE"""),"Vineet Kapoor")</f>
        <v>Vineet Kapoor</v>
      </c>
      <c r="B405" s="1" t="str">
        <f>IFERROR(__xludf.DUMMYFUNCTION("""COMPUTED_VALUE"""),"M.Tech")</f>
        <v>M.Tech</v>
      </c>
      <c r="C405" s="1">
        <f>IFERROR(__xludf.DUMMYFUNCTION("""COMPUTED_VALUE"""),2007.0)</f>
        <v>2007</v>
      </c>
      <c r="D405" s="1" t="str">
        <f>IFERROR(__xludf.DUMMYFUNCTION("""COMPUTED_VALUE"""),"Demand Sensing and its Application in Revenue Management")</f>
        <v>Demand Sensing and its Application in Revenue Management</v>
      </c>
      <c r="E405" s="1"/>
    </row>
    <row r="406" ht="15.75" customHeight="1">
      <c r="A406" s="1" t="str">
        <f>IFERROR(__xludf.DUMMYFUNCTION("""COMPUTED_VALUE"""),"Sajeev Abraham George")</f>
        <v>Sajeev Abraham George</v>
      </c>
      <c r="B406" s="1" t="str">
        <f>IFERROR(__xludf.DUMMYFUNCTION("""COMPUTED_VALUE"""),"Ph.D")</f>
        <v>Ph.D</v>
      </c>
      <c r="C406" s="1">
        <f>IFERROR(__xludf.DUMMYFUNCTION("""COMPUTED_VALUE"""),2007.0)</f>
        <v>2007</v>
      </c>
      <c r="D406" s="1" t="str">
        <f>IFERROR(__xludf.DUMMYFUNCTION("""COMPUTED_VALUE"""),"Competences and Performance Measurement for Supply Chain Management")</f>
        <v>Competences and Performance Measurement for Supply Chain Management</v>
      </c>
      <c r="E406" s="1"/>
    </row>
    <row r="407" ht="15.75" customHeight="1">
      <c r="A407" s="1" t="str">
        <f>IFERROR(__xludf.DUMMYFUNCTION("""COMPUTED_VALUE"""),"Aher Ajit Bhivsen")</f>
        <v>Aher Ajit Bhivsen</v>
      </c>
      <c r="B407" s="1" t="str">
        <f>IFERROR(__xludf.DUMMYFUNCTION("""COMPUTED_VALUE"""),"M.Tech")</f>
        <v>M.Tech</v>
      </c>
      <c r="C407" s="1">
        <f>IFERROR(__xludf.DUMMYFUNCTION("""COMPUTED_VALUE"""),2006.0)</f>
        <v>2006</v>
      </c>
      <c r="D407" s="1" t="str">
        <f>IFERROR(__xludf.DUMMYFUNCTION("""COMPUTED_VALUE"""),"Inventory Models with Service Level Constraints")</f>
        <v>Inventory Models with Service Level Constraints</v>
      </c>
      <c r="E407" s="1"/>
    </row>
    <row r="408" ht="15.75" customHeight="1">
      <c r="A408" s="1" t="str">
        <f>IFERROR(__xludf.DUMMYFUNCTION("""COMPUTED_VALUE"""),"Braja Gopal Das")</f>
        <v>Braja Gopal Das</v>
      </c>
      <c r="B408" s="1" t="str">
        <f>IFERROR(__xludf.DUMMYFUNCTION("""COMPUTED_VALUE"""),"M.Tech")</f>
        <v>M.Tech</v>
      </c>
      <c r="C408" s="1">
        <f>IFERROR(__xludf.DUMMYFUNCTION("""COMPUTED_VALUE"""),2006.0)</f>
        <v>2006</v>
      </c>
      <c r="D408" s="1" t="str">
        <f>IFERROR(__xludf.DUMMYFUNCTION("""COMPUTED_VALUE"""),"Applications of Revenue Management")</f>
        <v>Applications of Revenue Management</v>
      </c>
      <c r="E408" s="1"/>
    </row>
    <row r="409" ht="15.75" customHeight="1">
      <c r="A409" s="1" t="str">
        <f>IFERROR(__xludf.DUMMYFUNCTION("""COMPUTED_VALUE"""),"Chetan V. Desai")</f>
        <v>Chetan V. Desai</v>
      </c>
      <c r="B409" s="1" t="str">
        <f>IFERROR(__xludf.DUMMYFUNCTION("""COMPUTED_VALUE"""),"M.Tech")</f>
        <v>M.Tech</v>
      </c>
      <c r="C409" s="1">
        <f>IFERROR(__xludf.DUMMYFUNCTION("""COMPUTED_VALUE"""),2006.0)</f>
        <v>2006</v>
      </c>
      <c r="D409" s="1" t="str">
        <f>IFERROR(__xludf.DUMMYFUNCTION("""COMPUTED_VALUE"""),"Supply Chain Strategies and Inaccuracy Modeling in RFID-enabled System")</f>
        <v>Supply Chain Strategies and Inaccuracy Modeling in RFID-enabled System</v>
      </c>
      <c r="E409" s="1"/>
    </row>
    <row r="410" ht="15.75" customHeight="1">
      <c r="A410" s="1" t="str">
        <f>IFERROR(__xludf.DUMMYFUNCTION("""COMPUTED_VALUE"""),"Mahajan Chetan Vikram")</f>
        <v>Mahajan Chetan Vikram</v>
      </c>
      <c r="B410" s="1" t="str">
        <f>IFERROR(__xludf.DUMMYFUNCTION("""COMPUTED_VALUE"""),"M.Tech")</f>
        <v>M.Tech</v>
      </c>
      <c r="C410" s="1">
        <f>IFERROR(__xludf.DUMMYFUNCTION("""COMPUTED_VALUE"""),2006.0)</f>
        <v>2006</v>
      </c>
      <c r="D410" s="1" t="str">
        <f>IFERROR(__xludf.DUMMYFUNCTION("""COMPUTED_VALUE"""),"Application of Neural Networks in Statistical Control Charts for Process 
Quality Control")</f>
        <v>Application of Neural Networks in Statistical Control Charts for Process 
Quality Control</v>
      </c>
      <c r="E410" s="1"/>
    </row>
    <row r="411" ht="15.75" customHeight="1">
      <c r="A411" s="1" t="str">
        <f>IFERROR(__xludf.DUMMYFUNCTION("""COMPUTED_VALUE"""),"Nilesh Vilas Nalnikar")</f>
        <v>Nilesh Vilas Nalnikar</v>
      </c>
      <c r="B411" s="1" t="str">
        <f>IFERROR(__xludf.DUMMYFUNCTION("""COMPUTED_VALUE"""),"M.Tech")</f>
        <v>M.Tech</v>
      </c>
      <c r="C411" s="1">
        <f>IFERROR(__xludf.DUMMYFUNCTION("""COMPUTED_VALUE"""),2006.0)</f>
        <v>2006</v>
      </c>
      <c r="D411" s="1" t="str">
        <f>IFERROR(__xludf.DUMMYFUNCTION("""COMPUTED_VALUE"""),"A Study on Software Maintenance")</f>
        <v>A Study on Software Maintenance</v>
      </c>
      <c r="E411" s="1"/>
    </row>
    <row r="412" ht="15.75" customHeight="1">
      <c r="A412" s="1" t="str">
        <f>IFERROR(__xludf.DUMMYFUNCTION("""COMPUTED_VALUE"""),"Nishant Patil")</f>
        <v>Nishant Patil</v>
      </c>
      <c r="B412" s="1" t="str">
        <f>IFERROR(__xludf.DUMMYFUNCTION("""COMPUTED_VALUE"""),"M.Tech")</f>
        <v>M.Tech</v>
      </c>
      <c r="C412" s="1">
        <f>IFERROR(__xludf.DUMMYFUNCTION("""COMPUTED_VALUE"""),2006.0)</f>
        <v>2006</v>
      </c>
      <c r="D412" s="1" t="str">
        <f>IFERROR(__xludf.DUMMYFUNCTION("""COMPUTED_VALUE"""),"Winner determination in Combinatorial Auctions")</f>
        <v>Winner determination in Combinatorial Auctions</v>
      </c>
      <c r="E412" s="1"/>
    </row>
    <row r="413" ht="15.75" customHeight="1">
      <c r="A413" s="1" t="str">
        <f>IFERROR(__xludf.DUMMYFUNCTION("""COMPUTED_VALUE"""),"Nivesh Kumar")</f>
        <v>Nivesh Kumar</v>
      </c>
      <c r="B413" s="1" t="str">
        <f>IFERROR(__xludf.DUMMYFUNCTION("""COMPUTED_VALUE"""),"M.Tech")</f>
        <v>M.Tech</v>
      </c>
      <c r="C413" s="1">
        <f>IFERROR(__xludf.DUMMYFUNCTION("""COMPUTED_VALUE"""),2006.0)</f>
        <v>2006</v>
      </c>
      <c r="D413" s="1" t="str">
        <f>IFERROR(__xludf.DUMMYFUNCTION("""COMPUTED_VALUE"""),"RECENT DEVELOPMENTS IN MULTI-ECHELON PRODUCTION-INVENTORY CONTROL SYSTEMS")</f>
        <v>RECENT DEVELOPMENTS IN MULTI-ECHELON PRODUCTION-INVENTORY CONTROL SYSTEMS</v>
      </c>
      <c r="E413" s="1"/>
    </row>
    <row r="414" ht="15.75" customHeight="1">
      <c r="A414" s="1" t="str">
        <f>IFERROR(__xludf.DUMMYFUNCTION("""COMPUTED_VALUE"""),"Rahul Arun Bharde")</f>
        <v>Rahul Arun Bharde</v>
      </c>
      <c r="B414" s="1" t="str">
        <f>IFERROR(__xludf.DUMMYFUNCTION("""COMPUTED_VALUE"""),"M.Tech")</f>
        <v>M.Tech</v>
      </c>
      <c r="C414" s="1">
        <f>IFERROR(__xludf.DUMMYFUNCTION("""COMPUTED_VALUE"""),2006.0)</f>
        <v>2006</v>
      </c>
      <c r="D414" s="1" t="str">
        <f>IFERROR(__xludf.DUMMYFUNCTION("""COMPUTED_VALUE"""),"Multi-Mode Resource Constrained Multi-Project Scheduling")</f>
        <v>Multi-Mode Resource Constrained Multi-Project Scheduling</v>
      </c>
      <c r="E414" s="1"/>
    </row>
    <row r="415" ht="15.75" customHeight="1">
      <c r="A415" s="1" t="str">
        <f>IFERROR(__xludf.DUMMYFUNCTION("""COMPUTED_VALUE"""),"Rakesh A. Ambre")</f>
        <v>Rakesh A. Ambre</v>
      </c>
      <c r="B415" s="1" t="str">
        <f>IFERROR(__xludf.DUMMYFUNCTION("""COMPUTED_VALUE"""),"M.Tech")</f>
        <v>M.Tech</v>
      </c>
      <c r="C415" s="1">
        <f>IFERROR(__xludf.DUMMYFUNCTION("""COMPUTED_VALUE"""),2006.0)</f>
        <v>2006</v>
      </c>
      <c r="D415" s="1" t="str">
        <f>IFERROR(__xludf.DUMMYFUNCTION("""COMPUTED_VALUE"""),"An Event Based Simulation Algorithm for Train Scheduling")</f>
        <v>An Event Based Simulation Algorithm for Train Scheduling</v>
      </c>
      <c r="E415" s="1"/>
    </row>
    <row r="416" ht="15.75" customHeight="1">
      <c r="A416" s="1" t="str">
        <f>IFERROR(__xludf.DUMMYFUNCTION("""COMPUTED_VALUE"""),"Ranganadh Tippisetty")</f>
        <v>Ranganadh Tippisetty</v>
      </c>
      <c r="B416" s="1" t="str">
        <f>IFERROR(__xludf.DUMMYFUNCTION("""COMPUTED_VALUE"""),"M.Tech")</f>
        <v>M.Tech</v>
      </c>
      <c r="C416" s="1">
        <f>IFERROR(__xludf.DUMMYFUNCTION("""COMPUTED_VALUE"""),2006.0)</f>
        <v>2006</v>
      </c>
      <c r="D416" s="1" t="str">
        <f>IFERROR(__xludf.DUMMYFUNCTION("""COMPUTED_VALUE"""),"Congestion Management and Transmission system Expansion Planning using 
Duals in Restructured Electricity Markets")</f>
        <v>Congestion Management and Transmission system Expansion Planning using 
Duals in Restructured Electricity Markets</v>
      </c>
      <c r="E416" s="1"/>
    </row>
    <row r="417" ht="15.75" customHeight="1">
      <c r="A417" s="1" t="str">
        <f>IFERROR(__xludf.DUMMYFUNCTION("""COMPUTED_VALUE"""),"Sachin M More")</f>
        <v>Sachin M More</v>
      </c>
      <c r="B417" s="1" t="str">
        <f>IFERROR(__xludf.DUMMYFUNCTION("""COMPUTED_VALUE"""),"M.Tech")</f>
        <v>M.Tech</v>
      </c>
      <c r="C417" s="1">
        <f>IFERROR(__xludf.DUMMYFUNCTION("""COMPUTED_VALUE"""),2006.0)</f>
        <v>2006</v>
      </c>
      <c r="D417" s="1" t="str">
        <f>IFERROR(__xludf.DUMMYFUNCTION("""COMPUTED_VALUE"""),"Queuing Model with Correlations among Interarrival Times and Service Times")</f>
        <v>Queuing Model with Correlations among Interarrival Times and Service Times</v>
      </c>
      <c r="E417" s="1"/>
    </row>
    <row r="418" ht="15.75" customHeight="1">
      <c r="A418" s="1" t="str">
        <f>IFERROR(__xludf.DUMMYFUNCTION("""COMPUTED_VALUE"""),"Sandeep Sudhir Kale")</f>
        <v>Sandeep Sudhir Kale</v>
      </c>
      <c r="B418" s="1" t="str">
        <f>IFERROR(__xludf.DUMMYFUNCTION("""COMPUTED_VALUE"""),"M.Tech")</f>
        <v>M.Tech</v>
      </c>
      <c r="C418" s="1">
        <f>IFERROR(__xludf.DUMMYFUNCTION("""COMPUTED_VALUE"""),2006.0)</f>
        <v>2006</v>
      </c>
      <c r="D418" s="1" t="str">
        <f>IFERROR(__xludf.DUMMYFUNCTION("""COMPUTED_VALUE"""),"Policies for Management of Stocks in Multi-product Models")</f>
        <v>Policies for Management of Stocks in Multi-product Models</v>
      </c>
      <c r="E418" s="1"/>
    </row>
    <row r="419" ht="15.75" customHeight="1">
      <c r="A419" s="1" t="str">
        <f>IFERROR(__xludf.DUMMYFUNCTION("""COMPUTED_VALUE"""),"Vikas Grover")</f>
        <v>Vikas Grover</v>
      </c>
      <c r="B419" s="1" t="str">
        <f>IFERROR(__xludf.DUMMYFUNCTION("""COMPUTED_VALUE"""),"M.Tech")</f>
        <v>M.Tech</v>
      </c>
      <c r="C419" s="1">
        <f>IFERROR(__xludf.DUMMYFUNCTION("""COMPUTED_VALUE"""),2006.0)</f>
        <v>2006</v>
      </c>
      <c r="D419" s="1" t="str">
        <f>IFERROR(__xludf.DUMMYFUNCTION("""COMPUTED_VALUE"""),"A Study on Supply Chain System of a Multi-Plant Company")</f>
        <v>A Study on Supply Chain System of a Multi-Plant Company</v>
      </c>
      <c r="E419" s="1"/>
    </row>
    <row r="420" ht="15.75" customHeight="1">
      <c r="A420" s="1" t="str">
        <f>IFERROR(__xludf.DUMMYFUNCTION("""COMPUTED_VALUE"""),"Vilas Somnath Gunjkar")</f>
        <v>Vilas Somnath Gunjkar</v>
      </c>
      <c r="B420" s="1" t="str">
        <f>IFERROR(__xludf.DUMMYFUNCTION("""COMPUTED_VALUE"""),"M.Tech")</f>
        <v>M.Tech</v>
      </c>
      <c r="C420" s="1">
        <f>IFERROR(__xludf.DUMMYFUNCTION("""COMPUTED_VALUE"""),2006.0)</f>
        <v>2006</v>
      </c>
      <c r="D420" s="1" t="str">
        <f>IFERROR(__xludf.DUMMYFUNCTION("""COMPUTED_VALUE"""),"Asset Management")</f>
        <v>Asset Management</v>
      </c>
      <c r="E420" s="1"/>
    </row>
    <row r="421" ht="15.75" customHeight="1">
      <c r="A421" s="1" t="str">
        <f>IFERROR(__xludf.DUMMYFUNCTION("""COMPUTED_VALUE"""),"Saleeshya.P.G")</f>
        <v>Saleeshya.P.G</v>
      </c>
      <c r="B421" s="1" t="str">
        <f>IFERROR(__xludf.DUMMYFUNCTION("""COMPUTED_VALUE"""),"Ph.D")</f>
        <v>Ph.D</v>
      </c>
      <c r="C421" s="1">
        <f>IFERROR(__xludf.DUMMYFUNCTION("""COMPUTED_VALUE"""),2006.0)</f>
        <v>2006</v>
      </c>
      <c r="D421" s="1" t="str">
        <f>IFERROR(__xludf.DUMMYFUNCTION("""COMPUTED_VALUE"""),"A Study on Agile Manufacturing Systems")</f>
        <v>A Study on Agile Manufacturing Systems</v>
      </c>
      <c r="E421" s="1"/>
    </row>
    <row r="422" ht="15.75" customHeight="1">
      <c r="A422" s="1" t="str">
        <f>IFERROR(__xludf.DUMMYFUNCTION("""COMPUTED_VALUE"""),"Amit Kumar")</f>
        <v>Amit Kumar</v>
      </c>
      <c r="B422" s="1" t="str">
        <f>IFERROR(__xludf.DUMMYFUNCTION("""COMPUTED_VALUE"""),"M.Tech")</f>
        <v>M.Tech</v>
      </c>
      <c r="C422" s="1">
        <f>IFERROR(__xludf.DUMMYFUNCTION("""COMPUTED_VALUE"""),2005.0)</f>
        <v>2005</v>
      </c>
      <c r="D422" s="1" t="str">
        <f>IFERROR(__xludf.DUMMYFUNCTION("""COMPUTED_VALUE"""),"Software Quality Management")</f>
        <v>Software Quality Management</v>
      </c>
      <c r="E422" s="1"/>
    </row>
    <row r="423" ht="15.75" customHeight="1">
      <c r="A423" s="1" t="str">
        <f>IFERROR(__xludf.DUMMYFUNCTION("""COMPUTED_VALUE"""),"Anoop Kumar Mittal")</f>
        <v>Anoop Kumar Mittal</v>
      </c>
      <c r="B423" s="1" t="str">
        <f>IFERROR(__xludf.DUMMYFUNCTION("""COMPUTED_VALUE"""),"M.Tech")</f>
        <v>M.Tech</v>
      </c>
      <c r="C423" s="1">
        <f>IFERROR(__xludf.DUMMYFUNCTION("""COMPUTED_VALUE"""),2005.0)</f>
        <v>2005</v>
      </c>
      <c r="D423" s="1" t="str">
        <f>IFERROR(__xludf.DUMMYFUNCTION("""COMPUTED_VALUE"""),"Learning Algorithms for Risk Management")</f>
        <v>Learning Algorithms for Risk Management</v>
      </c>
      <c r="E423" s="1"/>
    </row>
    <row r="424" ht="15.75" customHeight="1">
      <c r="A424" s="1" t="str">
        <f>IFERROR(__xludf.DUMMYFUNCTION("""COMPUTED_VALUE"""),"Gaurav Mittal")</f>
        <v>Gaurav Mittal</v>
      </c>
      <c r="B424" s="1" t="str">
        <f>IFERROR(__xludf.DUMMYFUNCTION("""COMPUTED_VALUE"""),"M.Tech")</f>
        <v>M.Tech</v>
      </c>
      <c r="C424" s="1">
        <f>IFERROR(__xludf.DUMMYFUNCTION("""COMPUTED_VALUE"""),2005.0)</f>
        <v>2005</v>
      </c>
      <c r="D424" s="1" t="str">
        <f>IFERROR(__xludf.DUMMYFUNCTION("""COMPUTED_VALUE"""),"Strategies for quick response in supply chain")</f>
        <v>Strategies for quick response in supply chain</v>
      </c>
      <c r="E424" s="1"/>
    </row>
    <row r="425" ht="15.75" customHeight="1">
      <c r="A425" s="1" t="str">
        <f>IFERROR(__xludf.DUMMYFUNCTION("""COMPUTED_VALUE"""),"Joshi Maulinkumar Maheshkumar")</f>
        <v>Joshi Maulinkumar Maheshkumar</v>
      </c>
      <c r="B425" s="1" t="str">
        <f>IFERROR(__xludf.DUMMYFUNCTION("""COMPUTED_VALUE"""),"M.Tech")</f>
        <v>M.Tech</v>
      </c>
      <c r="C425" s="1">
        <f>IFERROR(__xludf.DUMMYFUNCTION("""COMPUTED_VALUE"""),2005.0)</f>
        <v>2005</v>
      </c>
      <c r="D425" s="1" t="str">
        <f>IFERROR(__xludf.DUMMYFUNCTION("""COMPUTED_VALUE"""),"Application of Neural Networks in Robot trajectory Planning And Navigation")</f>
        <v>Application of Neural Networks in Robot trajectory Planning And Navigation</v>
      </c>
      <c r="E425" s="1"/>
    </row>
    <row r="426" ht="15.75" customHeight="1">
      <c r="A426" s="1" t="str">
        <f>IFERROR(__xludf.DUMMYFUNCTION("""COMPUTED_VALUE"""),"Mitesh Gupta")</f>
        <v>Mitesh Gupta</v>
      </c>
      <c r="B426" s="1" t="str">
        <f>IFERROR(__xludf.DUMMYFUNCTION("""COMPUTED_VALUE"""),"M.Tech")</f>
        <v>M.Tech</v>
      </c>
      <c r="C426" s="1">
        <f>IFERROR(__xludf.DUMMYFUNCTION("""COMPUTED_VALUE"""),2005.0)</f>
        <v>2005</v>
      </c>
      <c r="D426" s="1" t="str">
        <f>IFERROR(__xludf.DUMMYFUNCTION("""COMPUTED_VALUE"""),"A Model for Optimum Product Variety Selection Considering Revenue and Cost")</f>
        <v>A Model for Optimum Product Variety Selection Considering Revenue and Cost</v>
      </c>
      <c r="E426" s="1"/>
    </row>
    <row r="427" ht="15.75" customHeight="1">
      <c r="A427" s="1" t="str">
        <f>IFERROR(__xludf.DUMMYFUNCTION("""COMPUTED_VALUE"""),"Rajat Chaudhary")</f>
        <v>Rajat Chaudhary</v>
      </c>
      <c r="B427" s="1" t="str">
        <f>IFERROR(__xludf.DUMMYFUNCTION("""COMPUTED_VALUE"""),"M.Tech")</f>
        <v>M.Tech</v>
      </c>
      <c r="C427" s="1">
        <f>IFERROR(__xludf.DUMMYFUNCTION("""COMPUTED_VALUE"""),2005.0)</f>
        <v>2005</v>
      </c>
      <c r="D427" s="1" t="str">
        <f>IFERROR(__xludf.DUMMYFUNCTION("""COMPUTED_VALUE"""),"Cellular Manufacturing and Scheduling")</f>
        <v>Cellular Manufacturing and Scheduling</v>
      </c>
      <c r="E427" s="1"/>
    </row>
    <row r="428" ht="15.75" customHeight="1">
      <c r="A428" s="1" t="str">
        <f>IFERROR(__xludf.DUMMYFUNCTION("""COMPUTED_VALUE"""),"Rampalli Bhaskar")</f>
        <v>Rampalli Bhaskar</v>
      </c>
      <c r="B428" s="1" t="str">
        <f>IFERROR(__xludf.DUMMYFUNCTION("""COMPUTED_VALUE"""),"M.Tech")</f>
        <v>M.Tech</v>
      </c>
      <c r="C428" s="1">
        <f>IFERROR(__xludf.DUMMYFUNCTION("""COMPUTED_VALUE"""),2005.0)</f>
        <v>2005</v>
      </c>
      <c r="D428" s="1" t="str">
        <f>IFERROR(__xludf.DUMMYFUNCTION("""COMPUTED_VALUE"""),"Neural Networks for Combinatorial Optimization")</f>
        <v>Neural Networks for Combinatorial Optimization</v>
      </c>
      <c r="E428" s="1"/>
    </row>
    <row r="429" ht="15.75" customHeight="1">
      <c r="A429" s="1" t="str">
        <f>IFERROR(__xludf.DUMMYFUNCTION("""COMPUTED_VALUE"""),"seema ramteke")</f>
        <v>seema ramteke</v>
      </c>
      <c r="B429" s="1" t="str">
        <f>IFERROR(__xludf.DUMMYFUNCTION("""COMPUTED_VALUE"""),"M.Tech")</f>
        <v>M.Tech</v>
      </c>
      <c r="C429" s="1">
        <f>IFERROR(__xludf.DUMMYFUNCTION("""COMPUTED_VALUE"""),2005.0)</f>
        <v>2005</v>
      </c>
      <c r="D429" s="1" t="str">
        <f>IFERROR(__xludf.DUMMYFUNCTION("""COMPUTED_VALUE"""),"Preparation of Train Timetables")</f>
        <v>Preparation of Train Timetables</v>
      </c>
      <c r="E429" s="1"/>
    </row>
    <row r="430" ht="15.75" customHeight="1">
      <c r="A430" s="1" t="str">
        <f>IFERROR(__xludf.DUMMYFUNCTION("""COMPUTED_VALUE"""),"Shivaji Dhekane")</f>
        <v>Shivaji Dhekane</v>
      </c>
      <c r="B430" s="1" t="str">
        <f>IFERROR(__xludf.DUMMYFUNCTION("""COMPUTED_VALUE"""),"M.Tech")</f>
        <v>M.Tech</v>
      </c>
      <c r="C430" s="1">
        <f>IFERROR(__xludf.DUMMYFUNCTION("""COMPUTED_VALUE"""),2005.0)</f>
        <v>2005</v>
      </c>
      <c r="D430" s="1" t="str">
        <f>IFERROR(__xludf.DUMMYFUNCTION("""COMPUTED_VALUE"""),"Management of Perishable Inventories Using RFID Technology")</f>
        <v>Management of Perishable Inventories Using RFID Technology</v>
      </c>
      <c r="E430" s="1"/>
    </row>
    <row r="431" ht="15.75" customHeight="1">
      <c r="A431" s="1" t="str">
        <f>IFERROR(__xludf.DUMMYFUNCTION("""COMPUTED_VALUE"""),"Sushobit Kamra")</f>
        <v>Sushobit Kamra</v>
      </c>
      <c r="B431" s="1" t="str">
        <f>IFERROR(__xludf.DUMMYFUNCTION("""COMPUTED_VALUE"""),"M.Tech")</f>
        <v>M.Tech</v>
      </c>
      <c r="C431" s="1">
        <f>IFERROR(__xludf.DUMMYFUNCTION("""COMPUTED_VALUE"""),2005.0)</f>
        <v>2005</v>
      </c>
      <c r="D431" s="1" t="str">
        <f>IFERROR(__xludf.DUMMYFUNCTION("""COMPUTED_VALUE"""),"Applications of Six Sigma management at Army Base Workshop")</f>
        <v>Applications of Six Sigma management at Army Base Workshop</v>
      </c>
      <c r="E431" s="1"/>
    </row>
    <row r="432" ht="15.75" customHeight="1">
      <c r="A432" s="1" t="str">
        <f>IFERROR(__xludf.DUMMYFUNCTION("""COMPUTED_VALUE"""),"Vivek Dhariwal")</f>
        <v>Vivek Dhariwal</v>
      </c>
      <c r="B432" s="1" t="str">
        <f>IFERROR(__xludf.DUMMYFUNCTION("""COMPUTED_VALUE"""),"M.Tech")</f>
        <v>M.Tech</v>
      </c>
      <c r="C432" s="1">
        <f>IFERROR(__xludf.DUMMYFUNCTION("""COMPUTED_VALUE"""),2005.0)</f>
        <v>2005</v>
      </c>
      <c r="D432" s="1" t="str">
        <f>IFERROR(__xludf.DUMMYFUNCTION("""COMPUTED_VALUE"""),"Effect of Aggregation and Disaggregation on forecasting performance")</f>
        <v>Effect of Aggregation and Disaggregation on forecasting performance</v>
      </c>
      <c r="E432" s="1"/>
    </row>
    <row r="433" ht="15.75" customHeight="1">
      <c r="A433" s="1" t="str">
        <f>IFERROR(__xludf.DUMMYFUNCTION("""COMPUTED_VALUE"""),"Arvind Chande")</f>
        <v>Arvind Chande</v>
      </c>
      <c r="B433" s="1" t="str">
        <f>IFERROR(__xludf.DUMMYFUNCTION("""COMPUTED_VALUE"""),"M.Tech")</f>
        <v>M.Tech</v>
      </c>
      <c r="C433" s="1">
        <f>IFERROR(__xludf.DUMMYFUNCTION("""COMPUTED_VALUE"""),2004.0)</f>
        <v>2004</v>
      </c>
      <c r="D433" s="1" t="str">
        <f>IFERROR(__xludf.DUMMYFUNCTION("""COMPUTED_VALUE"""),"Some Models for Perishable Inventory Systems")</f>
        <v>Some Models for Perishable Inventory Systems</v>
      </c>
      <c r="E433" s="1"/>
    </row>
    <row r="434" ht="15.75" customHeight="1">
      <c r="A434" s="1" t="str">
        <f>IFERROR(__xludf.DUMMYFUNCTION("""COMPUTED_VALUE"""),"Ashish Avasthy")</f>
        <v>Ashish Avasthy</v>
      </c>
      <c r="B434" s="1" t="str">
        <f>IFERROR(__xludf.DUMMYFUNCTION("""COMPUTED_VALUE"""),"M.Tech")</f>
        <v>M.Tech</v>
      </c>
      <c r="C434" s="1">
        <f>IFERROR(__xludf.DUMMYFUNCTION("""COMPUTED_VALUE"""),2004.0)</f>
        <v>2004</v>
      </c>
      <c r="D434" s="1" t="str">
        <f>IFERROR(__xludf.DUMMYFUNCTION("""COMPUTED_VALUE"""),"Resource Scheduling in Project Environment")</f>
        <v>Resource Scheduling in Project Environment</v>
      </c>
      <c r="E434" s="1"/>
    </row>
    <row r="435" ht="15.75" customHeight="1">
      <c r="A435" s="1" t="str">
        <f>IFERROR(__xludf.DUMMYFUNCTION("""COMPUTED_VALUE"""),"Balaji Jidugu")</f>
        <v>Balaji Jidugu</v>
      </c>
      <c r="B435" s="1" t="str">
        <f>IFERROR(__xludf.DUMMYFUNCTION("""COMPUTED_VALUE"""),"M.Tech")</f>
        <v>M.Tech</v>
      </c>
      <c r="C435" s="1">
        <f>IFERROR(__xludf.DUMMYFUNCTION("""COMPUTED_VALUE"""),2004.0)</f>
        <v>2004</v>
      </c>
      <c r="D435" s="1" t="str">
        <f>IFERROR(__xludf.DUMMYFUNCTION("""COMPUTED_VALUE"""),"A Study of Some Algorithms for Inventory Systems")</f>
        <v>A Study of Some Algorithms for Inventory Systems</v>
      </c>
      <c r="E435" s="1"/>
    </row>
    <row r="436" ht="15.75" customHeight="1">
      <c r="A436" s="1" t="str">
        <f>IFERROR(__xludf.DUMMYFUNCTION("""COMPUTED_VALUE"""),"hari vishnu")</f>
        <v>hari vishnu</v>
      </c>
      <c r="B436" s="1" t="str">
        <f>IFERROR(__xludf.DUMMYFUNCTION("""COMPUTED_VALUE"""),"M.Tech")</f>
        <v>M.Tech</v>
      </c>
      <c r="C436" s="1">
        <f>IFERROR(__xludf.DUMMYFUNCTION("""COMPUTED_VALUE"""),2004.0)</f>
        <v>2004</v>
      </c>
      <c r="D436" s="1" t="str">
        <f>IFERROR(__xludf.DUMMYFUNCTION("""COMPUTED_VALUE"""),"Principal component analysis and independent component analysis using 
neural networks")</f>
        <v>Principal component analysis and independent component analysis using 
neural networks</v>
      </c>
      <c r="E436" s="1"/>
    </row>
    <row r="437" ht="15.75" customHeight="1">
      <c r="A437" s="1" t="str">
        <f>IFERROR(__xludf.DUMMYFUNCTION("""COMPUTED_VALUE"""),"Kamal Kumar Maheshwari")</f>
        <v>Kamal Kumar Maheshwari</v>
      </c>
      <c r="B437" s="1" t="str">
        <f>IFERROR(__xludf.DUMMYFUNCTION("""COMPUTED_VALUE"""),"M.Tech")</f>
        <v>M.Tech</v>
      </c>
      <c r="C437" s="1">
        <f>IFERROR(__xludf.DUMMYFUNCTION("""COMPUTED_VALUE"""),2004.0)</f>
        <v>2004</v>
      </c>
      <c r="D437" s="1" t="str">
        <f>IFERROR(__xludf.DUMMYFUNCTION("""COMPUTED_VALUE"""),"Modeling and Analysis for Supply Chain Management")</f>
        <v>Modeling and Analysis for Supply Chain Management</v>
      </c>
      <c r="E437" s="1"/>
    </row>
    <row r="438" ht="15.75" customHeight="1">
      <c r="A438" s="1" t="str">
        <f>IFERROR(__xludf.DUMMYFUNCTION("""COMPUTED_VALUE"""),"Lavu Gopal Pawar")</f>
        <v>Lavu Gopal Pawar</v>
      </c>
      <c r="B438" s="1" t="str">
        <f>IFERROR(__xludf.DUMMYFUNCTION("""COMPUTED_VALUE"""),"M.Tech")</f>
        <v>M.Tech</v>
      </c>
      <c r="C438" s="1">
        <f>IFERROR(__xludf.DUMMYFUNCTION("""COMPUTED_VALUE"""),2004.0)</f>
        <v>2004</v>
      </c>
      <c r="D438" s="1" t="str">
        <f>IFERROR(__xludf.DUMMYFUNCTION("""COMPUTED_VALUE"""),"Application of Quantitative models in CRM")</f>
        <v>Application of Quantitative models in CRM</v>
      </c>
      <c r="E438" s="1"/>
    </row>
    <row r="439" ht="15.75" customHeight="1">
      <c r="A439" s="1" t="str">
        <f>IFERROR(__xludf.DUMMYFUNCTION("""COMPUTED_VALUE"""),"P.Subramaniam")</f>
        <v>P.Subramaniam</v>
      </c>
      <c r="B439" s="1" t="str">
        <f>IFERROR(__xludf.DUMMYFUNCTION("""COMPUTED_VALUE"""),"M.Tech")</f>
        <v>M.Tech</v>
      </c>
      <c r="C439" s="1">
        <f>IFERROR(__xludf.DUMMYFUNCTION("""COMPUTED_VALUE"""),2004.0)</f>
        <v>2004</v>
      </c>
      <c r="D439" s="1" t="str">
        <f>IFERROR(__xludf.DUMMYFUNCTION("""COMPUTED_VALUE"""),"Dcision Support System for Vehicle Routing and Related Problems")</f>
        <v>Dcision Support System for Vehicle Routing and Related Problems</v>
      </c>
      <c r="E439" s="1"/>
    </row>
    <row r="440" ht="15.75" customHeight="1">
      <c r="A440" s="1" t="str">
        <f>IFERROR(__xludf.DUMMYFUNCTION("""COMPUTED_VALUE"""),"Powar Abhijit Subhash")</f>
        <v>Powar Abhijit Subhash</v>
      </c>
      <c r="B440" s="1" t="str">
        <f>IFERROR(__xludf.DUMMYFUNCTION("""COMPUTED_VALUE"""),"M.Tech")</f>
        <v>M.Tech</v>
      </c>
      <c r="C440" s="1">
        <f>IFERROR(__xludf.DUMMYFUNCTION("""COMPUTED_VALUE"""),2004.0)</f>
        <v>2004</v>
      </c>
      <c r="D440" s="1" t="str">
        <f>IFERROR(__xludf.DUMMYFUNCTION("""COMPUTED_VALUE"""),"Web Enabled MRP module - Development and Integration with multilevel 
scheduling system")</f>
        <v>Web Enabled MRP module - Development and Integration with multilevel 
scheduling system</v>
      </c>
      <c r="E440" s="1"/>
    </row>
    <row r="441" ht="15.75" customHeight="1">
      <c r="A441" s="1" t="str">
        <f>IFERROR(__xludf.DUMMYFUNCTION("""COMPUTED_VALUE"""),"Ravindra Gokhale")</f>
        <v>Ravindra Gokhale</v>
      </c>
      <c r="B441" s="1" t="str">
        <f>IFERROR(__xludf.DUMMYFUNCTION("""COMPUTED_VALUE"""),"M.Tech")</f>
        <v>M.Tech</v>
      </c>
      <c r="C441" s="1">
        <f>IFERROR(__xludf.DUMMYFUNCTION("""COMPUTED_VALUE"""),2004.0)</f>
        <v>2004</v>
      </c>
      <c r="D441" s="1" t="str">
        <f>IFERROR(__xludf.DUMMYFUNCTION("""COMPUTED_VALUE"""),"Simulation Studies on Railway Line Capacity")</f>
        <v>Simulation Studies on Railway Line Capacity</v>
      </c>
      <c r="E441" s="1"/>
    </row>
    <row r="442" ht="15.75" customHeight="1">
      <c r="A442" s="1" t="str">
        <f>IFERROR(__xludf.DUMMYFUNCTION("""COMPUTED_VALUE"""),"Vaishali Moharir")</f>
        <v>Vaishali Moharir</v>
      </c>
      <c r="B442" s="1" t="str">
        <f>IFERROR(__xludf.DUMMYFUNCTION("""COMPUTED_VALUE"""),"M.Tech")</f>
        <v>M.Tech</v>
      </c>
      <c r="C442" s="1">
        <f>IFERROR(__xludf.DUMMYFUNCTION("""COMPUTED_VALUE"""),2004.0)</f>
        <v>2004</v>
      </c>
      <c r="D442" s="1" t="str">
        <f>IFERROR(__xludf.DUMMYFUNCTION("""COMPUTED_VALUE"""),"Optimal Pricing and Operating Policies for Competing Modes of Transport")</f>
        <v>Optimal Pricing and Operating Policies for Competing Modes of Transport</v>
      </c>
      <c r="E442" s="1"/>
    </row>
    <row r="443" ht="15.75" customHeight="1">
      <c r="A443" s="1" t="str">
        <f>IFERROR(__xludf.DUMMYFUNCTION("""COMPUTED_VALUE"""),"George Easaw")</f>
        <v>George Easaw</v>
      </c>
      <c r="B443" s="1" t="str">
        <f>IFERROR(__xludf.DUMMYFUNCTION("""COMPUTED_VALUE"""),"Ph.D")</f>
        <v>Ph.D</v>
      </c>
      <c r="C443" s="1">
        <f>IFERROR(__xludf.DUMMYFUNCTION("""COMPUTED_VALUE"""),2004.0)</f>
        <v>2004</v>
      </c>
      <c r="D443" s="1" t="str">
        <f>IFERROR(__xludf.DUMMYFUNCTION("""COMPUTED_VALUE"""),"Multiple Performance Measure Analysis of Multi-echelon supply chains")</f>
        <v>Multiple Performance Measure Analysis of Multi-echelon supply chains</v>
      </c>
      <c r="E443" s="1"/>
    </row>
    <row r="444" ht="15.75" customHeight="1">
      <c r="A444" s="1" t="str">
        <f>IFERROR(__xludf.DUMMYFUNCTION("""COMPUTED_VALUE"""),"Mohanty Rashmi Ranjan")</f>
        <v>Mohanty Rashmi Ranjan</v>
      </c>
      <c r="B444" s="1" t="str">
        <f>IFERROR(__xludf.DUMMYFUNCTION("""COMPUTED_VALUE"""),"Ph.D")</f>
        <v>Ph.D</v>
      </c>
      <c r="C444" s="1">
        <f>IFERROR(__xludf.DUMMYFUNCTION("""COMPUTED_VALUE"""),2004.0)</f>
        <v>2004</v>
      </c>
      <c r="D444" s="1" t="str">
        <f>IFERROR(__xludf.DUMMYFUNCTION("""COMPUTED_VALUE"""),"Development and application of an integrated system for managing quality")</f>
        <v>Development and application of an integrated system for managing quality</v>
      </c>
      <c r="E444" s="1"/>
    </row>
    <row r="445" ht="15.75" customHeight="1">
      <c r="A445" s="1" t="str">
        <f>IFERROR(__xludf.DUMMYFUNCTION("""COMPUTED_VALUE"""),"V. Mariapan")</f>
        <v>V. Mariapan</v>
      </c>
      <c r="B445" s="1" t="str">
        <f>IFERROR(__xludf.DUMMYFUNCTION("""COMPUTED_VALUE"""),"Ph.D")</f>
        <v>Ph.D</v>
      </c>
      <c r="C445" s="1">
        <f>IFERROR(__xludf.DUMMYFUNCTION("""COMPUTED_VALUE"""),2004.0)</f>
        <v>2004</v>
      </c>
      <c r="D445" s="1" t="str">
        <f>IFERROR(__xludf.DUMMYFUNCTION("""COMPUTED_VALUE"""),"Some Studies on Reliability Centered Maintenance Systems")</f>
        <v>Some Studies on Reliability Centered Maintenance Systems</v>
      </c>
      <c r="E445" s="1"/>
    </row>
    <row r="446" ht="15.75" customHeight="1">
      <c r="A446" s="1" t="str">
        <f>IFERROR(__xludf.DUMMYFUNCTION("""COMPUTED_VALUE"""),"Avnish Kumar Sharma")</f>
        <v>Avnish Kumar Sharma</v>
      </c>
      <c r="B446" s="1" t="str">
        <f>IFERROR(__xludf.DUMMYFUNCTION("""COMPUTED_VALUE"""),"M.Tech")</f>
        <v>M.Tech</v>
      </c>
      <c r="C446" s="1">
        <f>IFERROR(__xludf.DUMMYFUNCTION("""COMPUTED_VALUE"""),2003.0)</f>
        <v>2003</v>
      </c>
      <c r="D446" s="1" t="str">
        <f>IFERROR(__xludf.DUMMYFUNCTION("""COMPUTED_VALUE"""),"Computational Methods for Allocating Securities in Portfolios")</f>
        <v>Computational Methods for Allocating Securities in Portfolios</v>
      </c>
      <c r="E446" s="1"/>
    </row>
    <row r="447" ht="15.75" customHeight="1">
      <c r="A447" s="1" t="str">
        <f>IFERROR(__xludf.DUMMYFUNCTION("""COMPUTED_VALUE"""),"Bhaskar Yerramsetty")</f>
        <v>Bhaskar Yerramsetty</v>
      </c>
      <c r="B447" s="1" t="str">
        <f>IFERROR(__xludf.DUMMYFUNCTION("""COMPUTED_VALUE"""),"M.Tech")</f>
        <v>M.Tech</v>
      </c>
      <c r="C447" s="1">
        <f>IFERROR(__xludf.DUMMYFUNCTION("""COMPUTED_VALUE"""),2003.0)</f>
        <v>2003</v>
      </c>
      <c r="D447" s="1" t="str">
        <f>IFERROR(__xludf.DUMMYFUNCTION("""COMPUTED_VALUE"""),"Design and Operations of Cellular Manufacturing Systems")</f>
        <v>Design and Operations of Cellular Manufacturing Systems</v>
      </c>
      <c r="E447" s="1"/>
    </row>
    <row r="448" ht="15.75" customHeight="1">
      <c r="A448" s="1" t="str">
        <f>IFERROR(__xludf.DUMMYFUNCTION("""COMPUTED_VALUE"""),"Diwakar Pathak")</f>
        <v>Diwakar Pathak</v>
      </c>
      <c r="B448" s="1" t="str">
        <f>IFERROR(__xludf.DUMMYFUNCTION("""COMPUTED_VALUE"""),"M.Tech")</f>
        <v>M.Tech</v>
      </c>
      <c r="C448" s="1">
        <f>IFERROR(__xludf.DUMMYFUNCTION("""COMPUTED_VALUE"""),2003.0)</f>
        <v>2003</v>
      </c>
      <c r="D448" s="1" t="str">
        <f>IFERROR(__xludf.DUMMYFUNCTION("""COMPUTED_VALUE"""),"Performance Evaluation of an Open Assembly Line with Approximated 
Phase-Type Service Time Distributions")</f>
        <v>Performance Evaluation of an Open Assembly Line with Approximated 
Phase-Type Service Time Distributions</v>
      </c>
      <c r="E448" s="1"/>
    </row>
    <row r="449" ht="15.75" customHeight="1">
      <c r="A449" s="1" t="str">
        <f>IFERROR(__xludf.DUMMYFUNCTION("""COMPUTED_VALUE"""),"Inderjeet Singh")</f>
        <v>Inderjeet Singh</v>
      </c>
      <c r="B449" s="1" t="str">
        <f>IFERROR(__xludf.DUMMYFUNCTION("""COMPUTED_VALUE"""),"M.Tech")</f>
        <v>M.Tech</v>
      </c>
      <c r="C449" s="1">
        <f>IFERROR(__xludf.DUMMYFUNCTION("""COMPUTED_VALUE"""),2003.0)</f>
        <v>2003</v>
      </c>
      <c r="D449" s="1" t="str">
        <f>IFERROR(__xludf.DUMMYFUNCTION("""COMPUTED_VALUE"""),"Application of Reinforcement Learning to Robot Navigation with faulty 
sensors and faulty actuators")</f>
        <v>Application of Reinforcement Learning to Robot Navigation with faulty 
sensors and faulty actuators</v>
      </c>
      <c r="E449" s="1"/>
    </row>
    <row r="450" ht="15.75" customHeight="1">
      <c r="A450" s="1" t="str">
        <f>IFERROR(__xludf.DUMMYFUNCTION("""COMPUTED_VALUE"""),"Leela Nagasrinivasarao P.")</f>
        <v>Leela Nagasrinivasarao P.</v>
      </c>
      <c r="B450" s="1" t="str">
        <f>IFERROR(__xludf.DUMMYFUNCTION("""COMPUTED_VALUE"""),"M.Tech")</f>
        <v>M.Tech</v>
      </c>
      <c r="C450" s="1">
        <f>IFERROR(__xludf.DUMMYFUNCTION("""COMPUTED_VALUE"""),2003.0)</f>
        <v>2003</v>
      </c>
      <c r="D450" s="1" t="str">
        <f>IFERROR(__xludf.DUMMYFUNCTION("""COMPUTED_VALUE"""),"Evaluating the suitability of functional and cellular manufacturing systems 
using simulation")</f>
        <v>Evaluating the suitability of functional and cellular manufacturing systems 
using simulation</v>
      </c>
      <c r="E450" s="1"/>
    </row>
    <row r="451" ht="15.75" customHeight="1">
      <c r="A451" s="1" t="str">
        <f>IFERROR(__xludf.DUMMYFUNCTION("""COMPUTED_VALUE"""),"Mitali Johri")</f>
        <v>Mitali Johri</v>
      </c>
      <c r="B451" s="1" t="str">
        <f>IFERROR(__xludf.DUMMYFUNCTION("""COMPUTED_VALUE"""),"M.Tech")</f>
        <v>M.Tech</v>
      </c>
      <c r="C451" s="1">
        <f>IFERROR(__xludf.DUMMYFUNCTION("""COMPUTED_VALUE"""),2003.0)</f>
        <v>2003</v>
      </c>
      <c r="D451" s="1" t="str">
        <f>IFERROR(__xludf.DUMMYFUNCTION("""COMPUTED_VALUE"""),"Railway Scheduling and Capacity Planning -A Simulation Based approach")</f>
        <v>Railway Scheduling and Capacity Planning -A Simulation Based approach</v>
      </c>
      <c r="E451" s="1"/>
    </row>
    <row r="452" ht="15.75" customHeight="1">
      <c r="A452" s="1" t="str">
        <f>IFERROR(__xludf.DUMMYFUNCTION("""COMPUTED_VALUE"""),"Prashant Jani")</f>
        <v>Prashant Jani</v>
      </c>
      <c r="B452" s="1" t="str">
        <f>IFERROR(__xludf.DUMMYFUNCTION("""COMPUTED_VALUE"""),"M.Tech")</f>
        <v>M.Tech</v>
      </c>
      <c r="C452" s="1">
        <f>IFERROR(__xludf.DUMMYFUNCTION("""COMPUTED_VALUE"""),2003.0)</f>
        <v>2003</v>
      </c>
      <c r="D452" s="1" t="str">
        <f>IFERROR(__xludf.DUMMYFUNCTION("""COMPUTED_VALUE"""),"DSS BASED CYBERMEDIARY FOR SUPPLY CHAIN MANAGEMENT")</f>
        <v>DSS BASED CYBERMEDIARY FOR SUPPLY CHAIN MANAGEMENT</v>
      </c>
      <c r="E452" s="1"/>
    </row>
    <row r="453" ht="15.75" customHeight="1">
      <c r="A453" s="1" t="str">
        <f>IFERROR(__xludf.DUMMYFUNCTION("""COMPUTED_VALUE"""),"Raval Hemshanker Mahesh")</f>
        <v>Raval Hemshanker Mahesh</v>
      </c>
      <c r="B453" s="1" t="str">
        <f>IFERROR(__xludf.DUMMYFUNCTION("""COMPUTED_VALUE"""),"M.Tech")</f>
        <v>M.Tech</v>
      </c>
      <c r="C453" s="1">
        <f>IFERROR(__xludf.DUMMYFUNCTION("""COMPUTED_VALUE"""),2003.0)</f>
        <v>2003</v>
      </c>
      <c r="D453" s="1" t="str">
        <f>IFERROR(__xludf.DUMMYFUNCTION("""COMPUTED_VALUE"""),"APPLICATION OF SELF ORGANIZING MAP NEURAL NETWORKS TO ROBOT SELF 
LOCALIZATION")</f>
        <v>APPLICATION OF SELF ORGANIZING MAP NEURAL NETWORKS TO ROBOT SELF 
LOCALIZATION</v>
      </c>
      <c r="E453" s="1"/>
    </row>
    <row r="454" ht="15.75" customHeight="1">
      <c r="A454" s="1" t="str">
        <f>IFERROR(__xludf.DUMMYFUNCTION("""COMPUTED_VALUE"""),"Sachin Jayaswal")</f>
        <v>Sachin Jayaswal</v>
      </c>
      <c r="B454" s="1" t="str">
        <f>IFERROR(__xludf.DUMMYFUNCTION("""COMPUTED_VALUE"""),"M.Tech")</f>
        <v>M.Tech</v>
      </c>
      <c r="C454" s="1">
        <f>IFERROR(__xludf.DUMMYFUNCTION("""COMPUTED_VALUE"""),2003.0)</f>
        <v>2003</v>
      </c>
      <c r="D454" s="1" t="str">
        <f>IFERROR(__xludf.DUMMYFUNCTION("""COMPUTED_VALUE"""),"An Approach to Designing Focused Plants-within-a-Plant")</f>
        <v>An Approach to Designing Focused Plants-within-a-Plant</v>
      </c>
      <c r="E454" s="1"/>
    </row>
    <row r="455" ht="15.75" customHeight="1">
      <c r="A455" s="1" t="str">
        <f>IFERROR(__xludf.DUMMYFUNCTION("""COMPUTED_VALUE"""),"Sudhir Kumar sinha")</f>
        <v>Sudhir Kumar sinha</v>
      </c>
      <c r="B455" s="1" t="str">
        <f>IFERROR(__xludf.DUMMYFUNCTION("""COMPUTED_VALUE"""),"M.Tech")</f>
        <v>M.Tech</v>
      </c>
      <c r="C455" s="1">
        <f>IFERROR(__xludf.DUMMYFUNCTION("""COMPUTED_VALUE"""),2003.0)</f>
        <v>2003</v>
      </c>
      <c r="D455" s="1" t="str">
        <f>IFERROR(__xludf.DUMMYFUNCTION("""COMPUTED_VALUE"""),"Analysis of Operating Costs and Pricing Models on Transport Networks")</f>
        <v>Analysis of Operating Costs and Pricing Models on Transport Networks</v>
      </c>
      <c r="E455" s="1"/>
    </row>
    <row r="456" ht="15.75" customHeight="1">
      <c r="A456" s="1" t="str">
        <f>IFERROR(__xludf.DUMMYFUNCTION("""COMPUTED_VALUE"""),"Vishnu A. Subash")</f>
        <v>Vishnu A. Subash</v>
      </c>
      <c r="B456" s="1" t="str">
        <f>IFERROR(__xludf.DUMMYFUNCTION("""COMPUTED_VALUE"""),"M.Tech")</f>
        <v>M.Tech</v>
      </c>
      <c r="C456" s="1">
        <f>IFERROR(__xludf.DUMMYFUNCTION("""COMPUTED_VALUE"""),2003.0)</f>
        <v>2003</v>
      </c>
      <c r="D456" s="1" t="str">
        <f>IFERROR(__xludf.DUMMYFUNCTION("""COMPUTED_VALUE"""),"IT Applications in Supply Chain Management")</f>
        <v>IT Applications in Supply Chain Management</v>
      </c>
      <c r="E456" s="1"/>
    </row>
    <row r="457" ht="15.75" customHeight="1">
      <c r="A457" s="1" t="str">
        <f>IFERROR(__xludf.DUMMYFUNCTION("""COMPUTED_VALUE"""),"Vishwasrao Rohan Suresh")</f>
        <v>Vishwasrao Rohan Suresh</v>
      </c>
      <c r="B457" s="1" t="str">
        <f>IFERROR(__xludf.DUMMYFUNCTION("""COMPUTED_VALUE"""),"M.Tech")</f>
        <v>M.Tech</v>
      </c>
      <c r="C457" s="1">
        <f>IFERROR(__xludf.DUMMYFUNCTION("""COMPUTED_VALUE"""),2003.0)</f>
        <v>2003</v>
      </c>
      <c r="D457" s="1" t="str">
        <f>IFERROR(__xludf.DUMMYFUNCTION("""COMPUTED_VALUE"""),"Web-based systems for production scheduling")</f>
        <v>Web-based systems for production scheduling</v>
      </c>
      <c r="E457" s="1"/>
    </row>
    <row r="458" ht="15.75" customHeight="1">
      <c r="A458" s="1" t="str">
        <f>IFERROR(__xludf.DUMMYFUNCTION("""COMPUTED_VALUE"""),"Chandrashekar Konda")</f>
        <v>Chandrashekar Konda</v>
      </c>
      <c r="B458" s="1" t="str">
        <f>IFERROR(__xludf.DUMMYFUNCTION("""COMPUTED_VALUE"""),"M.Tech")</f>
        <v>M.Tech</v>
      </c>
      <c r="C458" s="1">
        <f>IFERROR(__xludf.DUMMYFUNCTION("""COMPUTED_VALUE"""),2002.0)</f>
        <v>2002</v>
      </c>
      <c r="D458" s="1" t="str">
        <f>IFERROR(__xludf.DUMMYFUNCTION("""COMPUTED_VALUE"""),"Policies For New Product Introduction and Old Product Withdrawal")</f>
        <v>Policies For New Product Introduction and Old Product Withdrawal</v>
      </c>
      <c r="E458" s="1"/>
    </row>
    <row r="459" ht="15.75" customHeight="1">
      <c r="A459" s="1" t="str">
        <f>IFERROR(__xludf.DUMMYFUNCTION("""COMPUTED_VALUE"""),"Hemant C. Gajbhiye")</f>
        <v>Hemant C. Gajbhiye</v>
      </c>
      <c r="B459" s="1" t="str">
        <f>IFERROR(__xludf.DUMMYFUNCTION("""COMPUTED_VALUE"""),"M.Tech")</f>
        <v>M.Tech</v>
      </c>
      <c r="C459" s="1">
        <f>IFERROR(__xludf.DUMMYFUNCTION("""COMPUTED_VALUE"""),2002.0)</f>
        <v>2002</v>
      </c>
      <c r="D459" s="1" t="str">
        <f>IFERROR(__xludf.DUMMYFUNCTION("""COMPUTED_VALUE"""),"Decision Support System for Project Scheduling")</f>
        <v>Decision Support System for Project Scheduling</v>
      </c>
      <c r="E459" s="1"/>
    </row>
    <row r="460" ht="15.75" customHeight="1">
      <c r="A460" s="1" t="str">
        <f>IFERROR(__xludf.DUMMYFUNCTION("""COMPUTED_VALUE"""),"Jaju Amit Radheshyam")</f>
        <v>Jaju Amit Radheshyam</v>
      </c>
      <c r="B460" s="1" t="str">
        <f>IFERROR(__xludf.DUMMYFUNCTION("""COMPUTED_VALUE"""),"M.Tech")</f>
        <v>M.Tech</v>
      </c>
      <c r="C460" s="1">
        <f>IFERROR(__xludf.DUMMYFUNCTION("""COMPUTED_VALUE"""),2002.0)</f>
        <v>2002</v>
      </c>
      <c r="D460" s="1" t="str">
        <f>IFERROR(__xludf.DUMMYFUNCTION("""COMPUTED_VALUE"""),"Application of Powergraph Methodology in Supply Chain Management")</f>
        <v>Application of Powergraph Methodology in Supply Chain Management</v>
      </c>
      <c r="E460" s="1"/>
    </row>
    <row r="461" ht="15.75" customHeight="1">
      <c r="A461" s="1" t="str">
        <f>IFERROR(__xludf.DUMMYFUNCTION("""COMPUTED_VALUE"""),"Kamlesh Dewangan")</f>
        <v>Kamlesh Dewangan</v>
      </c>
      <c r="B461" s="1" t="str">
        <f>IFERROR(__xludf.DUMMYFUNCTION("""COMPUTED_VALUE"""),"M.Tech")</f>
        <v>M.Tech</v>
      </c>
      <c r="C461" s="1">
        <f>IFERROR(__xludf.DUMMYFUNCTION("""COMPUTED_VALUE"""),2002.0)</f>
        <v>2002</v>
      </c>
      <c r="D461" s="1" t="str">
        <f>IFERROR(__xludf.DUMMYFUNCTION("""COMPUTED_VALUE"""),"Principles and Applications of Reinforcement Learning")</f>
        <v>Principles and Applications of Reinforcement Learning</v>
      </c>
      <c r="E461" s="1"/>
    </row>
    <row r="462" ht="15.75" customHeight="1">
      <c r="A462" s="1" t="str">
        <f>IFERROR(__xludf.DUMMYFUNCTION("""COMPUTED_VALUE"""),"Naveen Kumar Kannegundla")</f>
        <v>Naveen Kumar Kannegundla</v>
      </c>
      <c r="B462" s="1" t="str">
        <f>IFERROR(__xludf.DUMMYFUNCTION("""COMPUTED_VALUE"""),"M.Tech")</f>
        <v>M.Tech</v>
      </c>
      <c r="C462" s="1">
        <f>IFERROR(__xludf.DUMMYFUNCTION("""COMPUTED_VALUE"""),2002.0)</f>
        <v>2002</v>
      </c>
      <c r="D462" s="1" t="str">
        <f>IFERROR(__xludf.DUMMYFUNCTION("""COMPUTED_VALUE"""),"Winner Determination for Multi Unit Combinatorial Auctions")</f>
        <v>Winner Determination for Multi Unit Combinatorial Auctions</v>
      </c>
      <c r="E462" s="1"/>
    </row>
    <row r="463" ht="15.75" customHeight="1">
      <c r="A463" s="1" t="str">
        <f>IFERROR(__xludf.DUMMYFUNCTION("""COMPUTED_VALUE"""),"Rabindra Kumar Panda")</f>
        <v>Rabindra Kumar Panda</v>
      </c>
      <c r="B463" s="1" t="str">
        <f>IFERROR(__xludf.DUMMYFUNCTION("""COMPUTED_VALUE"""),"M.Tech")</f>
        <v>M.Tech</v>
      </c>
      <c r="C463" s="1">
        <f>IFERROR(__xludf.DUMMYFUNCTION("""COMPUTED_VALUE"""),2002.0)</f>
        <v>2002</v>
      </c>
      <c r="D463" s="1" t="str">
        <f>IFERROR(__xludf.DUMMYFUNCTION("""COMPUTED_VALUE"""),"Design and analysis of cellular manufacturing systems")</f>
        <v>Design and analysis of cellular manufacturing systems</v>
      </c>
      <c r="E463" s="1"/>
    </row>
    <row r="464" ht="15.75" customHeight="1">
      <c r="A464" s="1" t="str">
        <f>IFERROR(__xludf.DUMMYFUNCTION("""COMPUTED_VALUE"""),"V.S.Prakash Attili")</f>
        <v>V.S.Prakash Attili</v>
      </c>
      <c r="B464" s="1" t="str">
        <f>IFERROR(__xludf.DUMMYFUNCTION("""COMPUTED_VALUE"""),"M.Tech")</f>
        <v>M.Tech</v>
      </c>
      <c r="C464" s="1">
        <f>IFERROR(__xludf.DUMMYFUNCTION("""COMPUTED_VALUE"""),2002.0)</f>
        <v>2002</v>
      </c>
      <c r="D464" s="1" t="str">
        <f>IFERROR(__xludf.DUMMYFUNCTION("""COMPUTED_VALUE"""),"Web-based Manufacturing Management Systems")</f>
        <v>Web-based Manufacturing Management Systems</v>
      </c>
      <c r="E464" s="1"/>
    </row>
    <row r="465" ht="15.75" customHeight="1">
      <c r="A465" s="1" t="str">
        <f>IFERROR(__xludf.DUMMYFUNCTION("""COMPUTED_VALUE"""),"Vaibhavi Vijay Agwan")</f>
        <v>Vaibhavi Vijay Agwan</v>
      </c>
      <c r="B465" s="1" t="str">
        <f>IFERROR(__xludf.DUMMYFUNCTION("""COMPUTED_VALUE"""),"M.Tech")</f>
        <v>M.Tech</v>
      </c>
      <c r="C465" s="1">
        <f>IFERROR(__xludf.DUMMYFUNCTION("""COMPUTED_VALUE"""),2002.0)</f>
        <v>2002</v>
      </c>
      <c r="D465" s="1" t="str">
        <f>IFERROR(__xludf.DUMMYFUNCTION("""COMPUTED_VALUE"""),"Virtual Partnerships and Supply Chain Management")</f>
        <v>Virtual Partnerships and Supply Chain Management</v>
      </c>
      <c r="E465" s="1"/>
    </row>
    <row r="466" ht="15.75" customHeight="1">
      <c r="A466" s="1" t="str">
        <f>IFERROR(__xludf.DUMMYFUNCTION("""COMPUTED_VALUE"""),"veturi krishna kishore")</f>
        <v>veturi krishna kishore</v>
      </c>
      <c r="B466" s="1" t="str">
        <f>IFERROR(__xludf.DUMMYFUNCTION("""COMPUTED_VALUE"""),"M.Tech")</f>
        <v>M.Tech</v>
      </c>
      <c r="C466" s="1">
        <f>IFERROR(__xludf.DUMMYFUNCTION("""COMPUTED_VALUE"""),2002.0)</f>
        <v>2002</v>
      </c>
      <c r="D466" s="1" t="str">
        <f>IFERROR(__xludf.DUMMYFUNCTION("""COMPUTED_VALUE"""),"Customer Service System Using Knowledge Management")</f>
        <v>Customer Service System Using Knowledge Management</v>
      </c>
      <c r="E466" s="1"/>
    </row>
    <row r="467" ht="15.75" customHeight="1">
      <c r="A467" s="1" t="str">
        <f>IFERROR(__xludf.DUMMYFUNCTION("""COMPUTED_VALUE"""),"Vijay C. Patil")</f>
        <v>Vijay C. Patil</v>
      </c>
      <c r="B467" s="1" t="str">
        <f>IFERROR(__xludf.DUMMYFUNCTION("""COMPUTED_VALUE"""),"M.Tech")</f>
        <v>M.Tech</v>
      </c>
      <c r="C467" s="1">
        <f>IFERROR(__xludf.DUMMYFUNCTION("""COMPUTED_VALUE"""),2002.0)</f>
        <v>2002</v>
      </c>
      <c r="D467" s="1" t="str">
        <f>IFERROR(__xludf.DUMMYFUNCTION("""COMPUTED_VALUE"""),"Some Hybrid Systems Using Concepts of Fuzzy Systems and Neural Networks")</f>
        <v>Some Hybrid Systems Using Concepts of Fuzzy Systems and Neural Networks</v>
      </c>
      <c r="E467" s="1"/>
    </row>
    <row r="468" ht="15.75" customHeight="1">
      <c r="A468" s="1" t="str">
        <f>IFERROR(__xludf.DUMMYFUNCTION("""COMPUTED_VALUE"""),"VIVEK SRIVASTAVA")</f>
        <v>VIVEK SRIVASTAVA</v>
      </c>
      <c r="B468" s="1" t="str">
        <f>IFERROR(__xludf.DUMMYFUNCTION("""COMPUTED_VALUE"""),"M.Tech")</f>
        <v>M.Tech</v>
      </c>
      <c r="C468" s="1">
        <f>IFERROR(__xludf.DUMMYFUNCTION("""COMPUTED_VALUE"""),2002.0)</f>
        <v>2002</v>
      </c>
      <c r="D468" s="1" t="str">
        <f>IFERROR(__xludf.DUMMYFUNCTION("""COMPUTED_VALUE"""),"SUPPLY CHAIN MANAGEMENT: INTER-ORGANIZATIONAL COORDINATION")</f>
        <v>SUPPLY CHAIN MANAGEMENT: INTER-ORGANIZATIONAL COORDINATION</v>
      </c>
      <c r="E468" s="1"/>
    </row>
    <row r="469" ht="15.75" customHeight="1">
      <c r="A469" s="1" t="str">
        <f>IFERROR(__xludf.DUMMYFUNCTION("""COMPUTED_VALUE"""),"Rashmi Ranjan Mohanty")</f>
        <v>Rashmi Ranjan Mohanty</v>
      </c>
      <c r="B469" s="1" t="str">
        <f>IFERROR(__xludf.DUMMYFUNCTION("""COMPUTED_VALUE"""),"Ph.D")</f>
        <v>Ph.D</v>
      </c>
      <c r="C469" s="1">
        <f>IFERROR(__xludf.DUMMYFUNCTION("""COMPUTED_VALUE"""),2002.0)</f>
        <v>2002</v>
      </c>
      <c r="D469" s="1"/>
      <c r="E469" s="1"/>
    </row>
    <row r="470" ht="15.75" customHeight="1">
      <c r="A470" s="1" t="str">
        <f>IFERROR(__xludf.DUMMYFUNCTION("""COMPUTED_VALUE"""),"A.SRIDHAR")</f>
        <v>A.SRIDHAR</v>
      </c>
      <c r="B470" s="1" t="str">
        <f>IFERROR(__xludf.DUMMYFUNCTION("""COMPUTED_VALUE"""),"M.Tech")</f>
        <v>M.Tech</v>
      </c>
      <c r="C470" s="1">
        <f>IFERROR(__xludf.DUMMYFUNCTION("""COMPUTED_VALUE"""),2000.0)</f>
        <v>2000</v>
      </c>
      <c r="D470" s="1" t="str">
        <f>IFERROR(__xludf.DUMMYFUNCTION("""COMPUTED_VALUE"""),"Collaborative Scheduling Systems for Make-to-Order Manufacturing Environment")</f>
        <v>Collaborative Scheduling Systems for Make-to-Order Manufacturing Environment</v>
      </c>
      <c r="E470" s="1"/>
    </row>
    <row r="471" ht="15.75" customHeight="1">
      <c r="A471" s="1" t="str">
        <f>IFERROR(__xludf.DUMMYFUNCTION("""COMPUTED_VALUE"""),"Ajit Kolhe")</f>
        <v>Ajit Kolhe</v>
      </c>
      <c r="B471" s="1" t="str">
        <f>IFERROR(__xludf.DUMMYFUNCTION("""COMPUTED_VALUE"""),"M.Tech")</f>
        <v>M.Tech</v>
      </c>
      <c r="C471" s="1">
        <f>IFERROR(__xludf.DUMMYFUNCTION("""COMPUTED_VALUE"""),2000.0)</f>
        <v>2000</v>
      </c>
      <c r="D471" s="1" t="str">
        <f>IFERROR(__xludf.DUMMYFUNCTION("""COMPUTED_VALUE"""),"Framework For Implementing Manufacturing Module of ERP System")</f>
        <v>Framework For Implementing Manufacturing Module of ERP System</v>
      </c>
      <c r="E471" s="1"/>
    </row>
    <row r="472" ht="15.75" customHeight="1">
      <c r="A472" s="1" t="str">
        <f>IFERROR(__xludf.DUMMYFUNCTION("""COMPUTED_VALUE"""),"Chinmay Madhukar Date")</f>
        <v>Chinmay Madhukar Date</v>
      </c>
      <c r="B472" s="1" t="str">
        <f>IFERROR(__xludf.DUMMYFUNCTION("""COMPUTED_VALUE"""),"M.Tech")</f>
        <v>M.Tech</v>
      </c>
      <c r="C472" s="1">
        <f>IFERROR(__xludf.DUMMYFUNCTION("""COMPUTED_VALUE"""),2000.0)</f>
        <v>2000</v>
      </c>
      <c r="D472" s="1" t="str">
        <f>IFERROR(__xludf.DUMMYFUNCTION("""COMPUTED_VALUE"""),"Simulation of a Queueing Model for Hospital Systems")</f>
        <v>Simulation of a Queueing Model for Hospital Systems</v>
      </c>
      <c r="E472" s="1"/>
    </row>
    <row r="473" ht="15.75" customHeight="1">
      <c r="A473" s="1" t="str">
        <f>IFERROR(__xludf.DUMMYFUNCTION("""COMPUTED_VALUE"""),"Girish Pande")</f>
        <v>Girish Pande</v>
      </c>
      <c r="B473" s="1" t="str">
        <f>IFERROR(__xludf.DUMMYFUNCTION("""COMPUTED_VALUE"""),"M.Tech")</f>
        <v>M.Tech</v>
      </c>
      <c r="C473" s="1">
        <f>IFERROR(__xludf.DUMMYFUNCTION("""COMPUTED_VALUE"""),2000.0)</f>
        <v>2000</v>
      </c>
      <c r="D473" s="1" t="str">
        <f>IFERROR(__xludf.DUMMYFUNCTION("""COMPUTED_VALUE"""),"A study on design and operation of Cellular Manufacturing System")</f>
        <v>A study on design and operation of Cellular Manufacturing System</v>
      </c>
      <c r="E473" s="1"/>
    </row>
    <row r="474" ht="15.75" customHeight="1">
      <c r="A474" s="1" t="str">
        <f>IFERROR(__xludf.DUMMYFUNCTION("""COMPUTED_VALUE"""),"Hariprasad")</f>
        <v>Hariprasad</v>
      </c>
      <c r="B474" s="1" t="str">
        <f>IFERROR(__xludf.DUMMYFUNCTION("""COMPUTED_VALUE"""),"M.Tech")</f>
        <v>M.Tech</v>
      </c>
      <c r="C474" s="1">
        <f>IFERROR(__xludf.DUMMYFUNCTION("""COMPUTED_VALUE"""),2000.0)</f>
        <v>2000</v>
      </c>
      <c r="D474" s="1" t="str">
        <f>IFERROR(__xludf.DUMMYFUNCTION("""COMPUTED_VALUE"""),"LOCATION-ALLOCATION MODELS USING GEOGRAPHICAL INFORMATION SYSTEMS")</f>
        <v>LOCATION-ALLOCATION MODELS USING GEOGRAPHICAL INFORMATION SYSTEMS</v>
      </c>
      <c r="E474" s="1"/>
    </row>
    <row r="475" ht="15.75" customHeight="1">
      <c r="A475" s="1" t="str">
        <f>IFERROR(__xludf.DUMMYFUNCTION("""COMPUTED_VALUE"""),"NITISH DAVE")</f>
        <v>NITISH DAVE</v>
      </c>
      <c r="B475" s="1" t="str">
        <f>IFERROR(__xludf.DUMMYFUNCTION("""COMPUTED_VALUE"""),"M.Tech")</f>
        <v>M.Tech</v>
      </c>
      <c r="C475" s="1">
        <f>IFERROR(__xludf.DUMMYFUNCTION("""COMPUTED_VALUE"""),2000.0)</f>
        <v>2000</v>
      </c>
      <c r="D475" s="1" t="str">
        <f>IFERROR(__xludf.DUMMYFUNCTION("""COMPUTED_VALUE"""),"A DSS FOR ANNOUNCEMENT OF SALES PROMOTION SCHEME IN PERISHABLE SUPPLY CHAIN 
USING MARKOV DECISION PROCESSES")</f>
        <v>A DSS FOR ANNOUNCEMENT OF SALES PROMOTION SCHEME IN PERISHABLE SUPPLY CHAIN 
USING MARKOV DECISION PROCESSES</v>
      </c>
      <c r="E475" s="1"/>
    </row>
    <row r="476" ht="15.75" customHeight="1">
      <c r="A476" s="1" t="str">
        <f>IFERROR(__xludf.DUMMYFUNCTION("""COMPUTED_VALUE"""),"Pinkesh Kothana")</f>
        <v>Pinkesh Kothana</v>
      </c>
      <c r="B476" s="1" t="str">
        <f>IFERROR(__xludf.DUMMYFUNCTION("""COMPUTED_VALUE"""),"M.Tech")</f>
        <v>M.Tech</v>
      </c>
      <c r="C476" s="1">
        <f>IFERROR(__xludf.DUMMYFUNCTION("""COMPUTED_VALUE"""),2000.0)</f>
        <v>2000</v>
      </c>
      <c r="D476" s="1" t="str">
        <f>IFERROR(__xludf.DUMMYFUNCTION("""COMPUTED_VALUE"""),"Shop Floor Management for ERP Systems")</f>
        <v>Shop Floor Management for ERP Systems</v>
      </c>
      <c r="E476" s="1"/>
    </row>
    <row r="477" ht="15.75" customHeight="1">
      <c r="A477" s="1" t="str">
        <f>IFERROR(__xludf.DUMMYFUNCTION("""COMPUTED_VALUE"""),"Piyush Gupta")</f>
        <v>Piyush Gupta</v>
      </c>
      <c r="B477" s="1" t="str">
        <f>IFERROR(__xludf.DUMMYFUNCTION("""COMPUTED_VALUE"""),"M.Tech")</f>
        <v>M.Tech</v>
      </c>
      <c r="C477" s="1">
        <f>IFERROR(__xludf.DUMMYFUNCTION("""COMPUTED_VALUE"""),2000.0)</f>
        <v>2000</v>
      </c>
      <c r="D477" s="1" t="str">
        <f>IFERROR(__xludf.DUMMYFUNCTION("""COMPUTED_VALUE"""),"Justification of ERP system")</f>
        <v>Justification of ERP system</v>
      </c>
      <c r="E477" s="1"/>
    </row>
    <row r="478" ht="15.75" customHeight="1">
      <c r="A478" s="1" t="str">
        <f>IFERROR(__xludf.DUMMYFUNCTION("""COMPUTED_VALUE"""),"Rahul Jagannath Patil")</f>
        <v>Rahul Jagannath Patil</v>
      </c>
      <c r="B478" s="1" t="str">
        <f>IFERROR(__xludf.DUMMYFUNCTION("""COMPUTED_VALUE"""),"M.Tech")</f>
        <v>M.Tech</v>
      </c>
      <c r="C478" s="1">
        <f>IFERROR(__xludf.DUMMYFUNCTION("""COMPUTED_VALUE"""),2000.0)</f>
        <v>2000</v>
      </c>
      <c r="D478" s="1" t="str">
        <f>IFERROR(__xludf.DUMMYFUNCTION("""COMPUTED_VALUE"""),"Materials Mangagement Practices In Growing Small Scale Industries: A Supply 
Chain Management Perspective")</f>
        <v>Materials Mangagement Practices In Growing Small Scale Industries: A Supply 
Chain Management Perspective</v>
      </c>
      <c r="E478" s="1"/>
    </row>
    <row r="479" ht="15.75" customHeight="1">
      <c r="A479" s="1" t="str">
        <f>IFERROR(__xludf.DUMMYFUNCTION("""COMPUTED_VALUE"""),"Ravikumar Siripurapu")</f>
        <v>Ravikumar Siripurapu</v>
      </c>
      <c r="B479" s="1" t="str">
        <f>IFERROR(__xludf.DUMMYFUNCTION("""COMPUTED_VALUE"""),"M.Tech")</f>
        <v>M.Tech</v>
      </c>
      <c r="C479" s="1">
        <f>IFERROR(__xludf.DUMMYFUNCTION("""COMPUTED_VALUE"""),2000.0)</f>
        <v>2000</v>
      </c>
      <c r="D479" s="1" t="str">
        <f>IFERROR(__xludf.DUMMYFUNCTION("""COMPUTED_VALUE"""),"Cost Management in Supply Chain")</f>
        <v>Cost Management in Supply Chain</v>
      </c>
      <c r="E479" s="1"/>
    </row>
    <row r="480" ht="15.75" customHeight="1">
      <c r="A480" s="1" t="str">
        <f>IFERROR(__xludf.DUMMYFUNCTION("""COMPUTED_VALUE"""),"Sameer G Joshi")</f>
        <v>Sameer G Joshi</v>
      </c>
      <c r="B480" s="1" t="str">
        <f>IFERROR(__xludf.DUMMYFUNCTION("""COMPUTED_VALUE"""),"M.Tech")</f>
        <v>M.Tech</v>
      </c>
      <c r="C480" s="1">
        <f>IFERROR(__xludf.DUMMYFUNCTION("""COMPUTED_VALUE"""),2000.0)</f>
        <v>2000</v>
      </c>
      <c r="D480" s="1" t="str">
        <f>IFERROR(__xludf.DUMMYFUNCTION("""COMPUTED_VALUE"""),"Object oriented simulation in FMS with AGVs")</f>
        <v>Object oriented simulation in FMS with AGVs</v>
      </c>
      <c r="E480" s="1"/>
    </row>
    <row r="481" ht="15.75" customHeight="1">
      <c r="A481" s="1" t="str">
        <f>IFERROR(__xludf.DUMMYFUNCTION("""COMPUTED_VALUE"""),"Shivamurthy Dibbi")</f>
        <v>Shivamurthy Dibbi</v>
      </c>
      <c r="B481" s="1" t="str">
        <f>IFERROR(__xludf.DUMMYFUNCTION("""COMPUTED_VALUE"""),"M.Tech")</f>
        <v>M.Tech</v>
      </c>
      <c r="C481" s="1">
        <f>IFERROR(__xludf.DUMMYFUNCTION("""COMPUTED_VALUE"""),2000.0)</f>
        <v>2000</v>
      </c>
      <c r="D481" s="1" t="str">
        <f>IFERROR(__xludf.DUMMYFUNCTION("""COMPUTED_VALUE"""),"Optimal Stock Removal in LOM-RP")</f>
        <v>Optimal Stock Removal in LOM-RP</v>
      </c>
      <c r="E481" s="1"/>
    </row>
    <row r="482" ht="15.75" customHeight="1">
      <c r="A482" s="1" t="str">
        <f>IFERROR(__xludf.DUMMYFUNCTION("""COMPUTED_VALUE"""),"Shrinivas Madhao Asanare")</f>
        <v>Shrinivas Madhao Asanare</v>
      </c>
      <c r="B482" s="1" t="str">
        <f>IFERROR(__xludf.DUMMYFUNCTION("""COMPUTED_VALUE"""),"M.Tech")</f>
        <v>M.Tech</v>
      </c>
      <c r="C482" s="1">
        <f>IFERROR(__xludf.DUMMYFUNCTION("""COMPUTED_VALUE"""),2000.0)</f>
        <v>2000</v>
      </c>
      <c r="D482" s="1" t="str">
        <f>IFERROR(__xludf.DUMMYFUNCTION("""COMPUTED_VALUE"""),"Suburban Railway Timetabling using CHIP")</f>
        <v>Suburban Railway Timetabling using CHIP</v>
      </c>
      <c r="E482" s="1"/>
    </row>
    <row r="483" ht="15.75" customHeight="1">
      <c r="A483" s="1" t="str">
        <f>IFERROR(__xludf.DUMMYFUNCTION("""COMPUTED_VALUE"""),"Sudeep Satija")</f>
        <v>Sudeep Satija</v>
      </c>
      <c r="B483" s="1" t="str">
        <f>IFERROR(__xludf.DUMMYFUNCTION("""COMPUTED_VALUE"""),"M.Tech")</f>
        <v>M.Tech</v>
      </c>
      <c r="C483" s="1">
        <f>IFERROR(__xludf.DUMMYFUNCTION("""COMPUTED_VALUE"""),2000.0)</f>
        <v>2000</v>
      </c>
      <c r="D483" s="1" t="str">
        <f>IFERROR(__xludf.DUMMYFUNCTION("""COMPUTED_VALUE"""),"Computer based Plant Layout System")</f>
        <v>Computer based Plant Layout System</v>
      </c>
      <c r="E483" s="1"/>
    </row>
    <row r="484" ht="15.75" customHeight="1">
      <c r="A484" s="1" t="str">
        <f>IFERROR(__xludf.DUMMYFUNCTION("""COMPUTED_VALUE"""),"Sudhir Bahel")</f>
        <v>Sudhir Bahel</v>
      </c>
      <c r="B484" s="1" t="str">
        <f>IFERROR(__xludf.DUMMYFUNCTION("""COMPUTED_VALUE"""),"M.Tech")</f>
        <v>M.Tech</v>
      </c>
      <c r="C484" s="1">
        <f>IFERROR(__xludf.DUMMYFUNCTION("""COMPUTED_VALUE"""),2000.0)</f>
        <v>2000</v>
      </c>
      <c r="D484" s="1" t="str">
        <f>IFERROR(__xludf.DUMMYFUNCTION("""COMPUTED_VALUE"""),"Maintenance Management Information System in Army repair establishment.")</f>
        <v>Maintenance Management Information System in Army repair establishment.</v>
      </c>
      <c r="E484" s="1"/>
    </row>
    <row r="485" ht="15.75" customHeight="1">
      <c r="A485" s="1" t="str">
        <f>IFERROR(__xludf.DUMMYFUNCTION("""COMPUTED_VALUE"""),"Vikrant Kumar")</f>
        <v>Vikrant Kumar</v>
      </c>
      <c r="B485" s="1" t="str">
        <f>IFERROR(__xludf.DUMMYFUNCTION("""COMPUTED_VALUE"""),"M.Tech")</f>
        <v>M.Tech</v>
      </c>
      <c r="C485" s="1">
        <f>IFERROR(__xludf.DUMMYFUNCTION("""COMPUTED_VALUE"""),2000.0)</f>
        <v>2000</v>
      </c>
      <c r="D485" s="1" t="str">
        <f>IFERROR(__xludf.DUMMYFUNCTION("""COMPUTED_VALUE"""),"Order release policies for ERP system")</f>
        <v>Order release policies for ERP system</v>
      </c>
      <c r="E485" s="1"/>
    </row>
    <row r="486" ht="15.75" customHeight="1">
      <c r="A486" s="1" t="str">
        <f>IFERROR(__xludf.DUMMYFUNCTION("""COMPUTED_VALUE"""),"Jayan Moorkanat")</f>
        <v>Jayan Moorkanat</v>
      </c>
      <c r="B486" s="1" t="str">
        <f>IFERROR(__xludf.DUMMYFUNCTION("""COMPUTED_VALUE"""),"Ph.D")</f>
        <v>Ph.D</v>
      </c>
      <c r="C486" s="1">
        <f>IFERROR(__xludf.DUMMYFUNCTION("""COMPUTED_VALUE"""),2000.0)</f>
        <v>2000</v>
      </c>
      <c r="D486" s="1"/>
      <c r="E486" s="1"/>
    </row>
    <row r="487" ht="15.75" customHeight="1">
      <c r="A487" s="1" t="str">
        <f>IFERROR(__xludf.DUMMYFUNCTION("""COMPUTED_VALUE"""),"Anil Kumar Khatwad")</f>
        <v>Anil Kumar Khatwad</v>
      </c>
      <c r="B487" s="1" t="str">
        <f>IFERROR(__xludf.DUMMYFUNCTION("""COMPUTED_VALUE"""),"M.Tech")</f>
        <v>M.Tech</v>
      </c>
      <c r="C487" s="1">
        <f>IFERROR(__xludf.DUMMYFUNCTION("""COMPUTED_VALUE"""),1999.0)</f>
        <v>1999</v>
      </c>
      <c r="D487" s="1"/>
      <c r="E487" s="1"/>
    </row>
    <row r="488" ht="15.75" customHeight="1">
      <c r="A488" s="1" t="str">
        <f>IFERROR(__xludf.DUMMYFUNCTION("""COMPUTED_VALUE"""),"Anuj Kumar Agrawal")</f>
        <v>Anuj Kumar Agrawal</v>
      </c>
      <c r="B488" s="1" t="str">
        <f>IFERROR(__xludf.DUMMYFUNCTION("""COMPUTED_VALUE"""),"M.Tech")</f>
        <v>M.Tech</v>
      </c>
      <c r="C488" s="1">
        <f>IFERROR(__xludf.DUMMYFUNCTION("""COMPUTED_VALUE"""),1999.0)</f>
        <v>1999</v>
      </c>
      <c r="D488" s="1"/>
      <c r="E488" s="1"/>
    </row>
    <row r="489" ht="15.75" customHeight="1">
      <c r="A489" s="1" t="str">
        <f>IFERROR(__xludf.DUMMYFUNCTION("""COMPUTED_VALUE"""),"Bhatt Mangal Girishbhai")</f>
        <v>Bhatt Mangal Girishbhai</v>
      </c>
      <c r="B489" s="1" t="str">
        <f>IFERROR(__xludf.DUMMYFUNCTION("""COMPUTED_VALUE"""),"M.Tech")</f>
        <v>M.Tech</v>
      </c>
      <c r="C489" s="1">
        <f>IFERROR(__xludf.DUMMYFUNCTION("""COMPUTED_VALUE"""),1999.0)</f>
        <v>1999</v>
      </c>
      <c r="D489" s="1"/>
      <c r="E489" s="1"/>
    </row>
    <row r="490" ht="15.75" customHeight="1">
      <c r="A490" s="1" t="str">
        <f>IFERROR(__xludf.DUMMYFUNCTION("""COMPUTED_VALUE"""),"Chetan Ghatole")</f>
        <v>Chetan Ghatole</v>
      </c>
      <c r="B490" s="1" t="str">
        <f>IFERROR(__xludf.DUMMYFUNCTION("""COMPUTED_VALUE"""),"M.Tech")</f>
        <v>M.Tech</v>
      </c>
      <c r="C490" s="1">
        <f>IFERROR(__xludf.DUMMYFUNCTION("""COMPUTED_VALUE"""),1999.0)</f>
        <v>1999</v>
      </c>
      <c r="D490" s="1"/>
      <c r="E490" s="1"/>
    </row>
    <row r="491" ht="15.75" customHeight="1">
      <c r="A491" s="1" t="str">
        <f>IFERROR(__xludf.DUMMYFUNCTION("""COMPUTED_VALUE"""),"E.Sarat Kumar")</f>
        <v>E.Sarat Kumar</v>
      </c>
      <c r="B491" s="1" t="str">
        <f>IFERROR(__xludf.DUMMYFUNCTION("""COMPUTED_VALUE"""),"M.Tech")</f>
        <v>M.Tech</v>
      </c>
      <c r="C491" s="1">
        <f>IFERROR(__xludf.DUMMYFUNCTION("""COMPUTED_VALUE"""),1999.0)</f>
        <v>1999</v>
      </c>
      <c r="D491" s="1"/>
      <c r="E491" s="1"/>
    </row>
    <row r="492" ht="15.75" customHeight="1">
      <c r="A492" s="1" t="str">
        <f>IFERROR(__xludf.DUMMYFUNCTION("""COMPUTED_VALUE"""),"Kundapuram Satyanarayana")</f>
        <v>Kundapuram Satyanarayana</v>
      </c>
      <c r="B492" s="1" t="str">
        <f>IFERROR(__xludf.DUMMYFUNCTION("""COMPUTED_VALUE"""),"M.Tech")</f>
        <v>M.Tech</v>
      </c>
      <c r="C492" s="1">
        <f>IFERROR(__xludf.DUMMYFUNCTION("""COMPUTED_VALUE"""),1999.0)</f>
        <v>1999</v>
      </c>
      <c r="D492" s="1"/>
      <c r="E492" s="1"/>
    </row>
    <row r="493" ht="15.75" customHeight="1">
      <c r="A493" s="1" t="str">
        <f>IFERROR(__xludf.DUMMYFUNCTION("""COMPUTED_VALUE"""),"Nallam Venkata Surendra")</f>
        <v>Nallam Venkata Surendra</v>
      </c>
      <c r="B493" s="1" t="str">
        <f>IFERROR(__xludf.DUMMYFUNCTION("""COMPUTED_VALUE"""),"M.Tech")</f>
        <v>M.Tech</v>
      </c>
      <c r="C493" s="1">
        <f>IFERROR(__xludf.DUMMYFUNCTION("""COMPUTED_VALUE"""),1999.0)</f>
        <v>1999</v>
      </c>
      <c r="D493" s="1"/>
      <c r="E493" s="1"/>
    </row>
    <row r="494" ht="15.75" customHeight="1">
      <c r="A494" s="1" t="str">
        <f>IFERROR(__xludf.DUMMYFUNCTION("""COMPUTED_VALUE"""),"Nittala Surya Narayana")</f>
        <v>Nittala Surya Narayana</v>
      </c>
      <c r="B494" s="1" t="str">
        <f>IFERROR(__xludf.DUMMYFUNCTION("""COMPUTED_VALUE"""),"M.Tech")</f>
        <v>M.Tech</v>
      </c>
      <c r="C494" s="1">
        <f>IFERROR(__xludf.DUMMYFUNCTION("""COMPUTED_VALUE"""),1999.0)</f>
        <v>1999</v>
      </c>
      <c r="D494" s="1"/>
      <c r="E494" s="1"/>
    </row>
    <row r="495" ht="15.75" customHeight="1">
      <c r="A495" s="1" t="str">
        <f>IFERROR(__xludf.DUMMYFUNCTION("""COMPUTED_VALUE"""),"Paradkar Ramkrishna Arvind")</f>
        <v>Paradkar Ramkrishna Arvind</v>
      </c>
      <c r="B495" s="1" t="str">
        <f>IFERROR(__xludf.DUMMYFUNCTION("""COMPUTED_VALUE"""),"M.Tech")</f>
        <v>M.Tech</v>
      </c>
      <c r="C495" s="1">
        <f>IFERROR(__xludf.DUMMYFUNCTION("""COMPUTED_VALUE"""),1999.0)</f>
        <v>1999</v>
      </c>
      <c r="D495" s="1"/>
      <c r="E495" s="1"/>
    </row>
    <row r="496" ht="15.75" customHeight="1">
      <c r="A496" s="1" t="str">
        <f>IFERROR(__xludf.DUMMYFUNCTION("""COMPUTED_VALUE"""),"Pranav Saxena")</f>
        <v>Pranav Saxena</v>
      </c>
      <c r="B496" s="1" t="str">
        <f>IFERROR(__xludf.DUMMYFUNCTION("""COMPUTED_VALUE"""),"M.Tech")</f>
        <v>M.Tech</v>
      </c>
      <c r="C496" s="1">
        <f>IFERROR(__xludf.DUMMYFUNCTION("""COMPUTED_VALUE"""),1999.0)</f>
        <v>1999</v>
      </c>
      <c r="D496" s="1"/>
      <c r="E496" s="1"/>
    </row>
    <row r="497" ht="15.75" customHeight="1">
      <c r="A497" s="1" t="str">
        <f>IFERROR(__xludf.DUMMYFUNCTION("""COMPUTED_VALUE"""),"Prasanna Kharshikar")</f>
        <v>Prasanna Kharshikar</v>
      </c>
      <c r="B497" s="1" t="str">
        <f>IFERROR(__xludf.DUMMYFUNCTION("""COMPUTED_VALUE"""),"M.Tech")</f>
        <v>M.Tech</v>
      </c>
      <c r="C497" s="1">
        <f>IFERROR(__xludf.DUMMYFUNCTION("""COMPUTED_VALUE"""),1999.0)</f>
        <v>1999</v>
      </c>
      <c r="D497" s="1"/>
      <c r="E497" s="1"/>
    </row>
    <row r="498" ht="15.75" customHeight="1">
      <c r="A498" s="1" t="str">
        <f>IFERROR(__xludf.DUMMYFUNCTION("""COMPUTED_VALUE"""),"Rajkumar Laxman Waghmare")</f>
        <v>Rajkumar Laxman Waghmare</v>
      </c>
      <c r="B498" s="1" t="str">
        <f>IFERROR(__xludf.DUMMYFUNCTION("""COMPUTED_VALUE"""),"M.Tech")</f>
        <v>M.Tech</v>
      </c>
      <c r="C498" s="1">
        <f>IFERROR(__xludf.DUMMYFUNCTION("""COMPUTED_VALUE"""),1999.0)</f>
        <v>1999</v>
      </c>
      <c r="D498" s="1"/>
      <c r="E498" s="1"/>
    </row>
    <row r="499" ht="15.75" customHeight="1">
      <c r="A499" s="1" t="str">
        <f>IFERROR(__xludf.DUMMYFUNCTION("""COMPUTED_VALUE"""),"Shashi Bhushan Mani Tripathi")</f>
        <v>Shashi Bhushan Mani Tripathi</v>
      </c>
      <c r="B499" s="1" t="str">
        <f>IFERROR(__xludf.DUMMYFUNCTION("""COMPUTED_VALUE"""),"M.Tech")</f>
        <v>M.Tech</v>
      </c>
      <c r="C499" s="1">
        <f>IFERROR(__xludf.DUMMYFUNCTION("""COMPUTED_VALUE"""),1999.0)</f>
        <v>1999</v>
      </c>
      <c r="D499" s="1"/>
      <c r="E499" s="1"/>
    </row>
    <row r="500" ht="15.75" customHeight="1">
      <c r="A500" s="1" t="str">
        <f>IFERROR(__xludf.DUMMYFUNCTION("""COMPUTED_VALUE"""),"Sudarshan Suhas Nagaonkar")</f>
        <v>Sudarshan Suhas Nagaonkar</v>
      </c>
      <c r="B500" s="1" t="str">
        <f>IFERROR(__xludf.DUMMYFUNCTION("""COMPUTED_VALUE"""),"M.Tech")</f>
        <v>M.Tech</v>
      </c>
      <c r="C500" s="1">
        <f>IFERROR(__xludf.DUMMYFUNCTION("""COMPUTED_VALUE"""),1999.0)</f>
        <v>1999</v>
      </c>
      <c r="D500" s="1"/>
      <c r="E500" s="1"/>
    </row>
    <row r="501" ht="15.75" customHeight="1">
      <c r="A501" s="1" t="str">
        <f>IFERROR(__xludf.DUMMYFUNCTION("""COMPUTED_VALUE"""),"Trivedi Hemantkumar Sureshchandra")</f>
        <v>Trivedi Hemantkumar Sureshchandra</v>
      </c>
      <c r="B501" s="1" t="str">
        <f>IFERROR(__xludf.DUMMYFUNCTION("""COMPUTED_VALUE"""),"M.Tech")</f>
        <v>M.Tech</v>
      </c>
      <c r="C501" s="1">
        <f>IFERROR(__xludf.DUMMYFUNCTION("""COMPUTED_VALUE"""),1999.0)</f>
        <v>1999</v>
      </c>
      <c r="D501" s="1"/>
      <c r="E501" s="1"/>
    </row>
    <row r="502" ht="15.75" customHeight="1">
      <c r="A502" s="1" t="str">
        <f>IFERROR(__xludf.DUMMYFUNCTION("""COMPUTED_VALUE"""),"AWADHESH SINGH PARIHAR")</f>
        <v>AWADHESH SINGH PARIHAR</v>
      </c>
      <c r="B502" s="1" t="str">
        <f>IFERROR(__xludf.DUMMYFUNCTION("""COMPUTED_VALUE"""),"M.Tech")</f>
        <v>M.Tech</v>
      </c>
      <c r="C502" s="1">
        <f>IFERROR(__xludf.DUMMYFUNCTION("""COMPUTED_VALUE"""),1998.0)</f>
        <v>1998</v>
      </c>
      <c r="D502" s="1"/>
      <c r="E502" s="1"/>
    </row>
    <row r="503" ht="15.75" customHeight="1">
      <c r="A503" s="1" t="str">
        <f>IFERROR(__xludf.DUMMYFUNCTION("""COMPUTED_VALUE"""),"BHAVDEEP SINGH SETHI")</f>
        <v>BHAVDEEP SINGH SETHI</v>
      </c>
      <c r="B503" s="1" t="str">
        <f>IFERROR(__xludf.DUMMYFUNCTION("""COMPUTED_VALUE"""),"M.Tech")</f>
        <v>M.Tech</v>
      </c>
      <c r="C503" s="1">
        <f>IFERROR(__xludf.DUMMYFUNCTION("""COMPUTED_VALUE"""),1998.0)</f>
        <v>1998</v>
      </c>
      <c r="D503" s="1"/>
      <c r="E503" s="1"/>
    </row>
    <row r="504" ht="15.75" customHeight="1">
      <c r="A504" s="1" t="str">
        <f>IFERROR(__xludf.DUMMYFUNCTION("""COMPUTED_VALUE"""),"Deepak Haldiya")</f>
        <v>Deepak Haldiya</v>
      </c>
      <c r="B504" s="1" t="str">
        <f>IFERROR(__xludf.DUMMYFUNCTION("""COMPUTED_VALUE"""),"M.Tech")</f>
        <v>M.Tech</v>
      </c>
      <c r="C504" s="1">
        <f>IFERROR(__xludf.DUMMYFUNCTION("""COMPUTED_VALUE"""),1998.0)</f>
        <v>1998</v>
      </c>
      <c r="D504" s="1"/>
      <c r="E504" s="1"/>
    </row>
    <row r="505" ht="15.75" customHeight="1">
      <c r="A505" s="1" t="str">
        <f>IFERROR(__xludf.DUMMYFUNCTION("""COMPUTED_VALUE"""),"KANNAPPAN S")</f>
        <v>KANNAPPAN S</v>
      </c>
      <c r="B505" s="1" t="str">
        <f>IFERROR(__xludf.DUMMYFUNCTION("""COMPUTED_VALUE"""),"M.Tech")</f>
        <v>M.Tech</v>
      </c>
      <c r="C505" s="1">
        <f>IFERROR(__xludf.DUMMYFUNCTION("""COMPUTED_VALUE"""),1998.0)</f>
        <v>1998</v>
      </c>
      <c r="D505" s="1"/>
      <c r="E505" s="1"/>
    </row>
    <row r="506" ht="15.75" customHeight="1">
      <c r="A506" s="1" t="str">
        <f>IFERROR(__xludf.DUMMYFUNCTION("""COMPUTED_VALUE"""),"KRISHNA MOHAN G")</f>
        <v>KRISHNA MOHAN G</v>
      </c>
      <c r="B506" s="1" t="str">
        <f>IFERROR(__xludf.DUMMYFUNCTION("""COMPUTED_VALUE"""),"M.Tech")</f>
        <v>M.Tech</v>
      </c>
      <c r="C506" s="1">
        <f>IFERROR(__xludf.DUMMYFUNCTION("""COMPUTED_VALUE"""),1998.0)</f>
        <v>1998</v>
      </c>
      <c r="D506" s="1"/>
      <c r="E506" s="1"/>
    </row>
    <row r="507" ht="15.75" customHeight="1">
      <c r="A507" s="1" t="str">
        <f>IFERROR(__xludf.DUMMYFUNCTION("""COMPUTED_VALUE"""),"Om Prakash Yadav")</f>
        <v>Om Prakash Yadav</v>
      </c>
      <c r="B507" s="1" t="str">
        <f>IFERROR(__xludf.DUMMYFUNCTION("""COMPUTED_VALUE"""),"M.Tech")</f>
        <v>M.Tech</v>
      </c>
      <c r="C507" s="1">
        <f>IFERROR(__xludf.DUMMYFUNCTION("""COMPUTED_VALUE"""),1998.0)</f>
        <v>1998</v>
      </c>
      <c r="D507" s="1"/>
      <c r="E507" s="1"/>
    </row>
    <row r="508" ht="15.75" customHeight="1">
      <c r="A508" s="1" t="str">
        <f>IFERROR(__xludf.DUMMYFUNCTION("""COMPUTED_VALUE"""),"PATHAK VINEET VISHWAS")</f>
        <v>PATHAK VINEET VISHWAS</v>
      </c>
      <c r="B508" s="1" t="str">
        <f>IFERROR(__xludf.DUMMYFUNCTION("""COMPUTED_VALUE"""),"M.Tech")</f>
        <v>M.Tech</v>
      </c>
      <c r="C508" s="1">
        <f>IFERROR(__xludf.DUMMYFUNCTION("""COMPUTED_VALUE"""),1998.0)</f>
        <v>1998</v>
      </c>
      <c r="D508" s="1"/>
      <c r="E508" s="1"/>
    </row>
    <row r="509" ht="15.75" customHeight="1">
      <c r="A509" s="1" t="str">
        <f>IFERROR(__xludf.DUMMYFUNCTION("""COMPUTED_VALUE"""),"PRASAD M")</f>
        <v>PRASAD M</v>
      </c>
      <c r="B509" s="1" t="str">
        <f>IFERROR(__xludf.DUMMYFUNCTION("""COMPUTED_VALUE"""),"M.Tech")</f>
        <v>M.Tech</v>
      </c>
      <c r="C509" s="1">
        <f>IFERROR(__xludf.DUMMYFUNCTION("""COMPUTED_VALUE"""),1998.0)</f>
        <v>1998</v>
      </c>
      <c r="D509" s="1"/>
      <c r="E509" s="1"/>
    </row>
    <row r="510" ht="15.75" customHeight="1">
      <c r="A510" s="1" t="str">
        <f>IFERROR(__xludf.DUMMYFUNCTION("""COMPUTED_VALUE"""),"RAMANA M")</f>
        <v>RAMANA M</v>
      </c>
      <c r="B510" s="1" t="str">
        <f>IFERROR(__xludf.DUMMYFUNCTION("""COMPUTED_VALUE"""),"M.Tech")</f>
        <v>M.Tech</v>
      </c>
      <c r="C510" s="1">
        <f>IFERROR(__xludf.DUMMYFUNCTION("""COMPUTED_VALUE"""),1998.0)</f>
        <v>1998</v>
      </c>
      <c r="D510" s="1"/>
      <c r="E510" s="1"/>
    </row>
    <row r="511" ht="15.75" customHeight="1">
      <c r="A511" s="1" t="str">
        <f>IFERROR(__xludf.DUMMYFUNCTION("""COMPUTED_VALUE"""),"Suresh Hariram Sakharwade")</f>
        <v>Suresh Hariram Sakharwade</v>
      </c>
      <c r="B511" s="1" t="str">
        <f>IFERROR(__xludf.DUMMYFUNCTION("""COMPUTED_VALUE"""),"M.Tech")</f>
        <v>M.Tech</v>
      </c>
      <c r="C511" s="1">
        <f>IFERROR(__xludf.DUMMYFUNCTION("""COMPUTED_VALUE"""),1998.0)</f>
        <v>1998</v>
      </c>
      <c r="D511" s="1"/>
      <c r="E511" s="1"/>
    </row>
    <row r="512" ht="15.75" customHeight="1">
      <c r="A512" s="1" t="str">
        <f>IFERROR(__xludf.DUMMYFUNCTION("""COMPUTED_VALUE"""),"Valaboju Sreenivasa Rao")</f>
        <v>Valaboju Sreenivasa Rao</v>
      </c>
      <c r="B512" s="1" t="str">
        <f>IFERROR(__xludf.DUMMYFUNCTION("""COMPUTED_VALUE"""),"M.Tech")</f>
        <v>M.Tech</v>
      </c>
      <c r="C512" s="1">
        <f>IFERROR(__xludf.DUMMYFUNCTION("""COMPUTED_VALUE"""),1998.0)</f>
        <v>1998</v>
      </c>
      <c r="D512" s="1"/>
      <c r="E512" s="1"/>
    </row>
    <row r="513" ht="15.75" customHeight="1">
      <c r="A513" s="1" t="str">
        <f>IFERROR(__xludf.DUMMYFUNCTION("""COMPUTED_VALUE"""),"Y RAMESH")</f>
        <v>Y RAMESH</v>
      </c>
      <c r="B513" s="1" t="str">
        <f>IFERROR(__xludf.DUMMYFUNCTION("""COMPUTED_VALUE"""),"M.Tech")</f>
        <v>M.Tech</v>
      </c>
      <c r="C513" s="1">
        <f>IFERROR(__xludf.DUMMYFUNCTION("""COMPUTED_VALUE"""),1998.0)</f>
        <v>1998</v>
      </c>
      <c r="D513" s="1"/>
      <c r="E513" s="1"/>
    </row>
    <row r="514" ht="15.75" customHeight="1">
      <c r="A514" s="1" t="str">
        <f>IFERROR(__xludf.DUMMYFUNCTION("""COMPUTED_VALUE"""),"ALOK KUMAR")</f>
        <v>ALOK KUMAR</v>
      </c>
      <c r="B514" s="1" t="str">
        <f>IFERROR(__xludf.DUMMYFUNCTION("""COMPUTED_VALUE"""),"M.Tech")</f>
        <v>M.Tech</v>
      </c>
      <c r="C514" s="1">
        <f>IFERROR(__xludf.DUMMYFUNCTION("""COMPUTED_VALUE"""),1997.0)</f>
        <v>1997</v>
      </c>
      <c r="D514" s="1"/>
      <c r="E514" s="1"/>
    </row>
    <row r="515" ht="15.75" customHeight="1">
      <c r="A515" s="1" t="str">
        <f>IFERROR(__xludf.DUMMYFUNCTION("""COMPUTED_VALUE"""),"B MURALI")</f>
        <v>B MURALI</v>
      </c>
      <c r="B515" s="1" t="str">
        <f>IFERROR(__xludf.DUMMYFUNCTION("""COMPUTED_VALUE"""),"M.Tech")</f>
        <v>M.Tech</v>
      </c>
      <c r="C515" s="1">
        <f>IFERROR(__xludf.DUMMYFUNCTION("""COMPUTED_VALUE"""),1997.0)</f>
        <v>1997</v>
      </c>
      <c r="D515" s="1"/>
      <c r="E515" s="1"/>
    </row>
    <row r="516" ht="15.75" customHeight="1">
      <c r="A516" s="1" t="str">
        <f>IFERROR(__xludf.DUMMYFUNCTION("""COMPUTED_VALUE"""),"CHETAN ANIL SOMAN")</f>
        <v>CHETAN ANIL SOMAN</v>
      </c>
      <c r="B516" s="1" t="str">
        <f>IFERROR(__xludf.DUMMYFUNCTION("""COMPUTED_VALUE"""),"M.Tech")</f>
        <v>M.Tech</v>
      </c>
      <c r="C516" s="1">
        <f>IFERROR(__xludf.DUMMYFUNCTION("""COMPUTED_VALUE"""),1997.0)</f>
        <v>1997</v>
      </c>
      <c r="D516" s="1"/>
      <c r="E516" s="1"/>
    </row>
    <row r="517" ht="15.75" customHeight="1">
      <c r="A517" s="1" t="str">
        <f>IFERROR(__xludf.DUMMYFUNCTION("""COMPUTED_VALUE"""),"MAHESH SHENOY")</f>
        <v>MAHESH SHENOY</v>
      </c>
      <c r="B517" s="1" t="str">
        <f>IFERROR(__xludf.DUMMYFUNCTION("""COMPUTED_VALUE"""),"M.Tech")</f>
        <v>M.Tech</v>
      </c>
      <c r="C517" s="1">
        <f>IFERROR(__xludf.DUMMYFUNCTION("""COMPUTED_VALUE"""),1997.0)</f>
        <v>1997</v>
      </c>
      <c r="D517" s="1"/>
      <c r="E517" s="1"/>
    </row>
    <row r="518" ht="15.75" customHeight="1">
      <c r="A518" s="1" t="str">
        <f>IFERROR(__xludf.DUMMYFUNCTION("""COMPUTED_VALUE"""),"NELLUTLA VAMSI MOHAN")</f>
        <v>NELLUTLA VAMSI MOHAN</v>
      </c>
      <c r="B518" s="1" t="str">
        <f>IFERROR(__xludf.DUMMYFUNCTION("""COMPUTED_VALUE"""),"M.Tech")</f>
        <v>M.Tech</v>
      </c>
      <c r="C518" s="1">
        <f>IFERROR(__xludf.DUMMYFUNCTION("""COMPUTED_VALUE"""),1997.0)</f>
        <v>1997</v>
      </c>
      <c r="D518" s="1"/>
      <c r="E518" s="1"/>
    </row>
    <row r="519" ht="15.75" customHeight="1">
      <c r="A519" s="1" t="str">
        <f>IFERROR(__xludf.DUMMYFUNCTION("""COMPUTED_VALUE"""),"PARANJAPE VINAYAK DEVIDAS")</f>
        <v>PARANJAPE VINAYAK DEVIDAS</v>
      </c>
      <c r="B519" s="1" t="str">
        <f>IFERROR(__xludf.DUMMYFUNCTION("""COMPUTED_VALUE"""),"M.Tech")</f>
        <v>M.Tech</v>
      </c>
      <c r="C519" s="1">
        <f>IFERROR(__xludf.DUMMYFUNCTION("""COMPUTED_VALUE"""),1997.0)</f>
        <v>1997</v>
      </c>
      <c r="D519" s="1"/>
      <c r="E519" s="1"/>
    </row>
    <row r="520" ht="15.75" customHeight="1">
      <c r="A520" s="1" t="str">
        <f>IFERROR(__xludf.DUMMYFUNCTION("""COMPUTED_VALUE"""),"Ranade Shailesh Sharad")</f>
        <v>Ranade Shailesh Sharad</v>
      </c>
      <c r="B520" s="1" t="str">
        <f>IFERROR(__xludf.DUMMYFUNCTION("""COMPUTED_VALUE"""),"M.Tech")</f>
        <v>M.Tech</v>
      </c>
      <c r="C520" s="1">
        <f>IFERROR(__xludf.DUMMYFUNCTION("""COMPUTED_VALUE"""),1997.0)</f>
        <v>1997</v>
      </c>
      <c r="D520" s="1"/>
      <c r="E520" s="1"/>
    </row>
    <row r="521" ht="15.75" customHeight="1">
      <c r="A521" s="1" t="str">
        <f>IFERROR(__xludf.DUMMYFUNCTION("""COMPUTED_VALUE"""),"TATAVARTI RAVI KUMAR")</f>
        <v>TATAVARTI RAVI KUMAR</v>
      </c>
      <c r="B521" s="1" t="str">
        <f>IFERROR(__xludf.DUMMYFUNCTION("""COMPUTED_VALUE"""),"M.Tech")</f>
        <v>M.Tech</v>
      </c>
      <c r="C521" s="1">
        <f>IFERROR(__xludf.DUMMYFUNCTION("""COMPUTED_VALUE"""),1997.0)</f>
        <v>1997</v>
      </c>
      <c r="D521" s="1"/>
      <c r="E521" s="1"/>
    </row>
    <row r="522" ht="15.75" customHeight="1">
      <c r="A522" s="1" t="str">
        <f>IFERROR(__xludf.DUMMYFUNCTION("""COMPUTED_VALUE"""),"A O Karunanidhi")</f>
        <v>A O Karunanidhi</v>
      </c>
      <c r="B522" s="1" t="str">
        <f>IFERROR(__xludf.DUMMYFUNCTION("""COMPUTED_VALUE"""),"M.Tech")</f>
        <v>M.Tech</v>
      </c>
      <c r="C522" s="1">
        <f>IFERROR(__xludf.DUMMYFUNCTION("""COMPUTED_VALUE"""),1996.0)</f>
        <v>1996</v>
      </c>
      <c r="D522" s="1"/>
      <c r="E522" s="1"/>
    </row>
    <row r="523" ht="15.75" customHeight="1">
      <c r="A523" s="1" t="str">
        <f>IFERROR(__xludf.DUMMYFUNCTION("""COMPUTED_VALUE"""),"Abbaireddy Jyotheeswar Reddy")</f>
        <v>Abbaireddy Jyotheeswar Reddy</v>
      </c>
      <c r="B523" s="1" t="str">
        <f>IFERROR(__xludf.DUMMYFUNCTION("""COMPUTED_VALUE"""),"M.Tech")</f>
        <v>M.Tech</v>
      </c>
      <c r="C523" s="1">
        <f>IFERROR(__xludf.DUMMYFUNCTION("""COMPUTED_VALUE"""),1996.0)</f>
        <v>1996</v>
      </c>
      <c r="D523" s="1"/>
      <c r="E523" s="1"/>
    </row>
    <row r="524" ht="15.75" customHeight="1">
      <c r="A524" s="1" t="str">
        <f>IFERROR(__xludf.DUMMYFUNCTION("""COMPUTED_VALUE"""),"Akarte Milind Madhukarrao")</f>
        <v>Akarte Milind Madhukarrao</v>
      </c>
      <c r="B524" s="1" t="str">
        <f>IFERROR(__xludf.DUMMYFUNCTION("""COMPUTED_VALUE"""),"M.Tech")</f>
        <v>M.Tech</v>
      </c>
      <c r="C524" s="1">
        <f>IFERROR(__xludf.DUMMYFUNCTION("""COMPUTED_VALUE"""),1996.0)</f>
        <v>1996</v>
      </c>
      <c r="D524" s="1"/>
      <c r="E524" s="1"/>
    </row>
    <row r="525" ht="15.75" customHeight="1">
      <c r="A525" s="1" t="str">
        <f>IFERROR(__xludf.DUMMYFUNCTION("""COMPUTED_VALUE"""),"Anirudha Ashok Joshi")</f>
        <v>Anirudha Ashok Joshi</v>
      </c>
      <c r="B525" s="1" t="str">
        <f>IFERROR(__xludf.DUMMYFUNCTION("""COMPUTED_VALUE"""),"M.Tech")</f>
        <v>M.Tech</v>
      </c>
      <c r="C525" s="1">
        <f>IFERROR(__xludf.DUMMYFUNCTION("""COMPUTED_VALUE"""),1996.0)</f>
        <v>1996</v>
      </c>
      <c r="D525" s="1"/>
      <c r="E525" s="1"/>
    </row>
    <row r="526" ht="15.75" customHeight="1">
      <c r="A526" s="1" t="str">
        <f>IFERROR(__xludf.DUMMYFUNCTION("""COMPUTED_VALUE"""),"B K Trivedi")</f>
        <v>B K Trivedi</v>
      </c>
      <c r="B526" s="1" t="str">
        <f>IFERROR(__xludf.DUMMYFUNCTION("""COMPUTED_VALUE"""),"M.Tech")</f>
        <v>M.Tech</v>
      </c>
      <c r="C526" s="1">
        <f>IFERROR(__xludf.DUMMYFUNCTION("""COMPUTED_VALUE"""),1996.0)</f>
        <v>1996</v>
      </c>
      <c r="D526" s="1"/>
      <c r="E526" s="1"/>
    </row>
    <row r="527" ht="15.75" customHeight="1">
      <c r="A527" s="1" t="str">
        <f>IFERROR(__xludf.DUMMYFUNCTION("""COMPUTED_VALUE"""),"Bhausaheb Rakhamaji Kharde")</f>
        <v>Bhausaheb Rakhamaji Kharde</v>
      </c>
      <c r="B527" s="1" t="str">
        <f>IFERROR(__xludf.DUMMYFUNCTION("""COMPUTED_VALUE"""),"M.Tech")</f>
        <v>M.Tech</v>
      </c>
      <c r="C527" s="1">
        <f>IFERROR(__xludf.DUMMYFUNCTION("""COMPUTED_VALUE"""),1996.0)</f>
        <v>1996</v>
      </c>
      <c r="D527" s="1"/>
      <c r="E527" s="1"/>
    </row>
    <row r="528" ht="15.75" customHeight="1">
      <c r="A528" s="1" t="str">
        <f>IFERROR(__xludf.DUMMYFUNCTION("""COMPUTED_VALUE"""),"Bollu Dasaradharamaiah")</f>
        <v>Bollu Dasaradharamaiah</v>
      </c>
      <c r="B528" s="1" t="str">
        <f>IFERROR(__xludf.DUMMYFUNCTION("""COMPUTED_VALUE"""),"M.Tech")</f>
        <v>M.Tech</v>
      </c>
      <c r="C528" s="1">
        <f>IFERROR(__xludf.DUMMYFUNCTION("""COMPUTED_VALUE"""),1996.0)</f>
        <v>1996</v>
      </c>
      <c r="D528" s="1"/>
      <c r="E528" s="1"/>
    </row>
    <row r="529" ht="15.75" customHeight="1">
      <c r="A529" s="1" t="str">
        <f>IFERROR(__xludf.DUMMYFUNCTION("""COMPUTED_VALUE"""),"Dave Dipanker Shankerlal")</f>
        <v>Dave Dipanker Shankerlal</v>
      </c>
      <c r="B529" s="1" t="str">
        <f>IFERROR(__xludf.DUMMYFUNCTION("""COMPUTED_VALUE"""),"M.Tech")</f>
        <v>M.Tech</v>
      </c>
      <c r="C529" s="1">
        <f>IFERROR(__xludf.DUMMYFUNCTION("""COMPUTED_VALUE"""),1996.0)</f>
        <v>1996</v>
      </c>
      <c r="D529" s="1"/>
      <c r="E529" s="1"/>
    </row>
    <row r="530" ht="15.75" customHeight="1">
      <c r="A530" s="1" t="str">
        <f>IFERROR(__xludf.DUMMYFUNCTION("""COMPUTED_VALUE"""),"Deshpande Avadhoot Madhav")</f>
        <v>Deshpande Avadhoot Madhav</v>
      </c>
      <c r="B530" s="1" t="str">
        <f>IFERROR(__xludf.DUMMYFUNCTION("""COMPUTED_VALUE"""),"M.Tech")</f>
        <v>M.Tech</v>
      </c>
      <c r="C530" s="1">
        <f>IFERROR(__xludf.DUMMYFUNCTION("""COMPUTED_VALUE"""),1996.0)</f>
        <v>1996</v>
      </c>
      <c r="D530" s="1"/>
      <c r="E530" s="1"/>
    </row>
    <row r="531" ht="15.75" customHeight="1">
      <c r="A531" s="1" t="str">
        <f>IFERROR(__xludf.DUMMYFUNCTION("""COMPUTED_VALUE"""),"GIRISH BALKRISHNA TIVARE")</f>
        <v>GIRISH BALKRISHNA TIVARE</v>
      </c>
      <c r="B531" s="1" t="str">
        <f>IFERROR(__xludf.DUMMYFUNCTION("""COMPUTED_VALUE"""),"M.Tech")</f>
        <v>M.Tech</v>
      </c>
      <c r="C531" s="1">
        <f>IFERROR(__xludf.DUMMYFUNCTION("""COMPUTED_VALUE"""),1996.0)</f>
        <v>1996</v>
      </c>
      <c r="D531" s="1"/>
      <c r="E531" s="1"/>
    </row>
    <row r="532" ht="15.75" customHeight="1">
      <c r="A532" s="1" t="str">
        <f>IFERROR(__xludf.DUMMYFUNCTION("""COMPUTED_VALUE"""),"Jitendra Kamalakant Kamat")</f>
        <v>Jitendra Kamalakant Kamat</v>
      </c>
      <c r="B532" s="1" t="str">
        <f>IFERROR(__xludf.DUMMYFUNCTION("""COMPUTED_VALUE"""),"M.Tech")</f>
        <v>M.Tech</v>
      </c>
      <c r="C532" s="1">
        <f>IFERROR(__xludf.DUMMYFUNCTION("""COMPUTED_VALUE"""),1996.0)</f>
        <v>1996</v>
      </c>
      <c r="D532" s="1"/>
      <c r="E532" s="1"/>
    </row>
    <row r="533" ht="15.75" customHeight="1">
      <c r="A533" s="1" t="str">
        <f>IFERROR(__xludf.DUMMYFUNCTION("""COMPUTED_VALUE"""),"Narendra P Patwardhan")</f>
        <v>Narendra P Patwardhan</v>
      </c>
      <c r="B533" s="1" t="str">
        <f>IFERROR(__xludf.DUMMYFUNCTION("""COMPUTED_VALUE"""),"M.Tech")</f>
        <v>M.Tech</v>
      </c>
      <c r="C533" s="1">
        <f>IFERROR(__xludf.DUMMYFUNCTION("""COMPUTED_VALUE"""),1996.0)</f>
        <v>1996</v>
      </c>
      <c r="D533" s="1"/>
      <c r="E533" s="1"/>
    </row>
    <row r="534" ht="15.75" customHeight="1">
      <c r="A534" s="1" t="str">
        <f>IFERROR(__xludf.DUMMYFUNCTION("""COMPUTED_VALUE"""),"Paes Erwin Savio")</f>
        <v>Paes Erwin Savio</v>
      </c>
      <c r="B534" s="1" t="str">
        <f>IFERROR(__xludf.DUMMYFUNCTION("""COMPUTED_VALUE"""),"M.Tech")</f>
        <v>M.Tech</v>
      </c>
      <c r="C534" s="1">
        <f>IFERROR(__xludf.DUMMYFUNCTION("""COMPUTED_VALUE"""),1996.0)</f>
        <v>1996</v>
      </c>
      <c r="D534" s="1"/>
      <c r="E534" s="1"/>
    </row>
    <row r="535" ht="15.75" customHeight="1">
      <c r="A535" s="1" t="str">
        <f>IFERROR(__xludf.DUMMYFUNCTION("""COMPUTED_VALUE"""),"SHRINIVAS GONDHALEKAR")</f>
        <v>SHRINIVAS GONDHALEKAR</v>
      </c>
      <c r="B535" s="1" t="str">
        <f>IFERROR(__xludf.DUMMYFUNCTION("""COMPUTED_VALUE"""),"Ph.D")</f>
        <v>Ph.D</v>
      </c>
      <c r="C535" s="1">
        <f>IFERROR(__xludf.DUMMYFUNCTION("""COMPUTED_VALUE"""),1996.0)</f>
        <v>1996</v>
      </c>
      <c r="D535" s="1"/>
      <c r="E535" s="1"/>
    </row>
    <row r="536" ht="15.75" customHeight="1">
      <c r="A536" s="1" t="str">
        <f>IFERROR(__xludf.DUMMYFUNCTION("""COMPUTED_VALUE"""),"Anil Nigam")</f>
        <v>Anil Nigam</v>
      </c>
      <c r="B536" s="1" t="str">
        <f>IFERROR(__xludf.DUMMYFUNCTION("""COMPUTED_VALUE"""),"M.Tech")</f>
        <v>M.Tech</v>
      </c>
      <c r="C536" s="1">
        <f>IFERROR(__xludf.DUMMYFUNCTION("""COMPUTED_VALUE"""),1995.0)</f>
        <v>1995</v>
      </c>
      <c r="D536" s="1"/>
      <c r="E536" s="1"/>
    </row>
    <row r="537" ht="15.75" customHeight="1">
      <c r="A537" s="1" t="str">
        <f>IFERROR(__xludf.DUMMYFUNCTION("""COMPUTED_VALUE"""),"Ashok Kumar Agrawal")</f>
        <v>Ashok Kumar Agrawal</v>
      </c>
      <c r="B537" s="1" t="str">
        <f>IFERROR(__xludf.DUMMYFUNCTION("""COMPUTED_VALUE"""),"M.Tech")</f>
        <v>M.Tech</v>
      </c>
      <c r="C537" s="1">
        <f>IFERROR(__xludf.DUMMYFUNCTION("""COMPUTED_VALUE"""),1995.0)</f>
        <v>1995</v>
      </c>
      <c r="D537" s="1"/>
      <c r="E537" s="1"/>
    </row>
    <row r="538" ht="15.75" customHeight="1">
      <c r="A538" s="1" t="str">
        <f>IFERROR(__xludf.DUMMYFUNCTION("""COMPUTED_VALUE"""),"B K Shivalingaiah")</f>
        <v>B K Shivalingaiah</v>
      </c>
      <c r="B538" s="1" t="str">
        <f>IFERROR(__xludf.DUMMYFUNCTION("""COMPUTED_VALUE"""),"M.Tech")</f>
        <v>M.Tech</v>
      </c>
      <c r="C538" s="1">
        <f>IFERROR(__xludf.DUMMYFUNCTION("""COMPUTED_VALUE"""),1995.0)</f>
        <v>1995</v>
      </c>
      <c r="D538" s="1"/>
      <c r="E538" s="1"/>
    </row>
    <row r="539" ht="15.75" customHeight="1">
      <c r="A539" s="1" t="str">
        <f>IFERROR(__xludf.DUMMYFUNCTION("""COMPUTED_VALUE"""),"Bhupendra Kothari")</f>
        <v>Bhupendra Kothari</v>
      </c>
      <c r="B539" s="1" t="str">
        <f>IFERROR(__xludf.DUMMYFUNCTION("""COMPUTED_VALUE"""),"M.Tech")</f>
        <v>M.Tech</v>
      </c>
      <c r="C539" s="1">
        <f>IFERROR(__xludf.DUMMYFUNCTION("""COMPUTED_VALUE"""),1995.0)</f>
        <v>1995</v>
      </c>
      <c r="D539" s="1"/>
      <c r="E539" s="1"/>
    </row>
    <row r="540" ht="15.75" customHeight="1">
      <c r="A540" s="1" t="str">
        <f>IFERROR(__xludf.DUMMYFUNCTION("""COMPUTED_VALUE"""),"Chandrashekar T Subramanyam")</f>
        <v>Chandrashekar T Subramanyam</v>
      </c>
      <c r="B540" s="1" t="str">
        <f>IFERROR(__xludf.DUMMYFUNCTION("""COMPUTED_VALUE"""),"M.Tech")</f>
        <v>M.Tech</v>
      </c>
      <c r="C540" s="1">
        <f>IFERROR(__xludf.DUMMYFUNCTION("""COMPUTED_VALUE"""),1995.0)</f>
        <v>1995</v>
      </c>
      <c r="D540" s="1"/>
      <c r="E540" s="1"/>
    </row>
    <row r="541" ht="15.75" customHeight="1">
      <c r="A541" s="1" t="str">
        <f>IFERROR(__xludf.DUMMYFUNCTION("""COMPUTED_VALUE"""),"Karandikar Chaitany Madhav")</f>
        <v>Karandikar Chaitany Madhav</v>
      </c>
      <c r="B541" s="1" t="str">
        <f>IFERROR(__xludf.DUMMYFUNCTION("""COMPUTED_VALUE"""),"M.Tech")</f>
        <v>M.Tech</v>
      </c>
      <c r="C541" s="1">
        <f>IFERROR(__xludf.DUMMYFUNCTION("""COMPUTED_VALUE"""),1995.0)</f>
        <v>1995</v>
      </c>
      <c r="D541" s="1"/>
      <c r="E541" s="1"/>
    </row>
    <row r="542" ht="15.75" customHeight="1">
      <c r="A542" s="1" t="str">
        <f>IFERROR(__xludf.DUMMYFUNCTION("""COMPUTED_VALUE"""),"Manish Mohnot")</f>
        <v>Manish Mohnot</v>
      </c>
      <c r="B542" s="1" t="str">
        <f>IFERROR(__xludf.DUMMYFUNCTION("""COMPUTED_VALUE"""),"M.Tech")</f>
        <v>M.Tech</v>
      </c>
      <c r="C542" s="1">
        <f>IFERROR(__xludf.DUMMYFUNCTION("""COMPUTED_VALUE"""),1995.0)</f>
        <v>1995</v>
      </c>
      <c r="D542" s="1"/>
      <c r="E542" s="1"/>
    </row>
    <row r="543" ht="15.75" customHeight="1">
      <c r="A543" s="1" t="str">
        <f>IFERROR(__xludf.DUMMYFUNCTION("""COMPUTED_VALUE"""),"Paranjpe Mahesh Shrikrishna")</f>
        <v>Paranjpe Mahesh Shrikrishna</v>
      </c>
      <c r="B543" s="1" t="str">
        <f>IFERROR(__xludf.DUMMYFUNCTION("""COMPUTED_VALUE"""),"M.Tech")</f>
        <v>M.Tech</v>
      </c>
      <c r="C543" s="1">
        <f>IFERROR(__xludf.DUMMYFUNCTION("""COMPUTED_VALUE"""),1995.0)</f>
        <v>1995</v>
      </c>
      <c r="D543" s="1"/>
      <c r="E543" s="1"/>
    </row>
    <row r="544" ht="15.75" customHeight="1">
      <c r="A544" s="1" t="str">
        <f>IFERROR(__xludf.DUMMYFUNCTION("""COMPUTED_VALUE"""),"Prasad V Saraph")</f>
        <v>Prasad V Saraph</v>
      </c>
      <c r="B544" s="1" t="str">
        <f>IFERROR(__xludf.DUMMYFUNCTION("""COMPUTED_VALUE"""),"M.Tech")</f>
        <v>M.Tech</v>
      </c>
      <c r="C544" s="1">
        <f>IFERROR(__xludf.DUMMYFUNCTION("""COMPUTED_VALUE"""),1995.0)</f>
        <v>1995</v>
      </c>
      <c r="D544" s="1"/>
      <c r="E544" s="1"/>
    </row>
    <row r="545" ht="15.75" customHeight="1">
      <c r="A545" s="1" t="str">
        <f>IFERROR(__xludf.DUMMYFUNCTION("""COMPUTED_VALUE"""),"Rajendra Shriram Agre")</f>
        <v>Rajendra Shriram Agre</v>
      </c>
      <c r="B545" s="1" t="str">
        <f>IFERROR(__xludf.DUMMYFUNCTION("""COMPUTED_VALUE"""),"M.Tech")</f>
        <v>M.Tech</v>
      </c>
      <c r="C545" s="1">
        <f>IFERROR(__xludf.DUMMYFUNCTION("""COMPUTED_VALUE"""),1995.0)</f>
        <v>1995</v>
      </c>
      <c r="D545" s="1"/>
      <c r="E545" s="1"/>
    </row>
    <row r="546" ht="15.75" customHeight="1">
      <c r="A546" s="1" t="str">
        <f>IFERROR(__xludf.DUMMYFUNCTION("""COMPUTED_VALUE"""),"Sambrani Avinash")</f>
        <v>Sambrani Avinash</v>
      </c>
      <c r="B546" s="1" t="str">
        <f>IFERROR(__xludf.DUMMYFUNCTION("""COMPUTED_VALUE"""),"M.Tech")</f>
        <v>M.Tech</v>
      </c>
      <c r="C546" s="1">
        <f>IFERROR(__xludf.DUMMYFUNCTION("""COMPUTED_VALUE"""),1995.0)</f>
        <v>1995</v>
      </c>
      <c r="D546" s="1"/>
      <c r="E546" s="1"/>
    </row>
    <row r="547" ht="15.75" customHeight="1">
      <c r="A547" s="1" t="str">
        <f>IFERROR(__xludf.DUMMYFUNCTION("""COMPUTED_VALUE"""),"Sameer Kulkarni")</f>
        <v>Sameer Kulkarni</v>
      </c>
      <c r="B547" s="1" t="str">
        <f>IFERROR(__xludf.DUMMYFUNCTION("""COMPUTED_VALUE"""),"M.Tech")</f>
        <v>M.Tech</v>
      </c>
      <c r="C547" s="1">
        <f>IFERROR(__xludf.DUMMYFUNCTION("""COMPUTED_VALUE"""),1995.0)</f>
        <v>1995</v>
      </c>
      <c r="D547" s="1"/>
      <c r="E547" s="1"/>
    </row>
    <row r="548" ht="15.75" customHeight="1">
      <c r="A548" s="1" t="str">
        <f>IFERROR(__xludf.DUMMYFUNCTION("""COMPUTED_VALUE"""),"B C S KRISHNA MOHAN")</f>
        <v>B C S KRISHNA MOHAN</v>
      </c>
      <c r="B548" s="1" t="str">
        <f>IFERROR(__xludf.DUMMYFUNCTION("""COMPUTED_VALUE"""),"M.Tech")</f>
        <v>M.Tech</v>
      </c>
      <c r="C548" s="1">
        <f>IFERROR(__xludf.DUMMYFUNCTION("""COMPUTED_VALUE"""),1994.0)</f>
        <v>1994</v>
      </c>
      <c r="D548" s="1"/>
      <c r="E548" s="1"/>
    </row>
    <row r="549" ht="15.75" customHeight="1">
      <c r="A549" s="1" t="str">
        <f>IFERROR(__xludf.DUMMYFUNCTION("""COMPUTED_VALUE"""),"K. MARUTHI MADHU KUMAR")</f>
        <v>K. MARUTHI MADHU KUMAR</v>
      </c>
      <c r="B549" s="1" t="str">
        <f>IFERROR(__xludf.DUMMYFUNCTION("""COMPUTED_VALUE"""),"M.Tech")</f>
        <v>M.Tech</v>
      </c>
      <c r="C549" s="1">
        <f>IFERROR(__xludf.DUMMYFUNCTION("""COMPUTED_VALUE"""),1994.0)</f>
        <v>1994</v>
      </c>
      <c r="D549" s="1"/>
      <c r="E549" s="1"/>
    </row>
    <row r="550" ht="15.75" customHeight="1">
      <c r="A550" s="1" t="str">
        <f>IFERROR(__xludf.DUMMYFUNCTION("""COMPUTED_VALUE"""),"Rajhans Neela Ravindra")</f>
        <v>Rajhans Neela Ravindra</v>
      </c>
      <c r="B550" s="1" t="str">
        <f>IFERROR(__xludf.DUMMYFUNCTION("""COMPUTED_VALUE"""),"M.Tech")</f>
        <v>M.Tech</v>
      </c>
      <c r="C550" s="1">
        <f>IFERROR(__xludf.DUMMYFUNCTION("""COMPUTED_VALUE"""),1994.0)</f>
        <v>1994</v>
      </c>
      <c r="D550" s="1"/>
      <c r="E550" s="1"/>
    </row>
    <row r="551" ht="15.75" customHeight="1">
      <c r="A551" s="1" t="str">
        <f>IFERROR(__xludf.DUMMYFUNCTION("""COMPUTED_VALUE"""),"Shivakumar S")</f>
        <v>Shivakumar S</v>
      </c>
      <c r="B551" s="1" t="str">
        <f>IFERROR(__xludf.DUMMYFUNCTION("""COMPUTED_VALUE"""),"M.Tech")</f>
        <v>M.Tech</v>
      </c>
      <c r="C551" s="1">
        <f>IFERROR(__xludf.DUMMYFUNCTION("""COMPUTED_VALUE"""),1994.0)</f>
        <v>1994</v>
      </c>
      <c r="D551" s="1"/>
      <c r="E551" s="1"/>
    </row>
    <row r="552" ht="15.75" customHeight="1">
      <c r="A552" s="1" t="str">
        <f>IFERROR(__xludf.DUMMYFUNCTION("""COMPUTED_VALUE"""),"SRIRAM NARAYANASAMI")</f>
        <v>SRIRAM NARAYANASAMI</v>
      </c>
      <c r="B552" s="1" t="str">
        <f>IFERROR(__xludf.DUMMYFUNCTION("""COMPUTED_VALUE"""),"M.Tech")</f>
        <v>M.Tech</v>
      </c>
      <c r="C552" s="1">
        <f>IFERROR(__xludf.DUMMYFUNCTION("""COMPUTED_VALUE"""),1994.0)</f>
        <v>1994</v>
      </c>
      <c r="D552" s="1"/>
      <c r="E552" s="1"/>
    </row>
    <row r="553" ht="15.75" customHeight="1">
      <c r="A553" s="1" t="str">
        <f>IFERROR(__xludf.DUMMYFUNCTION("""COMPUTED_VALUE"""),"SUNDRAM RAVI")</f>
        <v>SUNDRAM RAVI</v>
      </c>
      <c r="B553" s="1" t="str">
        <f>IFERROR(__xludf.DUMMYFUNCTION("""COMPUTED_VALUE"""),"M.Tech")</f>
        <v>M.Tech</v>
      </c>
      <c r="C553" s="1">
        <f>IFERROR(__xludf.DUMMYFUNCTION("""COMPUTED_VALUE"""),1994.0)</f>
        <v>1994</v>
      </c>
      <c r="D553" s="1"/>
      <c r="E553" s="1"/>
    </row>
    <row r="554" ht="15.75" customHeight="1">
      <c r="A554" s="1" t="str">
        <f>IFERROR(__xludf.DUMMYFUNCTION("""COMPUTED_VALUE"""),"THOLETI SUBBARAO")</f>
        <v>THOLETI SUBBARAO</v>
      </c>
      <c r="B554" s="1" t="str">
        <f>IFERROR(__xludf.DUMMYFUNCTION("""COMPUTED_VALUE"""),"M.Tech")</f>
        <v>M.Tech</v>
      </c>
      <c r="C554" s="1">
        <f>IFERROR(__xludf.DUMMYFUNCTION("""COMPUTED_VALUE"""),1994.0)</f>
        <v>1994</v>
      </c>
      <c r="D554" s="1"/>
      <c r="E554" s="1"/>
    </row>
    <row r="555" ht="15.75" customHeight="1">
      <c r="A555" s="1" t="str">
        <f>IFERROR(__xludf.DUMMYFUNCTION("""COMPUTED_VALUE"""),"VENKATRAMAN SIVARAMAKRISHNAN")</f>
        <v>VENKATRAMAN SIVARAMAKRISHNAN</v>
      </c>
      <c r="B555" s="1" t="str">
        <f>IFERROR(__xludf.DUMMYFUNCTION("""COMPUTED_VALUE"""),"M.Tech")</f>
        <v>M.Tech</v>
      </c>
      <c r="C555" s="1">
        <f>IFERROR(__xludf.DUMMYFUNCTION("""COMPUTED_VALUE"""),1994.0)</f>
        <v>1994</v>
      </c>
      <c r="D555" s="1"/>
      <c r="E555" s="1"/>
    </row>
    <row r="556" ht="15.75" customHeight="1">
      <c r="A556" s="1" t="str">
        <f>IFERROR(__xludf.DUMMYFUNCTION("""COMPUTED_VALUE"""),"K V Krishnakumar")</f>
        <v>K V Krishnakumar</v>
      </c>
      <c r="B556" s="1" t="str">
        <f>IFERROR(__xludf.DUMMYFUNCTION("""COMPUTED_VALUE"""),"Ph.D")</f>
        <v>Ph.D</v>
      </c>
      <c r="C556" s="1">
        <f>IFERROR(__xludf.DUMMYFUNCTION("""COMPUTED_VALUE"""),1994.0)</f>
        <v>1994</v>
      </c>
      <c r="D556" s="1"/>
      <c r="E556" s="1"/>
    </row>
    <row r="557" ht="15.75" customHeight="1">
      <c r="A557" s="1" t="str">
        <f>IFERROR(__xludf.DUMMYFUNCTION("""COMPUTED_VALUE"""),"Devender Singh")</f>
        <v>Devender Singh</v>
      </c>
      <c r="B557" s="1" t="str">
        <f>IFERROR(__xludf.DUMMYFUNCTION("""COMPUTED_VALUE"""),"M.Tech")</f>
        <v>M.Tech</v>
      </c>
      <c r="C557" s="1">
        <f>IFERROR(__xludf.DUMMYFUNCTION("""COMPUTED_VALUE"""),1993.0)</f>
        <v>1993</v>
      </c>
      <c r="D557" s="1"/>
      <c r="E557" s="1"/>
    </row>
    <row r="558" ht="15.75" customHeight="1">
      <c r="A558" s="1" t="str">
        <f>IFERROR(__xludf.DUMMYFUNCTION("""COMPUTED_VALUE"""),"Jatti Rajendra Suresh")</f>
        <v>Jatti Rajendra Suresh</v>
      </c>
      <c r="B558" s="1" t="str">
        <f>IFERROR(__xludf.DUMMYFUNCTION("""COMPUTED_VALUE"""),"M.Tech")</f>
        <v>M.Tech</v>
      </c>
      <c r="C558" s="1">
        <f>IFERROR(__xludf.DUMMYFUNCTION("""COMPUTED_VALUE"""),1993.0)</f>
        <v>1993</v>
      </c>
      <c r="D558" s="1"/>
      <c r="E558" s="1"/>
    </row>
    <row r="559" ht="15.75" customHeight="1">
      <c r="A559" s="1" t="str">
        <f>IFERROR(__xludf.DUMMYFUNCTION("""COMPUTED_VALUE"""),"Singh Kamlakar Keshav P")</f>
        <v>Singh Kamlakar Keshav P</v>
      </c>
      <c r="B559" s="1" t="str">
        <f>IFERROR(__xludf.DUMMYFUNCTION("""COMPUTED_VALUE"""),"M.Tech")</f>
        <v>M.Tech</v>
      </c>
      <c r="C559" s="1">
        <f>IFERROR(__xludf.DUMMYFUNCTION("""COMPUTED_VALUE"""),1993.0)</f>
        <v>1993</v>
      </c>
      <c r="D559" s="1"/>
      <c r="E559" s="1"/>
    </row>
    <row r="560" ht="15.75" customHeight="1">
      <c r="A560" s="1" t="str">
        <f>IFERROR(__xludf.DUMMYFUNCTION("""COMPUTED_VALUE"""),"Bhattaram N Prasad")</f>
        <v>Bhattaram N Prasad</v>
      </c>
      <c r="B560" s="1" t="str">
        <f>IFERROR(__xludf.DUMMYFUNCTION("""COMPUTED_VALUE"""),"M.Tech")</f>
        <v>M.Tech</v>
      </c>
      <c r="C560" s="1">
        <f>IFERROR(__xludf.DUMMYFUNCTION("""COMPUTED_VALUE"""),1992.0)</f>
        <v>1992</v>
      </c>
      <c r="D560" s="1"/>
      <c r="E560" s="1"/>
    </row>
    <row r="561" ht="15.75" customHeight="1">
      <c r="A561" s="1" t="str">
        <f>IFERROR(__xludf.DUMMYFUNCTION("""COMPUTED_VALUE"""),"Dontha Prasanth Kumar")</f>
        <v>Dontha Prasanth Kumar</v>
      </c>
      <c r="B561" s="1" t="str">
        <f>IFERROR(__xludf.DUMMYFUNCTION("""COMPUTED_VALUE"""),"M.Tech")</f>
        <v>M.Tech</v>
      </c>
      <c r="C561" s="1">
        <f>IFERROR(__xludf.DUMMYFUNCTION("""COMPUTED_VALUE"""),1992.0)</f>
        <v>1992</v>
      </c>
      <c r="D561" s="1"/>
      <c r="E561" s="1"/>
    </row>
    <row r="562" ht="15.75" customHeight="1">
      <c r="A562" s="1" t="str">
        <f>IFERROR(__xludf.DUMMYFUNCTION("""COMPUTED_VALUE"""),"George Mariano De S T Paes")</f>
        <v>George Mariano De S T Paes</v>
      </c>
      <c r="B562" s="1" t="str">
        <f>IFERROR(__xludf.DUMMYFUNCTION("""COMPUTED_VALUE"""),"M.Tech")</f>
        <v>M.Tech</v>
      </c>
      <c r="C562" s="1">
        <f>IFERROR(__xludf.DUMMYFUNCTION("""COMPUTED_VALUE"""),1992.0)</f>
        <v>1992</v>
      </c>
      <c r="D562" s="1"/>
      <c r="E562" s="1"/>
    </row>
    <row r="563" ht="15.75" customHeight="1">
      <c r="A563" s="1" t="str">
        <f>IFERROR(__xludf.DUMMYFUNCTION("""COMPUTED_VALUE"""),"Rajesh Kothari")</f>
        <v>Rajesh Kothari</v>
      </c>
      <c r="B563" s="1" t="str">
        <f>IFERROR(__xludf.DUMMYFUNCTION("""COMPUTED_VALUE"""),"M.Tech")</f>
        <v>M.Tech</v>
      </c>
      <c r="C563" s="1">
        <f>IFERROR(__xludf.DUMMYFUNCTION("""COMPUTED_VALUE"""),1992.0)</f>
        <v>1992</v>
      </c>
      <c r="D563" s="1"/>
      <c r="E563" s="1"/>
    </row>
    <row r="564" ht="15.75" customHeight="1">
      <c r="A564" s="1" t="str">
        <f>IFERROR(__xludf.DUMMYFUNCTION("""COMPUTED_VALUE"""),"Ravirala Venkatesh")</f>
        <v>Ravirala Venkatesh</v>
      </c>
      <c r="B564" s="1" t="str">
        <f>IFERROR(__xludf.DUMMYFUNCTION("""COMPUTED_VALUE"""),"M.Tech")</f>
        <v>M.Tech</v>
      </c>
      <c r="C564" s="1">
        <f>IFERROR(__xludf.DUMMYFUNCTION("""COMPUTED_VALUE"""),1992.0)</f>
        <v>1992</v>
      </c>
      <c r="D564" s="1"/>
      <c r="E564" s="1"/>
    </row>
    <row r="565" ht="15.75" customHeight="1">
      <c r="A565" s="1" t="str">
        <f>IFERROR(__xludf.DUMMYFUNCTION("""COMPUTED_VALUE"""),"Abhave Sanjeev S")</f>
        <v>Abhave Sanjeev S</v>
      </c>
      <c r="B565" s="1" t="str">
        <f>IFERROR(__xludf.DUMMYFUNCTION("""COMPUTED_VALUE"""),"M.Tech")</f>
        <v>M.Tech</v>
      </c>
      <c r="C565" s="1">
        <f>IFERROR(__xludf.DUMMYFUNCTION("""COMPUTED_VALUE"""),1991.0)</f>
        <v>1991</v>
      </c>
      <c r="D565" s="1"/>
      <c r="E565" s="1"/>
    </row>
    <row r="566" ht="15.75" customHeight="1">
      <c r="A566" s="1" t="str">
        <f>IFERROR(__xludf.DUMMYFUNCTION("""COMPUTED_VALUE"""),"Krishnananda Kamath")</f>
        <v>Krishnananda Kamath</v>
      </c>
      <c r="B566" s="1" t="str">
        <f>IFERROR(__xludf.DUMMYFUNCTION("""COMPUTED_VALUE"""),"M.Tech")</f>
        <v>M.Tech</v>
      </c>
      <c r="C566" s="1">
        <f>IFERROR(__xludf.DUMMYFUNCTION("""COMPUTED_VALUE"""),1991.0)</f>
        <v>1991</v>
      </c>
      <c r="D566" s="1"/>
      <c r="E566" s="1"/>
    </row>
    <row r="567" ht="15.75" customHeight="1">
      <c r="A567" s="1" t="str">
        <f>IFERROR(__xludf.DUMMYFUNCTION("""COMPUTED_VALUE"""),"Mrs P B Udachan")</f>
        <v>Mrs P B Udachan</v>
      </c>
      <c r="B567" s="1" t="str">
        <f>IFERROR(__xludf.DUMMYFUNCTION("""COMPUTED_VALUE"""),"M.Tech")</f>
        <v>M.Tech</v>
      </c>
      <c r="C567" s="1">
        <f>IFERROR(__xludf.DUMMYFUNCTION("""COMPUTED_VALUE"""),1991.0)</f>
        <v>1991</v>
      </c>
      <c r="D567" s="1"/>
      <c r="E567" s="1"/>
    </row>
    <row r="568" ht="15.75" customHeight="1">
      <c r="A568" s="1" t="str">
        <f>IFERROR(__xludf.DUMMYFUNCTION("""COMPUTED_VALUE"""),"Neeraj Kumar")</f>
        <v>Neeraj Kumar</v>
      </c>
      <c r="B568" s="1" t="str">
        <f>IFERROR(__xludf.DUMMYFUNCTION("""COMPUTED_VALUE"""),"M.Tech")</f>
        <v>M.Tech</v>
      </c>
      <c r="C568" s="1">
        <f>IFERROR(__xludf.DUMMYFUNCTION("""COMPUTED_VALUE"""),1991.0)</f>
        <v>1991</v>
      </c>
      <c r="D568" s="1"/>
      <c r="E568" s="1"/>
    </row>
    <row r="569" ht="15.75" customHeight="1">
      <c r="A569" s="1" t="str">
        <f>IFERROR(__xludf.DUMMYFUNCTION("""COMPUTED_VALUE"""),"Purushottam L Gupta")</f>
        <v>Purushottam L Gupta</v>
      </c>
      <c r="B569" s="1" t="str">
        <f>IFERROR(__xludf.DUMMYFUNCTION("""COMPUTED_VALUE"""),"M.Tech")</f>
        <v>M.Tech</v>
      </c>
      <c r="C569" s="1">
        <f>IFERROR(__xludf.DUMMYFUNCTION("""COMPUTED_VALUE"""),1991.0)</f>
        <v>1991</v>
      </c>
      <c r="D569" s="1"/>
      <c r="E569" s="1"/>
    </row>
    <row r="570" ht="15.75" customHeight="1">
      <c r="A570" s="1" t="str">
        <f>IFERROR(__xludf.DUMMYFUNCTION("""COMPUTED_VALUE"""),"Rajesh S Jange")</f>
        <v>Rajesh S Jange</v>
      </c>
      <c r="B570" s="1" t="str">
        <f>IFERROR(__xludf.DUMMYFUNCTION("""COMPUTED_VALUE"""),"M.Tech")</f>
        <v>M.Tech</v>
      </c>
      <c r="C570" s="1">
        <f>IFERROR(__xludf.DUMMYFUNCTION("""COMPUTED_VALUE"""),1991.0)</f>
        <v>1991</v>
      </c>
      <c r="D570" s="1"/>
      <c r="E570" s="1"/>
    </row>
    <row r="571" ht="15.75" customHeight="1">
      <c r="A571" s="1" t="str">
        <f>IFERROR(__xludf.DUMMYFUNCTION("""COMPUTED_VALUE"""),"Ranade Yogesh G")</f>
        <v>Ranade Yogesh G</v>
      </c>
      <c r="B571" s="1" t="str">
        <f>IFERROR(__xludf.DUMMYFUNCTION("""COMPUTED_VALUE"""),"M.Tech")</f>
        <v>M.Tech</v>
      </c>
      <c r="C571" s="1">
        <f>IFERROR(__xludf.DUMMYFUNCTION("""COMPUTED_VALUE"""),1991.0)</f>
        <v>1991</v>
      </c>
      <c r="D571" s="1"/>
      <c r="E571" s="1"/>
    </row>
    <row r="572" ht="15.75" customHeight="1">
      <c r="A572" s="1" t="str">
        <f>IFERROR(__xludf.DUMMYFUNCTION("""COMPUTED_VALUE"""),"Surasak Tongauk")</f>
        <v>Surasak Tongauk</v>
      </c>
      <c r="B572" s="1" t="str">
        <f>IFERROR(__xludf.DUMMYFUNCTION("""COMPUTED_VALUE"""),"M.Tech")</f>
        <v>M.Tech</v>
      </c>
      <c r="C572" s="1">
        <f>IFERROR(__xludf.DUMMYFUNCTION("""COMPUTED_VALUE"""),1991.0)</f>
        <v>1991</v>
      </c>
      <c r="D572" s="1"/>
      <c r="E572" s="1"/>
    </row>
    <row r="573" ht="15.75" customHeight="1">
      <c r="A573" s="1" t="str">
        <f>IFERROR(__xludf.DUMMYFUNCTION("""COMPUTED_VALUE"""),"Janakiram Nanduri")</f>
        <v>Janakiram Nanduri</v>
      </c>
      <c r="B573" s="1" t="str">
        <f>IFERROR(__xludf.DUMMYFUNCTION("""COMPUTED_VALUE"""),"Ph.D")</f>
        <v>Ph.D</v>
      </c>
      <c r="C573" s="1">
        <f>IFERROR(__xludf.DUMMYFUNCTION("""COMPUTED_VALUE"""),1989.0)</f>
        <v>1989</v>
      </c>
      <c r="D573" s="1"/>
      <c r="E573" s="1"/>
    </row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7"/>
    <hyperlink r:id="rId2" ref="B28"/>
    <hyperlink r:id="rId3" ref="B29"/>
    <hyperlink r:id="rId4" ref="B30"/>
    <hyperlink r:id="rId5" ref="B31"/>
    <hyperlink r:id="rId6" ref="B32"/>
    <hyperlink r:id="rId7" ref="B33"/>
    <hyperlink r:id="rId8" ref="B34"/>
    <hyperlink r:id="rId9" ref="B35"/>
    <hyperlink r:id="rId10" ref="B36"/>
    <hyperlink r:id="rId11" ref="B37"/>
    <hyperlink r:id="rId12" ref="B38"/>
    <hyperlink r:id="rId13" ref="B63"/>
    <hyperlink r:id="rId14" ref="B64"/>
    <hyperlink r:id="rId15" ref="B65"/>
    <hyperlink r:id="rId16" ref="B66"/>
    <hyperlink r:id="rId17" ref="B67"/>
    <hyperlink r:id="rId18" ref="B68"/>
    <hyperlink r:id="rId19" ref="B69"/>
    <hyperlink r:id="rId20" ref="B70"/>
    <hyperlink r:id="rId21" ref="B71"/>
    <hyperlink r:id="rId22" ref="E71"/>
    <hyperlink r:id="rId23" ref="B72"/>
    <hyperlink r:id="rId24" ref="B73"/>
    <hyperlink r:id="rId25" ref="B85"/>
    <hyperlink r:id="rId26" ref="B86"/>
    <hyperlink r:id="rId27" ref="B87"/>
    <hyperlink r:id="rId28" ref="B88"/>
    <hyperlink r:id="rId29" ref="B89"/>
    <hyperlink r:id="rId30" ref="B90"/>
    <hyperlink r:id="rId31" ref="B91"/>
    <hyperlink r:id="rId32" ref="B92"/>
    <hyperlink r:id="rId33" ref="B123"/>
    <hyperlink r:id="rId34" ref="B124"/>
    <hyperlink r:id="rId35" ref="B125"/>
    <hyperlink r:id="rId36" ref="B126"/>
    <hyperlink r:id="rId37" ref="B127"/>
    <hyperlink r:id="rId38" ref="B128"/>
    <hyperlink r:id="rId39" ref="B129"/>
    <hyperlink r:id="rId40" ref="B157"/>
    <hyperlink r:id="rId41" ref="B159"/>
    <hyperlink r:id="rId42" ref="B160"/>
    <hyperlink r:id="rId43" ref="B161"/>
    <hyperlink r:id="rId44" ref="B186"/>
    <hyperlink r:id="rId45" ref="B187"/>
    <hyperlink r:id="rId46" ref="B188"/>
    <hyperlink r:id="rId47" ref="B189"/>
    <hyperlink r:id="rId48" ref="B190"/>
    <hyperlink r:id="rId49" ref="B191"/>
    <hyperlink r:id="rId50" ref="B210"/>
    <hyperlink r:id="rId51" ref="B211"/>
    <hyperlink r:id="rId52" ref="B212"/>
    <hyperlink r:id="rId53" ref="B213"/>
    <hyperlink r:id="rId54" ref="B214"/>
    <hyperlink r:id="rId55" ref="B238"/>
    <hyperlink r:id="rId56" ref="B239"/>
    <hyperlink r:id="rId57" ref="B240"/>
    <hyperlink r:id="rId58" ref="B241"/>
    <hyperlink r:id="rId59" ref="B263"/>
    <hyperlink r:id="rId60" ref="B264"/>
    <hyperlink r:id="rId61" ref="B265"/>
    <hyperlink r:id="rId62" ref="B266"/>
    <hyperlink r:id="rId63" ref="B267"/>
    <hyperlink r:id="rId64" ref="B290"/>
    <hyperlink r:id="rId65" ref="B291"/>
    <hyperlink r:id="rId66" ref="B292"/>
    <hyperlink r:id="rId67" ref="B293"/>
    <hyperlink r:id="rId68" ref="B294"/>
    <hyperlink r:id="rId69" ref="B313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</sheetData>
  <hyperlinks>
    <hyperlink r:id="rId2" ref="B55"/>
    <hyperlink r:id="rId3" ref="B58"/>
    <hyperlink r:id="rId4" ref="B62"/>
    <hyperlink r:id="rId5" ref="B66"/>
    <hyperlink r:id="rId6" ref="B70"/>
    <hyperlink r:id="rId7" ref="B76"/>
    <hyperlink r:id="rId8" ref="B81"/>
    <hyperlink r:id="rId9" ref="B85"/>
    <hyperlink r:id="rId10" ref="B91"/>
    <hyperlink r:id="rId11" ref="B98"/>
    <hyperlink r:id="rId12" ref="B106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hyperlinks>
    <hyperlink r:id="rId2" ref="C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hyperlinks>
    <hyperlink r:id="rId2" ref="C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hyperlinks>
    <hyperlink r:id="rId2" ref="A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</v>
      </c>
      <c r="B1" s="1" t="s">
        <v>44</v>
      </c>
    </row>
    <row r="2" ht="15.75" customHeight="1">
      <c r="A2" s="1" t="s">
        <v>39</v>
      </c>
      <c r="B2" s="1">
        <v>2.0</v>
      </c>
    </row>
    <row r="3" ht="15.75" customHeight="1">
      <c r="A3" s="2" t="s">
        <v>26</v>
      </c>
      <c r="B3" s="1">
        <v>11.0</v>
      </c>
    </row>
    <row r="4" ht="15.75" customHeight="1">
      <c r="A4" s="1" t="s">
        <v>31</v>
      </c>
      <c r="B4" s="1">
        <v>1.0</v>
      </c>
    </row>
    <row r="5" ht="15.75" customHeight="1">
      <c r="A5" s="1" t="s">
        <v>32</v>
      </c>
      <c r="B5" s="1">
        <v>7.0</v>
      </c>
    </row>
    <row r="6" ht="15.75" customHeight="1">
      <c r="A6" s="1" t="s">
        <v>5</v>
      </c>
      <c r="B6" s="1">
        <v>18.0</v>
      </c>
    </row>
    <row r="7" ht="15.75" customHeight="1">
      <c r="A7" s="1" t="s">
        <v>40</v>
      </c>
      <c r="B7" s="1">
        <v>1.0</v>
      </c>
    </row>
    <row r="8" ht="15.75" customHeight="1">
      <c r="A8" s="1" t="s">
        <v>36</v>
      </c>
      <c r="B8" s="1">
        <v>4.0</v>
      </c>
    </row>
    <row r="9" ht="15.75" customHeight="1">
      <c r="A9" s="1" t="s">
        <v>3</v>
      </c>
      <c r="B9" s="1">
        <v>15.0</v>
      </c>
    </row>
    <row r="10" ht="15.75" customHeight="1">
      <c r="A10" s="1" t="s">
        <v>43</v>
      </c>
      <c r="B10" s="1">
        <v>18.0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</hyperlinks>
  <drawing r:id="rId2"/>
</worksheet>
</file>