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495" windowWidth="20730" windowHeight="11760"/>
  </bookViews>
  <sheets>
    <sheet name="HistoricalFS" sheetId="8" r:id="rId1"/>
    <sheet name="Ratio Analysis" sheetId="11" r:id="rId2"/>
    <sheet name="Forcasting" sheetId="12" r:id="rId3"/>
    <sheet name="CommonSiize Statement" sheetId="13" r:id="rId4"/>
    <sheet name="Data Sheet" sheetId="6" r:id="rId5"/>
    <sheet name="Data Sheet (2)" sheetId="10" r:id="rId6"/>
    <sheet name="Cashflow Data" sheetId="9" r:id="rId7"/>
  </sheets>
  <definedNames>
    <definedName name="UPDATE" localSheetId="5">'Data Sheet (2)'!$E$1</definedName>
    <definedName name="UPDATE">'Data Sheet'!$E$1</definedName>
  </definedNames>
  <calcPr calcId="125725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3"/>
  <c r="B4"/>
  <c r="L8"/>
  <c r="L9"/>
  <c r="L10"/>
  <c r="L11"/>
  <c r="L12"/>
  <c r="L13"/>
  <c r="L14"/>
  <c r="L15"/>
  <c r="L16"/>
  <c r="L17"/>
  <c r="L18"/>
  <c r="L19"/>
  <c r="L20"/>
  <c r="L21"/>
  <c r="L22"/>
  <c r="I20"/>
  <c r="J20"/>
  <c r="K20"/>
  <c r="I21"/>
  <c r="J21"/>
  <c r="K21"/>
  <c r="I22"/>
  <c r="J22"/>
  <c r="K22"/>
  <c r="I15"/>
  <c r="J15"/>
  <c r="K15"/>
  <c r="I16"/>
  <c r="J16"/>
  <c r="K16"/>
  <c r="I17"/>
  <c r="J17"/>
  <c r="K17"/>
  <c r="I18"/>
  <c r="J18"/>
  <c r="K18"/>
  <c r="I19"/>
  <c r="J19"/>
  <c r="K19"/>
  <c r="I9"/>
  <c r="J9"/>
  <c r="K9"/>
  <c r="I10"/>
  <c r="J10"/>
  <c r="K10"/>
  <c r="I11"/>
  <c r="J11"/>
  <c r="K11"/>
  <c r="I12"/>
  <c r="J12"/>
  <c r="K12"/>
  <c r="I13"/>
  <c r="J13"/>
  <c r="K13"/>
  <c r="I14"/>
  <c r="J14"/>
  <c r="K14"/>
  <c r="J8"/>
  <c r="K8"/>
  <c r="C9"/>
  <c r="C10"/>
  <c r="C11"/>
  <c r="C12"/>
  <c r="C13"/>
  <c r="C14"/>
  <c r="C15"/>
  <c r="C16"/>
  <c r="C17"/>
  <c r="C18"/>
  <c r="I34"/>
  <c r="J34"/>
  <c r="K34"/>
  <c r="L34"/>
  <c r="D34"/>
  <c r="E34"/>
  <c r="F34"/>
  <c r="G34"/>
  <c r="H34"/>
  <c r="C34"/>
  <c r="C31"/>
  <c r="D31"/>
  <c r="E31"/>
  <c r="F31"/>
  <c r="G31"/>
  <c r="H31"/>
  <c r="I31"/>
  <c r="J31"/>
  <c r="K31"/>
  <c r="L31"/>
  <c r="C32"/>
  <c r="D32"/>
  <c r="E32"/>
  <c r="F32"/>
  <c r="G32"/>
  <c r="H32"/>
  <c r="I32"/>
  <c r="J32"/>
  <c r="K32"/>
  <c r="L32"/>
  <c r="C33"/>
  <c r="D33"/>
  <c r="E33"/>
  <c r="F33"/>
  <c r="G33"/>
  <c r="H33"/>
  <c r="I33"/>
  <c r="J33"/>
  <c r="K33"/>
  <c r="L33"/>
  <c r="I30"/>
  <c r="J30"/>
  <c r="K30"/>
  <c r="L30"/>
  <c r="D30"/>
  <c r="E30"/>
  <c r="F30"/>
  <c r="G30"/>
  <c r="H30"/>
  <c r="C30"/>
  <c r="D9"/>
  <c r="E9"/>
  <c r="F9"/>
  <c r="G9"/>
  <c r="H9"/>
  <c r="D10"/>
  <c r="E10"/>
  <c r="F10"/>
  <c r="G10"/>
  <c r="H10"/>
  <c r="D11"/>
  <c r="E11"/>
  <c r="F11"/>
  <c r="G11"/>
  <c r="H11"/>
  <c r="D12"/>
  <c r="E12"/>
  <c r="F12"/>
  <c r="G12"/>
  <c r="H12"/>
  <c r="D13"/>
  <c r="E13"/>
  <c r="F13"/>
  <c r="G13"/>
  <c r="H13"/>
  <c r="D14"/>
  <c r="E14"/>
  <c r="F14"/>
  <c r="G14"/>
  <c r="H14"/>
  <c r="D15"/>
  <c r="E15"/>
  <c r="F15"/>
  <c r="G15"/>
  <c r="H15"/>
  <c r="D16"/>
  <c r="E16"/>
  <c r="F16"/>
  <c r="G16"/>
  <c r="H16"/>
  <c r="D17"/>
  <c r="E17"/>
  <c r="F17"/>
  <c r="G17"/>
  <c r="H17"/>
  <c r="D18"/>
  <c r="E18"/>
  <c r="F18"/>
  <c r="G18"/>
  <c r="H18"/>
  <c r="C19"/>
  <c r="D19"/>
  <c r="E19"/>
  <c r="F19"/>
  <c r="G19"/>
  <c r="H19"/>
  <c r="C20"/>
  <c r="D20"/>
  <c r="E20"/>
  <c r="F20"/>
  <c r="G20"/>
  <c r="H20"/>
  <c r="C21"/>
  <c r="D21"/>
  <c r="E21"/>
  <c r="F21"/>
  <c r="G21"/>
  <c r="H21"/>
  <c r="C22"/>
  <c r="D22"/>
  <c r="E22"/>
  <c r="F22"/>
  <c r="G22"/>
  <c r="H22"/>
  <c r="G8"/>
  <c r="H8"/>
  <c r="I8"/>
  <c r="D8"/>
  <c r="E8"/>
  <c r="F8"/>
  <c r="C8"/>
  <c r="B31"/>
  <c r="B32"/>
  <c r="B33"/>
  <c r="B36"/>
  <c r="B37"/>
  <c r="B38"/>
  <c r="B39"/>
  <c r="B40"/>
  <c r="B41"/>
  <c r="B42"/>
  <c r="B30"/>
  <c r="B9"/>
  <c r="B10"/>
  <c r="B11"/>
  <c r="B12"/>
  <c r="B13"/>
  <c r="B14"/>
  <c r="B15"/>
  <c r="B16"/>
  <c r="B17"/>
  <c r="B18"/>
  <c r="B19"/>
  <c r="B20"/>
  <c r="B21"/>
  <c r="B22"/>
  <c r="B8"/>
  <c r="J6"/>
  <c r="K6"/>
  <c r="L6"/>
  <c r="D6"/>
  <c r="E6"/>
  <c r="F6"/>
  <c r="G6"/>
  <c r="H6"/>
  <c r="I6"/>
  <c r="C6"/>
  <c r="D4" i="12" a="1"/>
  <c r="D4" s="1"/>
  <c r="D9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B5"/>
  <c r="B6" s="1"/>
  <c r="B7" s="1"/>
  <c r="B8" s="1"/>
  <c r="B9" s="1"/>
  <c r="B10" s="1"/>
  <c r="B11" s="1"/>
  <c r="B12" s="1"/>
  <c r="B13" s="1"/>
  <c r="B14" s="1"/>
  <c r="L3" i="11"/>
  <c r="B2"/>
  <c r="K3"/>
  <c r="J3"/>
  <c r="I3"/>
  <c r="H3"/>
  <c r="G3"/>
  <c r="F3"/>
  <c r="E3"/>
  <c r="D3"/>
  <c r="C3"/>
  <c r="C93" i="8"/>
  <c r="C97"/>
  <c r="C71"/>
  <c r="C72"/>
  <c r="C70"/>
  <c r="J90"/>
  <c r="K90"/>
  <c r="L90"/>
  <c r="J91"/>
  <c r="K91"/>
  <c r="L91"/>
  <c r="J92"/>
  <c r="K92"/>
  <c r="L92"/>
  <c r="J93"/>
  <c r="K93"/>
  <c r="L93"/>
  <c r="J94"/>
  <c r="K94"/>
  <c r="L94"/>
  <c r="J95"/>
  <c r="K95"/>
  <c r="L95"/>
  <c r="J96"/>
  <c r="K96"/>
  <c r="L96"/>
  <c r="J97"/>
  <c r="K97"/>
  <c r="L97"/>
  <c r="H90"/>
  <c r="I90"/>
  <c r="H91"/>
  <c r="I91"/>
  <c r="H92"/>
  <c r="I92"/>
  <c r="H93"/>
  <c r="I93"/>
  <c r="H94"/>
  <c r="I94"/>
  <c r="H95"/>
  <c r="I95"/>
  <c r="H96"/>
  <c r="I96"/>
  <c r="H97"/>
  <c r="I97"/>
  <c r="D90"/>
  <c r="E90"/>
  <c r="F90"/>
  <c r="G90"/>
  <c r="D91"/>
  <c r="E91"/>
  <c r="F91"/>
  <c r="G91"/>
  <c r="D92"/>
  <c r="E92"/>
  <c r="F92"/>
  <c r="G92"/>
  <c r="D93"/>
  <c r="E93"/>
  <c r="F93"/>
  <c r="G93"/>
  <c r="D94"/>
  <c r="E94"/>
  <c r="F94"/>
  <c r="G94"/>
  <c r="D95"/>
  <c r="E95"/>
  <c r="F95"/>
  <c r="G95"/>
  <c r="D96"/>
  <c r="E96"/>
  <c r="F96"/>
  <c r="G96"/>
  <c r="D97"/>
  <c r="E97"/>
  <c r="F97"/>
  <c r="G97"/>
  <c r="C91"/>
  <c r="C92"/>
  <c r="C94"/>
  <c r="C95"/>
  <c r="C96"/>
  <c r="C90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D76"/>
  <c r="E76"/>
  <c r="F76"/>
  <c r="G76"/>
  <c r="H76"/>
  <c r="I76"/>
  <c r="J76"/>
  <c r="D77"/>
  <c r="E77"/>
  <c r="F77"/>
  <c r="G77"/>
  <c r="H77"/>
  <c r="I77"/>
  <c r="J77"/>
  <c r="D78"/>
  <c r="E78"/>
  <c r="F78"/>
  <c r="G78"/>
  <c r="H78"/>
  <c r="I78"/>
  <c r="J78"/>
  <c r="D79"/>
  <c r="E79"/>
  <c r="F79"/>
  <c r="G79"/>
  <c r="H79"/>
  <c r="I79"/>
  <c r="J79"/>
  <c r="D80"/>
  <c r="E80"/>
  <c r="F80"/>
  <c r="G80"/>
  <c r="H80"/>
  <c r="I80"/>
  <c r="J80"/>
  <c r="D81"/>
  <c r="E81"/>
  <c r="F81"/>
  <c r="G81"/>
  <c r="H81"/>
  <c r="I81"/>
  <c r="J81"/>
  <c r="D82"/>
  <c r="E82"/>
  <c r="F82"/>
  <c r="G82"/>
  <c r="H82"/>
  <c r="I82"/>
  <c r="J82"/>
  <c r="D83"/>
  <c r="E83"/>
  <c r="F83"/>
  <c r="G83"/>
  <c r="H83"/>
  <c r="I83"/>
  <c r="J83"/>
  <c r="D84"/>
  <c r="E84"/>
  <c r="F84"/>
  <c r="G84"/>
  <c r="H84"/>
  <c r="I84"/>
  <c r="J84"/>
  <c r="D85"/>
  <c r="E85"/>
  <c r="F85"/>
  <c r="G85"/>
  <c r="H85"/>
  <c r="I85"/>
  <c r="J85"/>
  <c r="D86"/>
  <c r="E86"/>
  <c r="F86"/>
  <c r="G86"/>
  <c r="H86"/>
  <c r="I86"/>
  <c r="J86"/>
  <c r="C77"/>
  <c r="C78"/>
  <c r="C79"/>
  <c r="C80"/>
  <c r="C81"/>
  <c r="C82"/>
  <c r="C83"/>
  <c r="C84"/>
  <c r="C85"/>
  <c r="C86"/>
  <c r="C76"/>
  <c r="K70"/>
  <c r="L70"/>
  <c r="K71"/>
  <c r="L71"/>
  <c r="K72"/>
  <c r="L72"/>
  <c r="D70"/>
  <c r="E70"/>
  <c r="F70"/>
  <c r="G70"/>
  <c r="H70"/>
  <c r="I70"/>
  <c r="J70"/>
  <c r="D71"/>
  <c r="E71"/>
  <c r="F71"/>
  <c r="G71"/>
  <c r="H71"/>
  <c r="I71"/>
  <c r="J71"/>
  <c r="D72"/>
  <c r="E72"/>
  <c r="F72"/>
  <c r="G72"/>
  <c r="H72"/>
  <c r="I72"/>
  <c r="J72"/>
  <c r="L56"/>
  <c r="K56"/>
  <c r="H56"/>
  <c r="I56"/>
  <c r="J56"/>
  <c r="D56"/>
  <c r="E56"/>
  <c r="F56"/>
  <c r="G56"/>
  <c r="C56"/>
  <c r="K59"/>
  <c r="L59"/>
  <c r="K60"/>
  <c r="L60"/>
  <c r="K61"/>
  <c r="L61"/>
  <c r="H59"/>
  <c r="I59"/>
  <c r="J59"/>
  <c r="H60"/>
  <c r="I60"/>
  <c r="J60"/>
  <c r="H61"/>
  <c r="I61"/>
  <c r="J61"/>
  <c r="F59"/>
  <c r="G59"/>
  <c r="F60"/>
  <c r="G60"/>
  <c r="F61"/>
  <c r="G61"/>
  <c r="C60"/>
  <c r="D60"/>
  <c r="E60"/>
  <c r="C61"/>
  <c r="D61"/>
  <c r="E61"/>
  <c r="D59"/>
  <c r="E59"/>
  <c r="C59"/>
  <c r="L53"/>
  <c r="L54"/>
  <c r="L55"/>
  <c r="H53"/>
  <c r="I53"/>
  <c r="J53"/>
  <c r="K53"/>
  <c r="H54"/>
  <c r="I54"/>
  <c r="J54"/>
  <c r="K54"/>
  <c r="H55"/>
  <c r="I55"/>
  <c r="J55"/>
  <c r="K55"/>
  <c r="C54"/>
  <c r="D54"/>
  <c r="E54"/>
  <c r="F54"/>
  <c r="G54"/>
  <c r="C55"/>
  <c r="D55"/>
  <c r="E55"/>
  <c r="F55"/>
  <c r="G55"/>
  <c r="F53"/>
  <c r="G53"/>
  <c r="D53"/>
  <c r="E53"/>
  <c r="C53"/>
  <c r="L51"/>
  <c r="I51"/>
  <c r="J51"/>
  <c r="K51"/>
  <c r="D51"/>
  <c r="E51"/>
  <c r="F51"/>
  <c r="G51"/>
  <c r="H51"/>
  <c r="L47"/>
  <c r="L48"/>
  <c r="L49"/>
  <c r="L50"/>
  <c r="I47"/>
  <c r="J47"/>
  <c r="K47"/>
  <c r="I48"/>
  <c r="J48"/>
  <c r="K48"/>
  <c r="I49"/>
  <c r="J49"/>
  <c r="K49"/>
  <c r="I50"/>
  <c r="J50"/>
  <c r="K50"/>
  <c r="D47"/>
  <c r="E47"/>
  <c r="F47"/>
  <c r="G47"/>
  <c r="H47"/>
  <c r="D48"/>
  <c r="E48"/>
  <c r="F48"/>
  <c r="G48"/>
  <c r="H48"/>
  <c r="D49"/>
  <c r="E49"/>
  <c r="F49"/>
  <c r="G49"/>
  <c r="H49"/>
  <c r="D50"/>
  <c r="E50"/>
  <c r="F50"/>
  <c r="G50"/>
  <c r="H50"/>
  <c r="C48"/>
  <c r="C49"/>
  <c r="C50"/>
  <c r="C51"/>
  <c r="C47"/>
  <c r="D36"/>
  <c r="D41" s="1"/>
  <c r="D9" i="11" s="1"/>
  <c r="E36" i="8"/>
  <c r="E41" s="1"/>
  <c r="F36"/>
  <c r="F41" s="1"/>
  <c r="G36"/>
  <c r="G41" s="1"/>
  <c r="H36"/>
  <c r="H41" s="1"/>
  <c r="H9" i="11" s="1"/>
  <c r="I36" i="8"/>
  <c r="I41" s="1"/>
  <c r="J36"/>
  <c r="J41" s="1"/>
  <c r="K36"/>
  <c r="K41" s="1"/>
  <c r="L36"/>
  <c r="L41" s="1"/>
  <c r="L9" i="11" s="1"/>
  <c r="C36" i="8"/>
  <c r="C41" s="1"/>
  <c r="L30"/>
  <c r="I30"/>
  <c r="J30"/>
  <c r="K30"/>
  <c r="D30"/>
  <c r="E30"/>
  <c r="F30"/>
  <c r="G30"/>
  <c r="H30"/>
  <c r="C30"/>
  <c r="L24"/>
  <c r="D24"/>
  <c r="E24"/>
  <c r="F24"/>
  <c r="G24"/>
  <c r="H24"/>
  <c r="I24"/>
  <c r="J24"/>
  <c r="K24"/>
  <c r="C24"/>
  <c r="K21"/>
  <c r="L21"/>
  <c r="D21"/>
  <c r="E21"/>
  <c r="F21"/>
  <c r="G21"/>
  <c r="H21"/>
  <c r="I21"/>
  <c r="J21"/>
  <c r="C21"/>
  <c r="L15"/>
  <c r="I15"/>
  <c r="J15"/>
  <c r="K15"/>
  <c r="D15"/>
  <c r="E15"/>
  <c r="F15"/>
  <c r="G15"/>
  <c r="H15"/>
  <c r="C15"/>
  <c r="H9"/>
  <c r="I9"/>
  <c r="J9"/>
  <c r="K9"/>
  <c r="L9"/>
  <c r="D9"/>
  <c r="E9"/>
  <c r="F9"/>
  <c r="G9"/>
  <c r="C9"/>
  <c r="B2"/>
  <c r="C3"/>
  <c r="D3"/>
  <c r="E3"/>
  <c r="F3"/>
  <c r="G3"/>
  <c r="H3"/>
  <c r="I3"/>
  <c r="J3"/>
  <c r="K3"/>
  <c r="L3"/>
  <c r="K6"/>
  <c r="K27" i="11" s="1"/>
  <c r="K33" s="1"/>
  <c r="L6" i="8"/>
  <c r="L30" i="11" s="1"/>
  <c r="D6" i="8"/>
  <c r="D27" i="11" s="1"/>
  <c r="D33" s="1"/>
  <c r="E6" i="8"/>
  <c r="E27" i="11" s="1"/>
  <c r="E33" s="1"/>
  <c r="F6" i="8"/>
  <c r="F25" s="1"/>
  <c r="F18" i="11" s="1"/>
  <c r="G6" i="8"/>
  <c r="G27" i="11" s="1"/>
  <c r="G33" s="1"/>
  <c r="H6" i="8"/>
  <c r="I6"/>
  <c r="J6"/>
  <c r="J25" s="1"/>
  <c r="J18" i="11" s="1"/>
  <c r="C6" i="8"/>
  <c r="C29" i="11" s="1"/>
  <c r="C35" s="1"/>
  <c r="B6" i="10"/>
  <c r="E1"/>
  <c r="D7" i="12" l="1"/>
  <c r="E7" s="1"/>
  <c r="E9" i="11"/>
  <c r="D11" i="12"/>
  <c r="H27" i="11"/>
  <c r="H33" s="1"/>
  <c r="I9"/>
  <c r="I27"/>
  <c r="I33" s="1"/>
  <c r="K9"/>
  <c r="G9"/>
  <c r="D13" i="12"/>
  <c r="E13" s="1"/>
  <c r="D6"/>
  <c r="E6" s="1"/>
  <c r="D10"/>
  <c r="E10" s="1"/>
  <c r="D5"/>
  <c r="E5" s="1"/>
  <c r="D12"/>
  <c r="D8"/>
  <c r="E9" s="1"/>
  <c r="B15"/>
  <c r="E12"/>
  <c r="C27" i="11"/>
  <c r="C33" s="1"/>
  <c r="C31"/>
  <c r="J9"/>
  <c r="F9"/>
  <c r="C28"/>
  <c r="C34" s="1"/>
  <c r="K31"/>
  <c r="G31"/>
  <c r="K30"/>
  <c r="G30"/>
  <c r="K29"/>
  <c r="K35" s="1"/>
  <c r="G29"/>
  <c r="G35" s="1"/>
  <c r="K28"/>
  <c r="K34" s="1"/>
  <c r="G28"/>
  <c r="G34" s="1"/>
  <c r="L31"/>
  <c r="L27"/>
  <c r="L33" s="1"/>
  <c r="H31"/>
  <c r="D31"/>
  <c r="H30"/>
  <c r="D30"/>
  <c r="H29"/>
  <c r="H35" s="1"/>
  <c r="D29"/>
  <c r="H28"/>
  <c r="H34" s="1"/>
  <c r="D28"/>
  <c r="L28"/>
  <c r="L34" s="1"/>
  <c r="C30"/>
  <c r="I31"/>
  <c r="E31"/>
  <c r="I30"/>
  <c r="E30"/>
  <c r="I29"/>
  <c r="I35" s="1"/>
  <c r="E29"/>
  <c r="E35" s="1"/>
  <c r="I28"/>
  <c r="I34" s="1"/>
  <c r="E28"/>
  <c r="E34" s="1"/>
  <c r="L29"/>
  <c r="L35" s="1"/>
  <c r="J31"/>
  <c r="F31"/>
  <c r="J30"/>
  <c r="F30"/>
  <c r="J29"/>
  <c r="J35" s="1"/>
  <c r="F29"/>
  <c r="F35" s="1"/>
  <c r="J28"/>
  <c r="J34" s="1"/>
  <c r="F28"/>
  <c r="F34" s="1"/>
  <c r="J27"/>
  <c r="J33" s="1"/>
  <c r="F27"/>
  <c r="F33" s="1"/>
  <c r="C62" i="8"/>
  <c r="C98"/>
  <c r="C57"/>
  <c r="G62"/>
  <c r="K62"/>
  <c r="D98"/>
  <c r="F57"/>
  <c r="D57"/>
  <c r="L57"/>
  <c r="E62"/>
  <c r="F62"/>
  <c r="J62"/>
  <c r="I62"/>
  <c r="G98"/>
  <c r="L73"/>
  <c r="C87"/>
  <c r="G87"/>
  <c r="I87"/>
  <c r="E87"/>
  <c r="L87"/>
  <c r="E98"/>
  <c r="I98"/>
  <c r="K98"/>
  <c r="J57"/>
  <c r="H62"/>
  <c r="H73"/>
  <c r="D73"/>
  <c r="H87"/>
  <c r="D87"/>
  <c r="J87"/>
  <c r="F87"/>
  <c r="K87"/>
  <c r="F98"/>
  <c r="H98"/>
  <c r="L98"/>
  <c r="D62"/>
  <c r="L62"/>
  <c r="L64" s="1"/>
  <c r="G57"/>
  <c r="F73"/>
  <c r="I73"/>
  <c r="E73"/>
  <c r="E57"/>
  <c r="G73"/>
  <c r="J73"/>
  <c r="K73"/>
  <c r="J98"/>
  <c r="I57"/>
  <c r="K57"/>
  <c r="H57"/>
  <c r="C73"/>
  <c r="C38" i="11" s="1"/>
  <c r="H22" i="8"/>
  <c r="D22"/>
  <c r="C16"/>
  <c r="C17" i="11" s="1"/>
  <c r="I22" i="8"/>
  <c r="E22"/>
  <c r="C25"/>
  <c r="C18" i="11" s="1"/>
  <c r="H25" i="8"/>
  <c r="H18" i="11" s="1"/>
  <c r="D25" i="8"/>
  <c r="D18" i="11" s="1"/>
  <c r="H10" i="8"/>
  <c r="K12"/>
  <c r="D10"/>
  <c r="I10"/>
  <c r="D7"/>
  <c r="D5" i="11" s="1"/>
  <c r="H7" i="8"/>
  <c r="H5" i="11" s="1"/>
  <c r="L10" i="8"/>
  <c r="K10"/>
  <c r="F16"/>
  <c r="F17" i="11" s="1"/>
  <c r="J16" i="8"/>
  <c r="J17" i="11" s="1"/>
  <c r="J22" i="8"/>
  <c r="F22"/>
  <c r="K22"/>
  <c r="E7"/>
  <c r="E5" i="11" s="1"/>
  <c r="C10" i="8"/>
  <c r="G16"/>
  <c r="G17" i="11" s="1"/>
  <c r="K16" i="8"/>
  <c r="K17" i="11" s="1"/>
  <c r="C22" i="8"/>
  <c r="G22"/>
  <c r="L22"/>
  <c r="I16"/>
  <c r="I17" i="11" s="1"/>
  <c r="E16" i="8"/>
  <c r="E17" i="11" s="1"/>
  <c r="I7" i="8"/>
  <c r="I5" i="11" s="1"/>
  <c r="E10" i="8"/>
  <c r="J10"/>
  <c r="H16"/>
  <c r="H17" i="11" s="1"/>
  <c r="D16" i="8"/>
  <c r="D17" i="11" s="1"/>
  <c r="L16" i="8"/>
  <c r="L17" i="11" s="1"/>
  <c r="K25" i="8"/>
  <c r="K18" i="11" s="1"/>
  <c r="G25" i="8"/>
  <c r="G18" i="11" s="1"/>
  <c r="L25" i="8"/>
  <c r="L18" i="11" s="1"/>
  <c r="F10" i="8"/>
  <c r="F7"/>
  <c r="F5" i="11" s="1"/>
  <c r="C12" i="8"/>
  <c r="J12"/>
  <c r="G10"/>
  <c r="K7"/>
  <c r="K5" i="11" s="1"/>
  <c r="G7" i="8"/>
  <c r="G5" i="11" s="1"/>
  <c r="G12" i="8"/>
  <c r="J7"/>
  <c r="J5" i="11" s="1"/>
  <c r="L7" i="8"/>
  <c r="L5" i="11" s="1"/>
  <c r="H12" i="8"/>
  <c r="D12"/>
  <c r="I12"/>
  <c r="E12"/>
  <c r="L12"/>
  <c r="I25"/>
  <c r="I18" i="11" s="1"/>
  <c r="E25" i="8"/>
  <c r="E18" i="11" s="1"/>
  <c r="F12" i="8"/>
  <c r="B6" i="6"/>
  <c r="E1"/>
  <c r="E8" i="12" l="1"/>
  <c r="E11"/>
  <c r="D14"/>
  <c r="E14" s="1"/>
  <c r="D40" i="11"/>
  <c r="M9"/>
  <c r="F40"/>
  <c r="F38"/>
  <c r="J40"/>
  <c r="J38"/>
  <c r="I40"/>
  <c r="I38"/>
  <c r="K38"/>
  <c r="K40"/>
  <c r="E40"/>
  <c r="E38"/>
  <c r="L66" i="8"/>
  <c r="L37" i="13"/>
  <c r="L39"/>
  <c r="L41"/>
  <c r="L43"/>
  <c r="L36"/>
  <c r="L38"/>
  <c r="L40"/>
  <c r="L42"/>
  <c r="C36" i="11"/>
  <c r="G38"/>
  <c r="G40"/>
  <c r="L38"/>
  <c r="L40"/>
  <c r="L39"/>
  <c r="C40"/>
  <c r="H38"/>
  <c r="H40"/>
  <c r="D38"/>
  <c r="M38" s="1"/>
  <c r="N9"/>
  <c r="N27"/>
  <c r="M27"/>
  <c r="M33"/>
  <c r="B16" i="12"/>
  <c r="N33" i="11"/>
  <c r="M17"/>
  <c r="N17"/>
  <c r="D35"/>
  <c r="N29"/>
  <c r="M29"/>
  <c r="N31"/>
  <c r="M31"/>
  <c r="M18"/>
  <c r="N18"/>
  <c r="M5"/>
  <c r="N5"/>
  <c r="D34"/>
  <c r="N28"/>
  <c r="M28"/>
  <c r="N30"/>
  <c r="M30"/>
  <c r="F36"/>
  <c r="H36"/>
  <c r="G36"/>
  <c r="L36"/>
  <c r="K36"/>
  <c r="J36"/>
  <c r="E36"/>
  <c r="I36"/>
  <c r="D64" i="8"/>
  <c r="D39" i="11" s="1"/>
  <c r="C64" i="8"/>
  <c r="I100"/>
  <c r="H64"/>
  <c r="G100"/>
  <c r="F100"/>
  <c r="D100"/>
  <c r="J64"/>
  <c r="J39" i="11" s="1"/>
  <c r="K64" i="8"/>
  <c r="E64"/>
  <c r="G64"/>
  <c r="G39" i="11" s="1"/>
  <c r="L100" i="8"/>
  <c r="F64"/>
  <c r="F39" i="11" s="1"/>
  <c r="I64" i="8"/>
  <c r="I39" i="11" s="1"/>
  <c r="H100" i="8"/>
  <c r="J100"/>
  <c r="C100"/>
  <c r="K100"/>
  <c r="E100"/>
  <c r="J18"/>
  <c r="J13"/>
  <c r="J11" i="11" s="1"/>
  <c r="I18" i="8"/>
  <c r="I13"/>
  <c r="I11" i="11" s="1"/>
  <c r="L18" i="8"/>
  <c r="L13"/>
  <c r="L11" i="11" s="1"/>
  <c r="H18" i="8"/>
  <c r="H13"/>
  <c r="H11" i="11" s="1"/>
  <c r="C18" i="8"/>
  <c r="C13"/>
  <c r="C11" i="11" s="1"/>
  <c r="K18" i="8"/>
  <c r="K13"/>
  <c r="K11" i="11" s="1"/>
  <c r="D18" i="8"/>
  <c r="D13"/>
  <c r="D11" i="11" s="1"/>
  <c r="G18" i="8"/>
  <c r="G13"/>
  <c r="G11" i="11" s="1"/>
  <c r="F18" i="8"/>
  <c r="F13"/>
  <c r="F11" i="11" s="1"/>
  <c r="E18" i="8"/>
  <c r="E13"/>
  <c r="E11" i="11" s="1"/>
  <c r="I4" i="12" l="1" a="1"/>
  <c r="I13" s="1"/>
  <c r="N38" i="11"/>
  <c r="D15" i="12"/>
  <c r="E15" s="1"/>
  <c r="I6"/>
  <c r="I10"/>
  <c r="I4"/>
  <c r="H66" i="8"/>
  <c r="H43" i="13"/>
  <c r="H39"/>
  <c r="H36"/>
  <c r="H40"/>
  <c r="H37"/>
  <c r="H41"/>
  <c r="H38"/>
  <c r="H42"/>
  <c r="K66" i="8"/>
  <c r="K43" i="13"/>
  <c r="K37"/>
  <c r="K39"/>
  <c r="K41"/>
  <c r="K36"/>
  <c r="K38"/>
  <c r="K40"/>
  <c r="K42"/>
  <c r="D66" i="8"/>
  <c r="D43" i="13"/>
  <c r="D39"/>
  <c r="D36"/>
  <c r="D40"/>
  <c r="D37"/>
  <c r="D41"/>
  <c r="D38"/>
  <c r="D42"/>
  <c r="H39" i="11"/>
  <c r="I66" i="8"/>
  <c r="I36" i="13"/>
  <c r="I40"/>
  <c r="I37"/>
  <c r="I41"/>
  <c r="I38"/>
  <c r="I42"/>
  <c r="I43"/>
  <c r="I39"/>
  <c r="E66" i="8"/>
  <c r="E36" i="13"/>
  <c r="E40"/>
  <c r="E37"/>
  <c r="E41"/>
  <c r="E38"/>
  <c r="E42"/>
  <c r="E43"/>
  <c r="E39"/>
  <c r="C66" i="8"/>
  <c r="C43" i="13"/>
  <c r="C37"/>
  <c r="C41"/>
  <c r="C40"/>
  <c r="C39"/>
  <c r="C36"/>
  <c r="C38"/>
  <c r="C42"/>
  <c r="C39" i="11"/>
  <c r="K39"/>
  <c r="J66" i="8"/>
  <c r="J37" i="13"/>
  <c r="J41"/>
  <c r="J38"/>
  <c r="J42"/>
  <c r="J43"/>
  <c r="J39"/>
  <c r="J36"/>
  <c r="J40"/>
  <c r="F66" i="8"/>
  <c r="F37" i="13"/>
  <c r="F41"/>
  <c r="F38"/>
  <c r="F42"/>
  <c r="F43"/>
  <c r="F39"/>
  <c r="F36"/>
  <c r="F40"/>
  <c r="G66" i="8"/>
  <c r="G38" i="13"/>
  <c r="G42"/>
  <c r="G43"/>
  <c r="G39"/>
  <c r="G36"/>
  <c r="G40"/>
  <c r="G37"/>
  <c r="G41"/>
  <c r="N40" i="11"/>
  <c r="M40"/>
  <c r="E39"/>
  <c r="B17" i="12"/>
  <c r="M11" i="11"/>
  <c r="N11"/>
  <c r="M35"/>
  <c r="N35"/>
  <c r="D36"/>
  <c r="N34"/>
  <c r="M34"/>
  <c r="E21"/>
  <c r="E25"/>
  <c r="E13"/>
  <c r="E19" s="1"/>
  <c r="E6"/>
  <c r="G21"/>
  <c r="G25"/>
  <c r="G13"/>
  <c r="G19" s="1"/>
  <c r="G6"/>
  <c r="K21"/>
  <c r="K13"/>
  <c r="K19" s="1"/>
  <c r="K25"/>
  <c r="K6"/>
  <c r="H21"/>
  <c r="H25"/>
  <c r="H13"/>
  <c r="H19" s="1"/>
  <c r="H6"/>
  <c r="I21"/>
  <c r="I25"/>
  <c r="I13"/>
  <c r="I19" s="1"/>
  <c r="I6"/>
  <c r="F6"/>
  <c r="F21"/>
  <c r="F25"/>
  <c r="F13"/>
  <c r="F19" s="1"/>
  <c r="D21"/>
  <c r="D25"/>
  <c r="D13"/>
  <c r="D6"/>
  <c r="C13"/>
  <c r="C19" s="1"/>
  <c r="C27" i="8"/>
  <c r="C25" i="11"/>
  <c r="C21"/>
  <c r="L21"/>
  <c r="L6"/>
  <c r="L13"/>
  <c r="L19" s="1"/>
  <c r="L25"/>
  <c r="J6"/>
  <c r="J21"/>
  <c r="J25"/>
  <c r="J13"/>
  <c r="J19" s="1"/>
  <c r="F19" i="8"/>
  <c r="F12" i="11" s="1"/>
  <c r="F27" i="8"/>
  <c r="D19"/>
  <c r="D12" i="11" s="1"/>
  <c r="D27" i="8"/>
  <c r="C19"/>
  <c r="C12" i="11" s="1"/>
  <c r="L19" i="8"/>
  <c r="L12" i="11" s="1"/>
  <c r="L27" i="8"/>
  <c r="J19"/>
  <c r="J12" i="11" s="1"/>
  <c r="J27" i="8"/>
  <c r="E19"/>
  <c r="E12" i="11" s="1"/>
  <c r="E27" i="8"/>
  <c r="G19"/>
  <c r="G12" i="11" s="1"/>
  <c r="G27" i="8"/>
  <c r="G7" i="11" s="1"/>
  <c r="K19" i="8"/>
  <c r="K12" i="11" s="1"/>
  <c r="K27" i="8"/>
  <c r="K7" i="11" s="1"/>
  <c r="H19" i="8"/>
  <c r="H12" i="11" s="1"/>
  <c r="H27" i="8"/>
  <c r="I19"/>
  <c r="I12" i="11" s="1"/>
  <c r="I27" i="8"/>
  <c r="I7" i="11" s="1"/>
  <c r="I5" i="12" l="1"/>
  <c r="I15" s="1"/>
  <c r="J15" s="1"/>
  <c r="I8"/>
  <c r="I7"/>
  <c r="J7" s="1"/>
  <c r="D16"/>
  <c r="E16" s="1"/>
  <c r="I12"/>
  <c r="J12" s="1"/>
  <c r="I11"/>
  <c r="I14"/>
  <c r="J10"/>
  <c r="I9"/>
  <c r="J14"/>
  <c r="J6"/>
  <c r="N39" i="11"/>
  <c r="M39"/>
  <c r="J8" i="12"/>
  <c r="J5"/>
  <c r="J11"/>
  <c r="J9"/>
  <c r="J13"/>
  <c r="B18"/>
  <c r="D7" i="11"/>
  <c r="M21"/>
  <c r="N21"/>
  <c r="N36"/>
  <c r="M36"/>
  <c r="M25"/>
  <c r="N25"/>
  <c r="D19"/>
  <c r="M13"/>
  <c r="N13"/>
  <c r="M12"/>
  <c r="N12"/>
  <c r="M6"/>
  <c r="N6"/>
  <c r="E7"/>
  <c r="L7"/>
  <c r="H7"/>
  <c r="M7" s="1"/>
  <c r="J7"/>
  <c r="F7"/>
  <c r="C28" i="8"/>
  <c r="C14" i="11" s="1"/>
  <c r="C31" i="8"/>
  <c r="C33"/>
  <c r="C23" i="11" s="1"/>
  <c r="H28" i="8"/>
  <c r="H14" i="11" s="1"/>
  <c r="H33" i="8"/>
  <c r="H31"/>
  <c r="G28"/>
  <c r="G14" i="11" s="1"/>
  <c r="G33" i="8"/>
  <c r="G31"/>
  <c r="J28"/>
  <c r="J14" i="11" s="1"/>
  <c r="J33" i="8"/>
  <c r="J31"/>
  <c r="F28"/>
  <c r="F14" i="11" s="1"/>
  <c r="F33" i="8"/>
  <c r="F31"/>
  <c r="I28"/>
  <c r="I14" i="11" s="1"/>
  <c r="I33" i="8"/>
  <c r="I31"/>
  <c r="K28"/>
  <c r="K14" i="11" s="1"/>
  <c r="K33" i="8"/>
  <c r="K31"/>
  <c r="E28"/>
  <c r="E14" i="11" s="1"/>
  <c r="E31" i="8"/>
  <c r="E33"/>
  <c r="L28"/>
  <c r="L14" i="11" s="1"/>
  <c r="L33" i="8"/>
  <c r="L31"/>
  <c r="D28"/>
  <c r="D14" i="11" s="1"/>
  <c r="D31" i="8"/>
  <c r="D33"/>
  <c r="D17" i="12" l="1"/>
  <c r="E17" s="1"/>
  <c r="I16"/>
  <c r="J16" s="1"/>
  <c r="N7" i="11"/>
  <c r="N19"/>
  <c r="M19"/>
  <c r="N14"/>
  <c r="M14"/>
  <c r="J23"/>
  <c r="J8"/>
  <c r="E23"/>
  <c r="E8"/>
  <c r="G23"/>
  <c r="G8"/>
  <c r="K23"/>
  <c r="K8"/>
  <c r="I23"/>
  <c r="I8"/>
  <c r="H8"/>
  <c r="H23"/>
  <c r="D23"/>
  <c r="D8"/>
  <c r="L23"/>
  <c r="L8"/>
  <c r="F23"/>
  <c r="F8"/>
  <c r="I38" i="8"/>
  <c r="I34"/>
  <c r="I15" i="11" s="1"/>
  <c r="H34" i="8"/>
  <c r="H15" i="11" s="1"/>
  <c r="H38" i="8"/>
  <c r="D38"/>
  <c r="D34"/>
  <c r="D15" i="11" s="1"/>
  <c r="L34" i="8"/>
  <c r="L15" i="11" s="1"/>
  <c r="L38" i="8"/>
  <c r="F38"/>
  <c r="F34"/>
  <c r="F15" i="11" s="1"/>
  <c r="J38" i="8"/>
  <c r="J34"/>
  <c r="J15" i="11" s="1"/>
  <c r="C38" i="8"/>
  <c r="C34"/>
  <c r="C15" i="11" s="1"/>
  <c r="E38" i="8"/>
  <c r="E34"/>
  <c r="E15" i="11" s="1"/>
  <c r="K38" i="8"/>
  <c r="K34"/>
  <c r="K15" i="11" s="1"/>
  <c r="G34" i="8"/>
  <c r="G15" i="11" s="1"/>
  <c r="G38" i="8"/>
  <c r="D18" i="12" l="1"/>
  <c r="E18" s="1"/>
  <c r="I17"/>
  <c r="J17" s="1"/>
  <c r="M23" i="11"/>
  <c r="N23"/>
  <c r="N8"/>
  <c r="M8"/>
  <c r="M15"/>
  <c r="N15"/>
  <c r="C42" i="8"/>
  <c r="C44" s="1"/>
  <c r="C22" i="11" s="1"/>
  <c r="C24" s="1"/>
  <c r="I39" i="8"/>
  <c r="I44"/>
  <c r="I22" i="11" s="1"/>
  <c r="I24" s="1"/>
  <c r="I42" i="8"/>
  <c r="E39"/>
  <c r="E42"/>
  <c r="E44" s="1"/>
  <c r="E22" i="11" s="1"/>
  <c r="E24" s="1"/>
  <c r="K44" i="8"/>
  <c r="K22" i="11" s="1"/>
  <c r="K24" s="1"/>
  <c r="K39" i="8"/>
  <c r="K42"/>
  <c r="F39"/>
  <c r="F42"/>
  <c r="F44" s="1"/>
  <c r="F22" i="11" s="1"/>
  <c r="F24" s="1"/>
  <c r="D39" i="8"/>
  <c r="D42"/>
  <c r="D44" s="1"/>
  <c r="D22" i="11" s="1"/>
  <c r="J44" i="8"/>
  <c r="J22" i="11" s="1"/>
  <c r="J24" s="1"/>
  <c r="J39" i="8"/>
  <c r="J42"/>
  <c r="G44"/>
  <c r="G22" i="11" s="1"/>
  <c r="G24" s="1"/>
  <c r="G39" i="8"/>
  <c r="G42"/>
  <c r="L39"/>
  <c r="L42"/>
  <c r="L44" s="1"/>
  <c r="L22" i="11" s="1"/>
  <c r="L24" s="1"/>
  <c r="H39" i="8"/>
  <c r="H44"/>
  <c r="H22" i="11" s="1"/>
  <c r="H24" s="1"/>
  <c r="H42" i="8"/>
  <c r="I18" i="12" l="1"/>
  <c r="J18" s="1"/>
  <c r="D24" i="11"/>
  <c r="M22"/>
  <c r="N22"/>
  <c r="N24" l="1"/>
  <c r="M24"/>
</calcChain>
</file>

<file path=xl/sharedStrings.xml><?xml version="1.0" encoding="utf-8"?>
<sst xmlns="http://schemas.openxmlformats.org/spreadsheetml/2006/main" count="289" uniqueCount="157">
  <si>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</si>
  <si>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</si>
  <si>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</si>
  <si>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</si>
  <si>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</si>
  <si>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</si>
  <si>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</si>
  <si>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</si>
  <si>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</si>
  <si>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</si>
  <si>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</si>
  <si>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</si>
  <si>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</si>
  <si>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</si>
  <si>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</si>
  <si>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</si>
  <si>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</si>
  <si>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</si>
  <si>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</si>
  <si>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</si>
  <si>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</si>
  <si>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</si>
  <si>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</si>
  <si>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</si>
  <si>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</si>
  <si>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</si>
  <si>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</si>
  <si>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</si>
  <si>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</si>
  <si>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</si>
  <si>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</si>
  <si>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Debtor Days</t>
  </si>
  <si>
    <t>EPS</t>
  </si>
  <si>
    <t>LATEST VERSION</t>
  </si>
  <si>
    <t>CURRENT VERSION</t>
  </si>
  <si>
    <t>TATA MOTORS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</si>
  <si>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</si>
  <si>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</si>
  <si>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</si>
  <si>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</si>
  <si>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</si>
  <si>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</si>
  <si>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</si>
  <si>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</si>
  <si>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</si>
  <si>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</si>
  <si>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</si>
  <si>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</si>
  <si>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</si>
  <si>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</si>
  <si>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</si>
  <si>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</si>
  <si>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</si>
  <si>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</si>
  <si>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</si>
  <si>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</si>
  <si>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</si>
  <si>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</si>
  <si>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Income Statement</t>
  </si>
  <si>
    <t>#</t>
  </si>
  <si>
    <t>COGS</t>
  </si>
  <si>
    <t>COGS % Sales</t>
  </si>
  <si>
    <t>Gross profit</t>
  </si>
  <si>
    <t>Selling and General expenses</t>
  </si>
  <si>
    <t>S&amp;G % Sales</t>
  </si>
  <si>
    <t>EBITDA</t>
  </si>
  <si>
    <t>EBITDA Margins</t>
  </si>
  <si>
    <t>inerest % Sales</t>
  </si>
  <si>
    <t>Depreciation % sales</t>
  </si>
  <si>
    <t>Gross profit Margins</t>
  </si>
  <si>
    <t>Earnings Before Tax</t>
  </si>
  <si>
    <t>EBT % Sales</t>
  </si>
  <si>
    <t>Effective Tax Rate</t>
  </si>
  <si>
    <t>Net Profit</t>
  </si>
  <si>
    <t>Net Margins</t>
  </si>
  <si>
    <t>No.of Equity shares</t>
  </si>
  <si>
    <t>EPS Growth%</t>
  </si>
  <si>
    <t>Dividend per Share</t>
  </si>
  <si>
    <t>Dividend payout ratio</t>
  </si>
  <si>
    <t>Retained Earnings</t>
  </si>
  <si>
    <t>Balancesheet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</si>
  <si>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</si>
  <si>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</si>
  <si>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</si>
  <si>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</si>
  <si>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</si>
  <si>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</si>
  <si>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</si>
  <si>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</si>
  <si>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</si>
  <si>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</si>
  <si>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</si>
  <si>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</si>
  <si>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</si>
  <si>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</si>
  <si>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</si>
  <si>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</si>
  <si>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</si>
  <si>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</si>
  <si>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</si>
  <si>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</si>
  <si>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</si>
  <si>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</si>
  <si>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</si>
  <si>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</si>
  <si>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</si>
  <si>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</si>
  <si>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</si>
  <si>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</si>
  <si>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</si>
  <si>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</si>
  <si>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</si>
  <si>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</si>
  <si>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</si>
  <si>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</si>
  <si>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</si>
  <si>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Operating Activities</t>
  </si>
  <si>
    <t>Cash from Operating Activities</t>
  </si>
  <si>
    <t>Investing Activities</t>
  </si>
  <si>
    <t>Cash from Investing Activities</t>
  </si>
  <si>
    <t>Financing Activities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</si>
  <si>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</si>
  <si>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</si>
  <si>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</si>
  <si>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</si>
  <si>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</si>
  <si>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</si>
  <si>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</si>
  <si>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Net Profit Margin</t>
  </si>
  <si>
    <t>SalesExpenses%Sales</t>
  </si>
  <si>
    <t>Deprecition%Sales</t>
  </si>
  <si>
    <t>Return on Capital Employed</t>
  </si>
  <si>
    <t>Retained Earnings%</t>
  </si>
  <si>
    <t>Return on Equity%</t>
  </si>
  <si>
    <t>Self  Sustained Growth Rate</t>
  </si>
  <si>
    <t>OperatingIncome%Sales</t>
  </si>
  <si>
    <t xml:space="preserve">Interest Coverage </t>
  </si>
  <si>
    <t>EBT Margin</t>
  </si>
  <si>
    <t>Debtor Turnover Ratio</t>
  </si>
  <si>
    <t>Creditor Turnover Ratio</t>
  </si>
  <si>
    <t>Inventory Turnover Ratio</t>
  </si>
  <si>
    <t>Fixed Asset Turnover Ratio</t>
  </si>
  <si>
    <t>Capital Turnover Ratio</t>
  </si>
  <si>
    <t>Payable Days</t>
  </si>
  <si>
    <t>Cash conversion Cycle</t>
  </si>
  <si>
    <t>Inventory Days</t>
  </si>
  <si>
    <t>CFO/Sales</t>
  </si>
  <si>
    <t>CFO/Total Assets</t>
  </si>
  <si>
    <t>CFO/Total Debt</t>
  </si>
  <si>
    <t>Mean</t>
  </si>
  <si>
    <t>Meadian</t>
  </si>
  <si>
    <t>Year Weight</t>
  </si>
  <si>
    <t>Year</t>
  </si>
  <si>
    <t>TATA MOTORS LTD - EBITDA Forcasting</t>
  </si>
  <si>
    <t>TATA MOTORS LTD - Sales Forcasting</t>
  </si>
  <si>
    <t>Particulars</t>
  </si>
  <si>
    <t>Common Size Statement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</si>
</sst>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0;\(&quot;₹&quot;\ #,##0.00\);\-"/>
    <numFmt numFmtId="168" formatCode="0.00&quot;x&quot;"/>
    <numFmt numFmtId="169" formatCode="0&quot;A&quot;"/>
    <numFmt numFmtId="170" formatCode="0&quot;E&quot;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99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0" fontId="1" fillId="0" borderId="0" xfId="0" applyFont="1" applyBorder="1"/>
    <xf numFmtId="43" fontId="3" fillId="0" borderId="0" xfId="1" applyFont="1" applyBorder="1"/>
    <xf numFmtId="0" fontId="0" fillId="0" borderId="0" xfId="0" applyBorder="1"/>
    <xf numFmtId="165" fontId="2" fillId="3" borderId="0" xfId="0" applyNumberFormat="1" applyFont="1" applyFill="1" applyBorder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5" fillId="4" borderId="0" xfId="0" applyFont="1" applyFill="1"/>
    <xf numFmtId="17" fontId="5" fillId="4" borderId="0" xfId="0" applyNumberFormat="1" applyFont="1" applyFill="1"/>
    <xf numFmtId="17" fontId="5" fillId="4" borderId="0" xfId="0" applyNumberFormat="1" applyFont="1" applyFill="1" applyAlignment="1">
      <alignment horizontal="right"/>
    </xf>
    <xf numFmtId="166" fontId="0" fillId="0" borderId="0" xfId="0" applyNumberFormat="1"/>
    <xf numFmtId="10" fontId="0" fillId="0" borderId="0" xfId="4" applyNumberFormat="1" applyFont="1"/>
    <xf numFmtId="0" fontId="7" fillId="0" borderId="0" xfId="0" applyFont="1"/>
    <xf numFmtId="10" fontId="7" fillId="0" borderId="0" xfId="4" applyNumberFormat="1" applyFont="1"/>
    <xf numFmtId="10" fontId="8" fillId="0" borderId="0" xfId="4" applyNumberFormat="1" applyFont="1"/>
    <xf numFmtId="0" fontId="8" fillId="0" borderId="0" xfId="0" applyFont="1"/>
    <xf numFmtId="10" fontId="8" fillId="0" borderId="0" xfId="0" applyNumberFormat="1" applyFont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167" fontId="0" fillId="0" borderId="0" xfId="0" applyNumberFormat="1"/>
    <xf numFmtId="10" fontId="0" fillId="0" borderId="0" xfId="0" applyNumberFormat="1"/>
    <xf numFmtId="0" fontId="9" fillId="0" borderId="0" xfId="0" applyFont="1"/>
    <xf numFmtId="0" fontId="1" fillId="0" borderId="0" xfId="0" applyFont="1"/>
    <xf numFmtId="0" fontId="1" fillId="7" borderId="0" xfId="0" applyFont="1" applyFill="1"/>
    <xf numFmtId="0" fontId="0" fillId="7" borderId="0" xfId="0" applyFill="1"/>
    <xf numFmtId="17" fontId="0" fillId="0" borderId="0" xfId="0" applyNumberFormat="1"/>
    <xf numFmtId="3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/>
    <xf numFmtId="166" fontId="0" fillId="0" borderId="1" xfId="0" applyNumberFormat="1" applyBorder="1"/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1" fillId="0" borderId="2" xfId="0" applyFont="1" applyBorder="1"/>
    <xf numFmtId="166" fontId="1" fillId="0" borderId="2" xfId="0" applyNumberFormat="1" applyFont="1" applyBorder="1"/>
    <xf numFmtId="0" fontId="0" fillId="0" borderId="3" xfId="0" applyBorder="1"/>
    <xf numFmtId="10" fontId="0" fillId="0" borderId="3" xfId="0" applyNumberFormat="1" applyBorder="1"/>
    <xf numFmtId="10" fontId="0" fillId="0" borderId="0" xfId="0" applyNumberFormat="1" applyBorder="1"/>
    <xf numFmtId="0" fontId="0" fillId="0" borderId="4" xfId="0" applyBorder="1"/>
    <xf numFmtId="10" fontId="0" fillId="0" borderId="4" xfId="0" applyNumberFormat="1" applyBorder="1"/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10" fontId="0" fillId="0" borderId="6" xfId="0" applyNumberFormat="1" applyBorder="1"/>
    <xf numFmtId="168" fontId="0" fillId="0" borderId="6" xfId="0" applyNumberFormat="1" applyBorder="1"/>
    <xf numFmtId="168" fontId="0" fillId="0" borderId="5" xfId="0" applyNumberFormat="1" applyBorder="1"/>
    <xf numFmtId="168" fontId="0" fillId="0" borderId="0" xfId="0" applyNumberForma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6" xfId="0" applyNumberFormat="1" applyBorder="1"/>
    <xf numFmtId="10" fontId="0" fillId="0" borderId="5" xfId="4" applyNumberFormat="1" applyFont="1" applyBorder="1"/>
    <xf numFmtId="10" fontId="0" fillId="0" borderId="0" xfId="4" applyNumberFormat="1" applyFont="1" applyBorder="1"/>
    <xf numFmtId="10" fontId="0" fillId="0" borderId="6" xfId="4" applyNumberFormat="1" applyFont="1" applyBorder="1"/>
    <xf numFmtId="168" fontId="0" fillId="0" borderId="6" xfId="4" applyNumberFormat="1" applyFont="1" applyBorder="1"/>
    <xf numFmtId="168" fontId="0" fillId="0" borderId="5" xfId="4" applyNumberFormat="1" applyFont="1" applyBorder="1"/>
    <xf numFmtId="168" fontId="0" fillId="0" borderId="0" xfId="4" applyNumberFormat="1" applyFont="1" applyBorder="1"/>
    <xf numFmtId="1" fontId="0" fillId="0" borderId="5" xfId="4" applyNumberFormat="1" applyFont="1" applyBorder="1"/>
    <xf numFmtId="1" fontId="0" fillId="0" borderId="0" xfId="4" applyNumberFormat="1" applyFont="1" applyBorder="1"/>
    <xf numFmtId="1" fontId="0" fillId="0" borderId="6" xfId="4" applyNumberFormat="1" applyFont="1" applyBorder="1"/>
    <xf numFmtId="169" fontId="0" fillId="0" borderId="0" xfId="0" applyNumberFormat="1"/>
    <xf numFmtId="169" fontId="5" fillId="4" borderId="0" xfId="0" applyNumberFormat="1" applyFont="1" applyFill="1"/>
    <xf numFmtId="0" fontId="0" fillId="0" borderId="0" xfId="0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170" fontId="0" fillId="7" borderId="0" xfId="0" applyNumberFormat="1" applyFill="1"/>
    <xf numFmtId="2" fontId="0" fillId="7" borderId="0" xfId="0" applyNumberFormat="1" applyFill="1"/>
    <xf numFmtId="10" fontId="0" fillId="7" borderId="0" xfId="0" applyNumberFormat="1" applyFill="1"/>
    <xf numFmtId="17" fontId="1" fillId="0" borderId="0" xfId="0" applyNumberFormat="1" applyFont="1"/>
    <xf numFmtId="43" fontId="0" fillId="0" borderId="0" xfId="0" applyNumberFormat="1"/>
    <xf numFmtId="10" fontId="1" fillId="0" borderId="0" xfId="0" applyNumberFormat="1" applyFont="1"/>
    <xf numFmtId="0" fontId="1" fillId="0" borderId="7" xfId="0" applyFont="1" applyBorder="1"/>
    <xf numFmtId="17" fontId="1" fillId="0" borderId="7" xfId="0" applyNumberFormat="1" applyFont="1" applyBorder="1"/>
    <xf numFmtId="17" fontId="1" fillId="0" borderId="0" xfId="0" applyNumberFormat="1" applyFont="1" applyBorder="1"/>
    <xf numFmtId="0" fontId="5" fillId="6" borderId="0" xfId="0" applyFont="1" applyFill="1" applyAlignment="1">
      <alignment horizontal="center"/>
    </xf>
    <xf numFmtId="0" fontId="0" fillId="6" borderId="0" xfId="0" applyFill="1"/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167" fontId="1" fillId="0" borderId="2" xfId="0" applyNumberFormat="1" applyFont="1" applyBorder="1"/>
    <xf numFmtId="0" fontId="0" fillId="0" borderId="0" xfId="0" applyAlignment="1">
      <alignment horizontal="center"/>
    </xf>
    <xf numFmtId="0" fontId="10" fillId="6" borderId="0" xfId="0" applyFont="1" applyFill="1" applyAlignment="1">
      <alignment horizontal="center"/>
    </xf>
    <xf numFmtId="43" fontId="1" fillId="0" borderId="8" xfId="0" applyNumberFormat="1" applyFont="1" applyBorder="1"/>
    <xf numFmtId="10" fontId="1" fillId="0" borderId="8" xfId="0" applyNumberFormat="1" applyFont="1" applyBorder="1"/>
    <xf numFmtId="43" fontId="0" fillId="0" borderId="9" xfId="0" applyNumberFormat="1" applyBorder="1"/>
    <xf numFmtId="10" fontId="0" fillId="0" borderId="9" xfId="0" applyNumberFormat="1" applyBorder="1"/>
    <xf numFmtId="10" fontId="0" fillId="0" borderId="9" xfId="0" applyNumberFormat="1" applyFont="1" applyBorder="1"/>
    <xf numFmtId="43" fontId="1" fillId="0" borderId="2" xfId="0" applyNumberFormat="1" applyFont="1" applyBorder="1"/>
    <xf numFmtId="10" fontId="1" fillId="0" borderId="2" xfId="0" applyNumberFormat="1" applyFont="1" applyBorder="1"/>
    <xf numFmtId="43" fontId="0" fillId="0" borderId="2" xfId="0" applyNumberFormat="1" applyBorder="1"/>
    <xf numFmtId="10" fontId="0" fillId="0" borderId="2" xfId="0" applyNumberFormat="1" applyBorder="1"/>
    <xf numFmtId="10" fontId="0" fillId="0" borderId="2" xfId="0" applyNumberFormat="1" applyFont="1" applyBorder="1"/>
    <xf numFmtId="0" fontId="11" fillId="8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2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>
        <c:manualLayout>
          <c:layoutTarget val="inner"/>
          <c:xMode val="edge"/>
          <c:yMode val="edge"/>
          <c:x val="0.17214125020086776"/>
          <c:y val="6.0185185185185182E-2"/>
          <c:w val="0.80668797871655684"/>
          <c:h val="0.84859835228929714"/>
        </c:manualLayout>
      </c:layout>
      <c:barChart>
        <c:barDir val="col"/>
        <c:grouping val="stacked"/>
        <c:ser>
          <c:idx val="0"/>
          <c:order val="0"/>
          <c:tx>
            <c:strRef>
              <c:f>Forcasting!$C$2:$C$3</c:f>
              <c:strCache>
                <c:ptCount val="1"/>
                <c:pt idx="0">
                  <c:v>TATA MOTORS LTD - Sales Forcasting Year</c:v>
                </c:pt>
              </c:strCache>
            </c:strRef>
          </c:tx>
          <c:cat>
            <c:numRef>
              <c:f>Forcasting!$C$4:$C$18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cat>
          <c:val>
            <c:numRef>
              <c:f>Forcasting!$C$4:$C$18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val>
        </c:ser>
        <c:ser>
          <c:idx val="1"/>
          <c:order val="1"/>
          <c:tx>
            <c:strRef>
              <c:f>Forcasting!$D$2:$D$3</c:f>
              <c:strCache>
                <c:ptCount val="1"/>
                <c:pt idx="0">
                  <c:v>TATA MOTORS LTD - Sales Forcasting Sales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</c:spPr>
          <c:cat>
            <c:numRef>
              <c:f>Forcasting!$C$4:$C$18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cat>
          <c:val>
            <c:numRef>
              <c:f>Forcasting!$D$4:$D$18</c:f>
              <c:numCache>
                <c:formatCode>0.00</c:formatCode>
                <c:ptCount val="15"/>
                <c:pt idx="0">
                  <c:v>263158.98</c:v>
                </c:pt>
                <c:pt idx="1">
                  <c:v>273045.59999999998</c:v>
                </c:pt>
                <c:pt idx="2">
                  <c:v>269692.51</c:v>
                </c:pt>
                <c:pt idx="3">
                  <c:v>291550.48</c:v>
                </c:pt>
                <c:pt idx="4">
                  <c:v>301938.40000000002</c:v>
                </c:pt>
                <c:pt idx="5">
                  <c:v>261067.97</c:v>
                </c:pt>
                <c:pt idx="6">
                  <c:v>249794.75</c:v>
                </c:pt>
                <c:pt idx="7">
                  <c:v>278453.62</c:v>
                </c:pt>
                <c:pt idx="8">
                  <c:v>345966.97</c:v>
                </c:pt>
                <c:pt idx="9">
                  <c:v>437927.77</c:v>
                </c:pt>
                <c:pt idx="10">
                  <c:v>362627.59266666661</c:v>
                </c:pt>
                <c:pt idx="11">
                  <c:v>379681.22106666665</c:v>
                </c:pt>
                <c:pt idx="12">
                  <c:v>399561.49198222219</c:v>
                </c:pt>
                <c:pt idx="13">
                  <c:v>419390.67252622219</c:v>
                </c:pt>
                <c:pt idx="14">
                  <c:v>444322.38515567401</c:v>
                </c:pt>
              </c:numCache>
            </c:numRef>
          </c:val>
        </c:ser>
        <c:ser>
          <c:idx val="2"/>
          <c:order val="2"/>
          <c:tx>
            <c:strRef>
              <c:f>Forcasting!$E$2:$E$3</c:f>
              <c:strCache>
                <c:ptCount val="1"/>
                <c:pt idx="0">
                  <c:v>TATA MOTORS LTD - Sales Forcasting Sales Growth</c:v>
                </c:pt>
              </c:strCache>
            </c:strRef>
          </c:tx>
          <c:cat>
            <c:numRef>
              <c:f>Forcasting!$C$4:$C$18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cat>
          <c:val>
            <c:numRef>
              <c:f>Forcasting!$E$4:$E$18</c:f>
              <c:numCache>
                <c:formatCode>0.00%</c:formatCode>
                <c:ptCount val="15"/>
                <c:pt idx="1">
                  <c:v>3.75690010654397E-2</c:v>
                </c:pt>
                <c:pt idx="2">
                  <c:v>-1.2280329732469508E-2</c:v>
                </c:pt>
                <c:pt idx="3">
                  <c:v>8.104774581985974E-2</c:v>
                </c:pt>
                <c:pt idx="4">
                  <c:v>3.5629919045237157E-2</c:v>
                </c:pt>
                <c:pt idx="5">
                  <c:v>-0.135360159555724</c:v>
                </c:pt>
                <c:pt idx="6">
                  <c:v>-4.3181168490336042E-2</c:v>
                </c:pt>
                <c:pt idx="7">
                  <c:v>0.11472967306158344</c:v>
                </c:pt>
                <c:pt idx="8">
                  <c:v>0.24245815155859707</c:v>
                </c:pt>
                <c:pt idx="9">
                  <c:v>0.26580803363974326</c:v>
                </c:pt>
                <c:pt idx="10">
                  <c:v>-0.17194656857073354</c:v>
                </c:pt>
                <c:pt idx="11">
                  <c:v>4.7027939254683293E-2</c:v>
                </c:pt>
                <c:pt idx="12">
                  <c:v>5.2360427149134248E-2</c:v>
                </c:pt>
                <c:pt idx="13">
                  <c:v>4.9627356344145168E-2</c:v>
                </c:pt>
                <c:pt idx="14">
                  <c:v>5.9447465722769488E-2</c:v>
                </c:pt>
              </c:numCache>
            </c:numRef>
          </c:val>
        </c:ser>
        <c:overlap val="100"/>
        <c:axId val="84308352"/>
        <c:axId val="84309888"/>
      </c:barChart>
      <c:catAx>
        <c:axId val="84308352"/>
        <c:scaling>
          <c:orientation val="minMax"/>
        </c:scaling>
        <c:axPos val="b"/>
        <c:numFmt formatCode="0&quot;A&quot;" sourceLinked="1"/>
        <c:tickLblPos val="nextTo"/>
        <c:crossAx val="84309888"/>
        <c:crossesAt val="0"/>
        <c:auto val="1"/>
        <c:lblAlgn val="ctr"/>
        <c:lblOffset val="100"/>
      </c:catAx>
      <c:valAx>
        <c:axId val="84309888"/>
        <c:scaling>
          <c:orientation val="minMax"/>
          <c:max val="500000"/>
          <c:min val="-50000"/>
        </c:scaling>
        <c:axPos val="l"/>
        <c:numFmt formatCode="0" sourceLinked="0"/>
        <c:tickLblPos val="nextTo"/>
        <c:crossAx val="84308352"/>
        <c:crosses val="autoZero"/>
        <c:crossBetween val="between"/>
        <c:majorUnit val="50000"/>
        <c:minorUnit val="10000"/>
      </c:valAx>
    </c:plotArea>
    <c:plotVisOnly val="1"/>
  </c:chart>
  <c:spPr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884951881014873"/>
          <c:y val="2.8252405949256341E-2"/>
          <c:w val="0.84670603674540679"/>
          <c:h val="0.8769987605715952"/>
        </c:manualLayout>
      </c:layout>
      <c:barChart>
        <c:barDir val="col"/>
        <c:grouping val="clustered"/>
        <c:ser>
          <c:idx val="0"/>
          <c:order val="0"/>
          <c:tx>
            <c:strRef>
              <c:f>Forcasting!$G$2:$G$3</c:f>
              <c:strCache>
                <c:ptCount val="1"/>
                <c:pt idx="0">
                  <c:v>TATA MOTORS LTD - EBITDA Forcasting Year Weight</c:v>
                </c:pt>
              </c:strCache>
            </c:strRef>
          </c:tx>
          <c:cat>
            <c:numRef>
              <c:f>Forcasting!$H$4:$H$18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cat>
          <c:val>
            <c:numRef>
              <c:f>Forcasting!$G$4:$G$18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</c:ser>
        <c:ser>
          <c:idx val="2"/>
          <c:order val="1"/>
          <c:tx>
            <c:strRef>
              <c:f>Forcasting!$I$2:$I$3</c:f>
              <c:strCache>
                <c:ptCount val="1"/>
                <c:pt idx="0">
                  <c:v>TATA MOTORS LTD - EBITDA Forcasting EBITDA</c:v>
                </c:pt>
              </c:strCache>
            </c:strRef>
          </c:tx>
          <c:spPr>
            <a:solidFill>
              <a:srgbClr val="474B78">
                <a:lumMod val="50000"/>
                <a:alpha val="95000"/>
              </a:srgbClr>
            </a:solidFill>
          </c:spPr>
          <c:cat>
            <c:numRef>
              <c:f>Forcasting!$H$4:$H$18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cat>
          <c:val>
            <c:numRef>
              <c:f>Forcasting!$I$4:$I$18</c:f>
              <c:numCache>
                <c:formatCode>0.00</c:formatCode>
                <c:ptCount val="15"/>
                <c:pt idx="0">
                  <c:v>39238.64999999998</c:v>
                </c:pt>
                <c:pt idx="1">
                  <c:v>38395.249999999971</c:v>
                </c:pt>
                <c:pt idx="2">
                  <c:v>29588.690000000046</c:v>
                </c:pt>
                <c:pt idx="3">
                  <c:v>31457.679999999993</c:v>
                </c:pt>
                <c:pt idx="4">
                  <c:v>24664.330000000024</c:v>
                </c:pt>
                <c:pt idx="5">
                  <c:v>17987.069999999963</c:v>
                </c:pt>
                <c:pt idx="6">
                  <c:v>32287.429999999989</c:v>
                </c:pt>
                <c:pt idx="7">
                  <c:v>24720.090000000015</c:v>
                </c:pt>
                <c:pt idx="8">
                  <c:v>31815.799999999959</c:v>
                </c:pt>
                <c:pt idx="9">
                  <c:v>59538.34000000004</c:v>
                </c:pt>
                <c:pt idx="10">
                  <c:v>36573.001333333334</c:v>
                </c:pt>
                <c:pt idx="11">
                  <c:v>39686.286533333339</c:v>
                </c:pt>
                <c:pt idx="12">
                  <c:v>43997.689057777774</c:v>
                </c:pt>
                <c:pt idx="13">
                  <c:v>47599.167489777778</c:v>
                </c:pt>
                <c:pt idx="14">
                  <c:v>52179.034690725923</c:v>
                </c:pt>
              </c:numCache>
            </c:numRef>
          </c:val>
        </c:ser>
        <c:ser>
          <c:idx val="3"/>
          <c:order val="2"/>
          <c:tx>
            <c:strRef>
              <c:f>Forcasting!$J$2:$J$3</c:f>
              <c:strCache>
                <c:ptCount val="1"/>
                <c:pt idx="0">
                  <c:v>TATA MOTORS LTD - EBITDA Forcasting EBITDA Growth</c:v>
                </c:pt>
              </c:strCache>
            </c:strRef>
          </c:tx>
          <c:cat>
            <c:numRef>
              <c:f>Forcasting!$H$4:$H$18</c:f>
              <c:numCache>
                <c:formatCode>0"A"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0&quot;E&quot;">
                  <c:v>2025</c:v>
                </c:pt>
                <c:pt idx="11" formatCode="0&quot;E&quot;">
                  <c:v>2026</c:v>
                </c:pt>
                <c:pt idx="12" formatCode="0&quot;E&quot;">
                  <c:v>2027</c:v>
                </c:pt>
                <c:pt idx="13" formatCode="0&quot;E&quot;">
                  <c:v>2028</c:v>
                </c:pt>
                <c:pt idx="14" formatCode="0&quot;E&quot;">
                  <c:v>2029</c:v>
                </c:pt>
              </c:numCache>
            </c:numRef>
          </c:cat>
          <c:val>
            <c:numRef>
              <c:f>Forcasting!$J$4:$J$18</c:f>
              <c:numCache>
                <c:formatCode>0.00%</c:formatCode>
                <c:ptCount val="15"/>
                <c:pt idx="1">
                  <c:v>-2.1494113584437979E-2</c:v>
                </c:pt>
                <c:pt idx="2">
                  <c:v>-0.22936587208052905</c:v>
                </c:pt>
                <c:pt idx="3">
                  <c:v>6.3165689322506102E-2</c:v>
                </c:pt>
                <c:pt idx="4">
                  <c:v>-0.21595203460649259</c:v>
                </c:pt>
                <c:pt idx="5">
                  <c:v>-0.27072537547138131</c:v>
                </c:pt>
                <c:pt idx="6">
                  <c:v>0.79503554497758966</c:v>
                </c:pt>
                <c:pt idx="7">
                  <c:v>-0.234374182150762</c:v>
                </c:pt>
                <c:pt idx="8">
                  <c:v>0.28704223973294352</c:v>
                </c:pt>
                <c:pt idx="9">
                  <c:v>0.87134505497269021</c:v>
                </c:pt>
                <c:pt idx="10">
                  <c:v>-0.38572352985767977</c:v>
                </c:pt>
                <c:pt idx="11">
                  <c:v>8.5125231359191034E-2</c:v>
                </c:pt>
                <c:pt idx="12">
                  <c:v>0.10863708603280875</c:v>
                </c:pt>
                <c:pt idx="13">
                  <c:v>8.1856081742623932E-2</c:v>
                </c:pt>
                <c:pt idx="14">
                  <c:v>9.6217380313042167E-2</c:v>
                </c:pt>
              </c:numCache>
            </c:numRef>
          </c:val>
        </c:ser>
        <c:overlap val="100"/>
        <c:axId val="140665984"/>
        <c:axId val="140667520"/>
      </c:barChart>
      <c:catAx>
        <c:axId val="140665984"/>
        <c:scaling>
          <c:orientation val="minMax"/>
        </c:scaling>
        <c:axPos val="b"/>
        <c:numFmt formatCode="0&quot;A&quot;" sourceLinked="1"/>
        <c:tickLblPos val="nextTo"/>
        <c:crossAx val="140667520"/>
        <c:crosses val="autoZero"/>
        <c:auto val="1"/>
        <c:lblAlgn val="ctr"/>
        <c:lblOffset val="100"/>
      </c:catAx>
      <c:valAx>
        <c:axId val="140667520"/>
        <c:scaling>
          <c:orientation val="minMax"/>
        </c:scaling>
        <c:axPos val="l"/>
        <c:numFmt formatCode="General" sourceLinked="1"/>
        <c:tickLblPos val="nextTo"/>
        <c:crossAx val="140665984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24</xdr:row>
      <xdr:rowOff>0</xdr:rowOff>
    </xdr:from>
    <xdr:to>
      <xdr:col>5</xdr:col>
      <xdr:colOff>247650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24</xdr:row>
      <xdr:rowOff>9525</xdr:rowOff>
    </xdr:from>
    <xdr:to>
      <xdr:col>10</xdr:col>
      <xdr:colOff>161925</xdr:colOff>
      <xdr:row>38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2:N100"/>
  <sheetViews>
    <sheetView showGridLines="0" tabSelected="1" zoomScaleNormal="100" workbookViewId="0">
      <selection activeCell="O9" sqref="O9"/>
    </sheetView>
  </sheetViews>
  <sheetFormatPr defaultRowHeight="15"/>
  <cols>
    <col min="1" max="1" width="1.85546875" customWidth="1"/>
    <col min="2" max="2" width="27.5703125" bestFit="1" customWidth="1"/>
    <col min="3" max="12" width="12.28515625" bestFit="1" customWidth="1"/>
  </cols>
  <sheetData>
    <row r="2" spans="1:14">
      <c r="B2" s="82" t="str">
        <f>"Historical Financial Statement - "&amp;'Data Sheet'!B1</f>
        <v>Historical Financial Statement - TATA MOTORS LTD</v>
      </c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4">
      <c r="B3" s="10" t="s">
        <v>57</v>
      </c>
      <c r="C3" s="11">
        <f>'Data Sheet'!B16</f>
        <v>42094</v>
      </c>
      <c r="D3" s="11">
        <f>'Data Sheet'!C16</f>
        <v>42460</v>
      </c>
      <c r="E3" s="11">
        <f>'Data Sheet'!D16</f>
        <v>42825</v>
      </c>
      <c r="F3" s="11">
        <f>'Data Sheet'!E16</f>
        <v>43190</v>
      </c>
      <c r="G3" s="11">
        <f>'Data Sheet'!F16</f>
        <v>43555</v>
      </c>
      <c r="H3" s="11">
        <f>'Data Sheet'!G16</f>
        <v>43921</v>
      </c>
      <c r="I3" s="11">
        <f>'Data Sheet'!H16</f>
        <v>44286</v>
      </c>
      <c r="J3" s="11">
        <f>'Data Sheet'!I16</f>
        <v>44651</v>
      </c>
      <c r="K3" s="11">
        <f>'Data Sheet'!J16</f>
        <v>45016</v>
      </c>
      <c r="L3" s="11">
        <f>'Data Sheet'!K16</f>
        <v>45382</v>
      </c>
    </row>
    <row r="5" spans="1:14">
      <c r="A5" s="22" t="s">
        <v>59</v>
      </c>
      <c r="B5" s="20" t="s">
        <v>58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4">
      <c r="B6" t="s">
        <v>1</v>
      </c>
      <c r="C6" s="13">
        <f>IFERROR('Data Sheet'!B17,0)</f>
        <v>263158.98</v>
      </c>
      <c r="D6" s="13">
        <f>IFERROR('Data Sheet'!C17,0)</f>
        <v>273045.59999999998</v>
      </c>
      <c r="E6" s="13">
        <f>IFERROR('Data Sheet'!D17,0)</f>
        <v>269692.51</v>
      </c>
      <c r="F6" s="13">
        <f>IFERROR('Data Sheet'!E17,0)</f>
        <v>291550.48</v>
      </c>
      <c r="G6" s="13">
        <f>IFERROR('Data Sheet'!F17,0)</f>
        <v>301938.40000000002</v>
      </c>
      <c r="H6" s="13">
        <f>IFERROR('Data Sheet'!G17,0)</f>
        <v>261067.97</v>
      </c>
      <c r="I6" s="13">
        <f>IFERROR('Data Sheet'!H17,0)</f>
        <v>249794.75</v>
      </c>
      <c r="J6" s="13">
        <f>IFERROR('Data Sheet'!I17,0)</f>
        <v>278453.62</v>
      </c>
      <c r="K6" s="13">
        <f>IFERROR('Data Sheet'!J17,0)</f>
        <v>345966.97</v>
      </c>
      <c r="L6" s="13">
        <f>IFERROR('Data Sheet'!K17,0)</f>
        <v>437927.77</v>
      </c>
    </row>
    <row r="7" spans="1:14">
      <c r="B7" s="15" t="s">
        <v>10</v>
      </c>
      <c r="C7" s="15"/>
      <c r="D7" s="16">
        <f>D6/C6-1</f>
        <v>3.75690010654397E-2</v>
      </c>
      <c r="E7" s="16">
        <f t="shared" ref="E7:K7" si="0">E6/D6-1</f>
        <v>-1.2280329732469508E-2</v>
      </c>
      <c r="F7" s="16">
        <f t="shared" si="0"/>
        <v>8.104774581985974E-2</v>
      </c>
      <c r="G7" s="16">
        <f t="shared" si="0"/>
        <v>3.5629919045237157E-2</v>
      </c>
      <c r="H7" s="16">
        <f t="shared" si="0"/>
        <v>-0.135360159555724</v>
      </c>
      <c r="I7" s="16">
        <f t="shared" si="0"/>
        <v>-4.3181168490336042E-2</v>
      </c>
      <c r="J7" s="16">
        <f t="shared" si="0"/>
        <v>0.11472967306158344</v>
      </c>
      <c r="K7" s="16">
        <f t="shared" si="0"/>
        <v>0.24245815155859707</v>
      </c>
      <c r="L7" s="16">
        <f>L6/K6-1</f>
        <v>0.26580803363974326</v>
      </c>
    </row>
    <row r="9" spans="1:14">
      <c r="B9" t="s">
        <v>60</v>
      </c>
      <c r="C9" s="13">
        <f>IFERROR(SUM('Data Sheet'!B18,'Data Sheet'!B20,'Data Sheet'!B21,'Data Sheet'!B22,-1*'Data Sheet'!B19),0)</f>
        <v>202856.88</v>
      </c>
      <c r="D9" s="13">
        <f>IFERROR(SUM('Data Sheet'!C18,'Data Sheet'!C20,'Data Sheet'!C21,'Data Sheet'!C22,-1*'Data Sheet'!C19),0)</f>
        <v>205509.07</v>
      </c>
      <c r="E9" s="13">
        <f>IFERROR(SUM('Data Sheet'!D18,'Data Sheet'!D20,'Data Sheet'!D21,'Data Sheet'!D22,-1*'Data Sheet'!D19),0)</f>
        <v>205454.23999999996</v>
      </c>
      <c r="F9" s="13">
        <f>IFERROR(SUM('Data Sheet'!E18,'Data Sheet'!E20,'Data Sheet'!E21,'Data Sheet'!E22,-1*'Data Sheet'!E19),0)</f>
        <v>228429.83</v>
      </c>
      <c r="G9" s="13">
        <f>IFERROR(SUM('Data Sheet'!F18,'Data Sheet'!F20,'Data Sheet'!F21,'Data Sheet'!F22,-1*'Data Sheet'!F19),0)</f>
        <v>242845.53</v>
      </c>
      <c r="H9" s="13">
        <f>IFERROR(SUM('Data Sheet'!G18,'Data Sheet'!G20,'Data Sheet'!G21,'Data Sheet'!G22,-1*'Data Sheet'!G19),0)</f>
        <v>210376.07000000004</v>
      </c>
      <c r="I9" s="13">
        <f>IFERROR(SUM('Data Sheet'!H18,'Data Sheet'!H20,'Data Sheet'!H21,'Data Sheet'!H22,-1*'Data Sheet'!H19),0)</f>
        <v>195326.04</v>
      </c>
      <c r="J9" s="13">
        <f>IFERROR(SUM('Data Sheet'!I18,'Data Sheet'!I20,'Data Sheet'!I21,'Data Sheet'!I22,-1*'Data Sheet'!I19),0)</f>
        <v>223300.00999999998</v>
      </c>
      <c r="K9" s="13">
        <f>IFERROR(SUM('Data Sheet'!J18,'Data Sheet'!J20,'Data Sheet'!J21,'Data Sheet'!J22,-1*'Data Sheet'!J19),0)</f>
        <v>274403.64</v>
      </c>
      <c r="L9" s="13">
        <f>IFERROR(SUM('Data Sheet'!K18,'Data Sheet'!K20,'Data Sheet'!K21,'Data Sheet'!K22,-1*'Data Sheet'!K19),0)</f>
        <v>334551.78999999998</v>
      </c>
    </row>
    <row r="10" spans="1:14">
      <c r="B10" s="15" t="s">
        <v>61</v>
      </c>
      <c r="C10" s="17">
        <f>C9/C6</f>
        <v>0.77085296500237244</v>
      </c>
      <c r="D10" s="17">
        <f t="shared" ref="D10:J10" si="1">D9/D6</f>
        <v>0.75265475803309057</v>
      </c>
      <c r="E10" s="17">
        <f t="shared" si="1"/>
        <v>0.76180921746770036</v>
      </c>
      <c r="F10" s="17">
        <f t="shared" si="1"/>
        <v>0.78350009919380004</v>
      </c>
      <c r="G10" s="17">
        <f t="shared" si="1"/>
        <v>0.80428832503583503</v>
      </c>
      <c r="H10" s="17">
        <f t="shared" si="1"/>
        <v>0.80582872728508226</v>
      </c>
      <c r="I10" s="17">
        <f t="shared" si="1"/>
        <v>0.7819461377791167</v>
      </c>
      <c r="J10" s="17">
        <f t="shared" si="1"/>
        <v>0.80192891728252624</v>
      </c>
      <c r="K10" s="17">
        <f>K9/K6</f>
        <v>0.79314982005363122</v>
      </c>
      <c r="L10" s="17">
        <f t="shared" ref="L10" si="2">L9/L6</f>
        <v>0.76394285295038489</v>
      </c>
      <c r="M10" s="14"/>
      <c r="N10" s="14"/>
    </row>
    <row r="12" spans="1:14">
      <c r="B12" s="31" t="s">
        <v>62</v>
      </c>
      <c r="C12" s="32">
        <f>C6-C9</f>
        <v>60302.099999999977</v>
      </c>
      <c r="D12" s="32">
        <f t="shared" ref="D12:K12" si="3">D6-D9</f>
        <v>67536.52999999997</v>
      </c>
      <c r="E12" s="32">
        <f t="shared" si="3"/>
        <v>64238.270000000048</v>
      </c>
      <c r="F12" s="32">
        <f t="shared" si="3"/>
        <v>63120.649999999994</v>
      </c>
      <c r="G12" s="32">
        <f t="shared" si="3"/>
        <v>59092.870000000024</v>
      </c>
      <c r="H12" s="32">
        <f t="shared" si="3"/>
        <v>50691.899999999965</v>
      </c>
      <c r="I12" s="32">
        <f t="shared" si="3"/>
        <v>54468.709999999992</v>
      </c>
      <c r="J12" s="32">
        <f>J6-J9</f>
        <v>55153.610000000015</v>
      </c>
      <c r="K12" s="32">
        <f t="shared" si="3"/>
        <v>71563.329999999958</v>
      </c>
      <c r="L12" s="32">
        <f>L6-L9</f>
        <v>103375.98000000004</v>
      </c>
    </row>
    <row r="13" spans="1:14">
      <c r="B13" s="18" t="s">
        <v>69</v>
      </c>
      <c r="C13" s="19">
        <f>C12/C6</f>
        <v>0.22914703499762759</v>
      </c>
      <c r="D13" s="19">
        <f t="shared" ref="D13:I13" si="4">D12/D6</f>
        <v>0.24734524196690946</v>
      </c>
      <c r="E13" s="19">
        <f t="shared" si="4"/>
        <v>0.23819078253229964</v>
      </c>
      <c r="F13" s="19">
        <f t="shared" si="4"/>
        <v>0.21649990080619999</v>
      </c>
      <c r="G13" s="19">
        <f t="shared" si="4"/>
        <v>0.19571167496416494</v>
      </c>
      <c r="H13" s="19">
        <f t="shared" si="4"/>
        <v>0.19417127271491774</v>
      </c>
      <c r="I13" s="19">
        <f t="shared" si="4"/>
        <v>0.2180538622208833</v>
      </c>
      <c r="J13" s="19">
        <f>J12/J6</f>
        <v>0.19807108271747378</v>
      </c>
      <c r="K13" s="19">
        <f t="shared" ref="K13" si="5">K12/K6</f>
        <v>0.20685017994636876</v>
      </c>
      <c r="L13" s="19">
        <f t="shared" ref="L13" si="6">L12/L6</f>
        <v>0.23605714704961514</v>
      </c>
    </row>
    <row r="15" spans="1:14">
      <c r="B15" t="s">
        <v>63</v>
      </c>
      <c r="C15" s="13">
        <f>IFERROR(SUM('Data Sheet'!B23,'Data Sheet'!B24,,),0)</f>
        <v>21063.449999999997</v>
      </c>
      <c r="D15" s="13">
        <f>IFERROR(SUM('Data Sheet'!C23,'Data Sheet'!C24,,),0)</f>
        <v>29141.280000000002</v>
      </c>
      <c r="E15" s="13">
        <f>IFERROR(SUM('Data Sheet'!D23,'Data Sheet'!D24,,),0)</f>
        <v>34649.58</v>
      </c>
      <c r="F15" s="13">
        <f>IFERROR(SUM('Data Sheet'!E23,'Data Sheet'!E24,,),0)</f>
        <v>31662.97</v>
      </c>
      <c r="G15" s="13">
        <f>IFERROR(SUM('Data Sheet'!F23,'Data Sheet'!F24,,),0)</f>
        <v>34428.54</v>
      </c>
      <c r="H15" s="13">
        <f>IFERROR(SUM('Data Sheet'!G23,'Data Sheet'!G24,,),0)</f>
        <v>32704.83</v>
      </c>
      <c r="I15" s="13">
        <f>IFERROR(SUM('Data Sheet'!H23,'Data Sheet'!H24,,),0)</f>
        <v>22181.280000000002</v>
      </c>
      <c r="J15" s="13">
        <f>IFERROR(SUM('Data Sheet'!I23,'Data Sheet'!I24,,),0)</f>
        <v>30433.52</v>
      </c>
      <c r="K15" s="13">
        <f>IFERROR(SUM('Data Sheet'!J23,'Data Sheet'!J24,,),0)</f>
        <v>39747.53</v>
      </c>
      <c r="L15" s="13">
        <f>IFERROR(SUM('Data Sheet'!K23,'Data Sheet'!K24,,),0)</f>
        <v>43837.64</v>
      </c>
    </row>
    <row r="16" spans="1:14">
      <c r="B16" s="18" t="s">
        <v>64</v>
      </c>
      <c r="C16" s="19">
        <f>C15/C6</f>
        <v>8.0040779911823637E-2</v>
      </c>
      <c r="D16" s="19">
        <f t="shared" ref="D16:J16" si="7">D15/D6</f>
        <v>0.10672678849247161</v>
      </c>
      <c r="E16" s="19">
        <f t="shared" si="7"/>
        <v>0.12847809529452636</v>
      </c>
      <c r="F16" s="19">
        <f t="shared" si="7"/>
        <v>0.10860201636437025</v>
      </c>
      <c r="G16" s="19">
        <f t="shared" si="7"/>
        <v>0.11402504616835751</v>
      </c>
      <c r="H16" s="19">
        <f t="shared" si="7"/>
        <v>0.12527323822987554</v>
      </c>
      <c r="I16" s="19">
        <f t="shared" si="7"/>
        <v>8.8798023177028354E-2</v>
      </c>
      <c r="J16" s="19">
        <f t="shared" si="7"/>
        <v>0.10929475436519734</v>
      </c>
      <c r="K16" s="19">
        <f>K15/K6</f>
        <v>0.11488822184383672</v>
      </c>
      <c r="L16" s="19">
        <f>L15/L6</f>
        <v>0.10010244383451636</v>
      </c>
    </row>
    <row r="18" spans="2:12">
      <c r="B18" s="33" t="s">
        <v>65</v>
      </c>
      <c r="C18" s="34">
        <f>HistoricalFS!C12-HistoricalFS!C15</f>
        <v>39238.64999999998</v>
      </c>
      <c r="D18" s="34">
        <f>HistoricalFS!D12-HistoricalFS!D15</f>
        <v>38395.249999999971</v>
      </c>
      <c r="E18" s="34">
        <f>HistoricalFS!E12-HistoricalFS!E15</f>
        <v>29588.690000000046</v>
      </c>
      <c r="F18" s="34">
        <f>HistoricalFS!F12-HistoricalFS!F15</f>
        <v>31457.679999999993</v>
      </c>
      <c r="G18" s="34">
        <f>HistoricalFS!G12-HistoricalFS!G15</f>
        <v>24664.330000000024</v>
      </c>
      <c r="H18" s="34">
        <f>HistoricalFS!H12-HistoricalFS!H15</f>
        <v>17987.069999999963</v>
      </c>
      <c r="I18" s="34">
        <f>HistoricalFS!I12-HistoricalFS!I15</f>
        <v>32287.429999999989</v>
      </c>
      <c r="J18" s="34">
        <f>HistoricalFS!J12-HistoricalFS!J15</f>
        <v>24720.090000000015</v>
      </c>
      <c r="K18" s="34">
        <f>HistoricalFS!K12-HistoricalFS!K15</f>
        <v>31815.799999999959</v>
      </c>
      <c r="L18" s="34">
        <f>HistoricalFS!L12-HistoricalFS!L15</f>
        <v>59538.34000000004</v>
      </c>
    </row>
    <row r="19" spans="2:12">
      <c r="B19" s="18" t="s">
        <v>66</v>
      </c>
      <c r="C19" s="19">
        <f>C18/C6</f>
        <v>0.14910625508580397</v>
      </c>
      <c r="D19" s="19">
        <f t="shared" ref="D19:J19" si="8">D18/D6</f>
        <v>0.14061845347443788</v>
      </c>
      <c r="E19" s="19">
        <f t="shared" si="8"/>
        <v>0.10971268723777329</v>
      </c>
      <c r="F19" s="19">
        <f t="shared" si="8"/>
        <v>0.10789788444182975</v>
      </c>
      <c r="G19" s="19">
        <f t="shared" si="8"/>
        <v>8.1686628795807431E-2</v>
      </c>
      <c r="H19" s="19">
        <f t="shared" si="8"/>
        <v>6.8898034485042198E-2</v>
      </c>
      <c r="I19" s="19">
        <f t="shared" si="8"/>
        <v>0.12925583904385496</v>
      </c>
      <c r="J19" s="19">
        <f t="shared" si="8"/>
        <v>8.877632835227646E-2</v>
      </c>
      <c r="K19" s="19">
        <f>K18/K6</f>
        <v>9.1961958102532049E-2</v>
      </c>
      <c r="L19" s="19">
        <f>L18/L6</f>
        <v>0.13595470321509878</v>
      </c>
    </row>
    <row r="21" spans="2:12">
      <c r="B21" t="s">
        <v>6</v>
      </c>
      <c r="C21" s="13">
        <f>IFERROR('Data Sheet'!B27,0)</f>
        <v>4861.49</v>
      </c>
      <c r="D21" s="13">
        <f>IFERROR('Data Sheet'!C27,0)</f>
        <v>4889.08</v>
      </c>
      <c r="E21" s="13">
        <f>IFERROR('Data Sheet'!D27,0)</f>
        <v>4238.01</v>
      </c>
      <c r="F21" s="13">
        <f>IFERROR('Data Sheet'!E27,0)</f>
        <v>4681.79</v>
      </c>
      <c r="G21" s="13">
        <f>IFERROR('Data Sheet'!F27,0)</f>
        <v>5758.6</v>
      </c>
      <c r="H21" s="13">
        <f>IFERROR('Data Sheet'!G27,0)</f>
        <v>7243.33</v>
      </c>
      <c r="I21" s="13">
        <f>IFERROR('Data Sheet'!H27,0)</f>
        <v>8097.17</v>
      </c>
      <c r="J21" s="13">
        <f>IFERROR('Data Sheet'!I27,0)</f>
        <v>9311.86</v>
      </c>
      <c r="K21" s="13">
        <f>IFERROR('Data Sheet'!J27,0)</f>
        <v>10225.48</v>
      </c>
      <c r="L21" s="13">
        <f>IFERROR('Data Sheet'!K27,0)</f>
        <v>9985.76</v>
      </c>
    </row>
    <row r="22" spans="2:12">
      <c r="B22" s="18" t="s">
        <v>67</v>
      </c>
      <c r="C22" s="19">
        <f>C21/C6</f>
        <v>1.8473585814932098E-2</v>
      </c>
      <c r="D22" s="19">
        <f t="shared" ref="D22:I22" si="9">D21/D6</f>
        <v>1.7905727101993223E-2</v>
      </c>
      <c r="E22" s="19">
        <f t="shared" si="9"/>
        <v>1.5714229512714312E-2</v>
      </c>
      <c r="F22" s="19">
        <f t="shared" si="9"/>
        <v>1.605824830060304E-2</v>
      </c>
      <c r="G22" s="19">
        <f t="shared" si="9"/>
        <v>1.9072102124141878E-2</v>
      </c>
      <c r="H22" s="19">
        <f t="shared" si="9"/>
        <v>2.7744996829752802E-2</v>
      </c>
      <c r="I22" s="19">
        <f t="shared" si="9"/>
        <v>3.2415292955516477E-2</v>
      </c>
      <c r="J22" s="19">
        <f>J21/J6</f>
        <v>3.3441332168710897E-2</v>
      </c>
      <c r="K22" s="19">
        <f t="shared" ref="K22" si="10">K21/K6</f>
        <v>2.9556231914277829E-2</v>
      </c>
      <c r="L22" s="19">
        <f t="shared" ref="L22" si="11">L21/L6</f>
        <v>2.2802299109736749E-2</v>
      </c>
    </row>
    <row r="24" spans="2:12">
      <c r="B24" t="s">
        <v>5</v>
      </c>
      <c r="C24" s="13">
        <f>IFERROR('Data Sheet'!B26,0)</f>
        <v>13388.63</v>
      </c>
      <c r="D24" s="13">
        <f>IFERROR('Data Sheet'!C26,0)</f>
        <v>16710.78</v>
      </c>
      <c r="E24" s="13">
        <f>IFERROR('Data Sheet'!D26,0)</f>
        <v>17904.990000000002</v>
      </c>
      <c r="F24" s="13">
        <f>IFERROR('Data Sheet'!E26,0)</f>
        <v>21553.59</v>
      </c>
      <c r="G24" s="13">
        <f>IFERROR('Data Sheet'!F26,0)</f>
        <v>23590.63</v>
      </c>
      <c r="H24" s="13">
        <f>IFERROR('Data Sheet'!G26,0)</f>
        <v>21425.43</v>
      </c>
      <c r="I24" s="13">
        <f>IFERROR('Data Sheet'!H26,0)</f>
        <v>23546.71</v>
      </c>
      <c r="J24" s="13">
        <f>IFERROR('Data Sheet'!I26,0)</f>
        <v>24835.69</v>
      </c>
      <c r="K24" s="13">
        <f>IFERROR('Data Sheet'!J26,0)</f>
        <v>24860.36</v>
      </c>
      <c r="L24" s="13">
        <f>IFERROR('Data Sheet'!K26,0)</f>
        <v>27270.13</v>
      </c>
    </row>
    <row r="25" spans="2:12">
      <c r="B25" s="18" t="s">
        <v>68</v>
      </c>
      <c r="C25" s="19">
        <f>C24/C6</f>
        <v>5.0876584184966822E-2</v>
      </c>
      <c r="D25" s="19">
        <f t="shared" ref="D25:K25" si="12">D24/D6</f>
        <v>6.1201425695927715E-2</v>
      </c>
      <c r="E25" s="19">
        <f t="shared" si="12"/>
        <v>6.63903865924938E-2</v>
      </c>
      <c r="F25" s="19">
        <f t="shared" si="12"/>
        <v>7.3927472182518786E-2</v>
      </c>
      <c r="G25" s="19">
        <f t="shared" si="12"/>
        <v>7.8130605447998658E-2</v>
      </c>
      <c r="H25" s="19">
        <f t="shared" si="12"/>
        <v>8.206839774331566E-2</v>
      </c>
      <c r="I25" s="19">
        <f t="shared" si="12"/>
        <v>9.4264230933596482E-2</v>
      </c>
      <c r="J25" s="19">
        <f t="shared" si="12"/>
        <v>8.9191478279219347E-2</v>
      </c>
      <c r="K25" s="19">
        <f t="shared" si="12"/>
        <v>7.1857611147098821E-2</v>
      </c>
      <c r="L25" s="19">
        <f>L24/L6</f>
        <v>6.2270839777984394E-2</v>
      </c>
    </row>
    <row r="27" spans="2:12">
      <c r="B27" s="35" t="s">
        <v>70</v>
      </c>
      <c r="C27" s="36">
        <f>IFERROR(C18-SUM(C21,C24),0)</f>
        <v>20988.529999999981</v>
      </c>
      <c r="D27" s="36">
        <f>IFERROR(D18-SUM(D21,D24),0)</f>
        <v>16795.38999999997</v>
      </c>
      <c r="E27" s="36">
        <f t="shared" ref="E27:L27" si="13">IFERROR(E18-SUM(E21,E24),0)</f>
        <v>7445.690000000046</v>
      </c>
      <c r="F27" s="36">
        <f t="shared" si="13"/>
        <v>5222.299999999992</v>
      </c>
      <c r="G27" s="37">
        <f t="shared" si="13"/>
        <v>-4684.8999999999796</v>
      </c>
      <c r="H27" s="37">
        <f t="shared" si="13"/>
        <v>-10681.690000000039</v>
      </c>
      <c r="I27" s="37">
        <f t="shared" si="13"/>
        <v>643.549999999992</v>
      </c>
      <c r="J27" s="37">
        <f t="shared" si="13"/>
        <v>-9427.4599999999882</v>
      </c>
      <c r="K27" s="37">
        <f t="shared" si="13"/>
        <v>-3270.0400000000373</v>
      </c>
      <c r="L27" s="37">
        <f t="shared" si="13"/>
        <v>22282.450000000041</v>
      </c>
    </row>
    <row r="28" spans="2:12">
      <c r="B28" s="18" t="s">
        <v>71</v>
      </c>
      <c r="C28" s="19">
        <f>C27/C6</f>
        <v>7.9756085085905037E-2</v>
      </c>
      <c r="D28" s="19">
        <f t="shared" ref="D28:H28" si="14">D27/D6</f>
        <v>6.1511300676516931E-2</v>
      </c>
      <c r="E28" s="19">
        <f t="shared" si="14"/>
        <v>2.7608071132565179E-2</v>
      </c>
      <c r="F28" s="19">
        <f t="shared" si="14"/>
        <v>1.7912163958707913E-2</v>
      </c>
      <c r="G28" s="19">
        <f t="shared" si="14"/>
        <v>-1.5516078776333117E-2</v>
      </c>
      <c r="H28" s="19">
        <f t="shared" si="14"/>
        <v>-4.0915360088026265E-2</v>
      </c>
      <c r="I28" s="19">
        <f>I27/I6</f>
        <v>2.5763151547420113E-3</v>
      </c>
      <c r="J28" s="19">
        <f t="shared" ref="J28" si="15">J27/J6</f>
        <v>-3.3856482095653805E-2</v>
      </c>
      <c r="K28" s="19">
        <f t="shared" ref="K28" si="16">K27/K6</f>
        <v>-9.4518849588445895E-3</v>
      </c>
      <c r="L28" s="19">
        <f>L27/L6</f>
        <v>5.0881564327377643E-2</v>
      </c>
    </row>
    <row r="30" spans="2:12">
      <c r="B30" t="s">
        <v>8</v>
      </c>
      <c r="C30" s="13">
        <f>IFERROR('Data Sheet'!B29,0)</f>
        <v>7642.91</v>
      </c>
      <c r="D30" s="13">
        <f>IFERROR('Data Sheet'!C29,0)</f>
        <v>3025.05</v>
      </c>
      <c r="E30" s="13">
        <f>IFERROR('Data Sheet'!D29,0)</f>
        <v>3251.23</v>
      </c>
      <c r="F30" s="13">
        <f>IFERROR('Data Sheet'!E29,0)</f>
        <v>4341.93</v>
      </c>
      <c r="G30" s="13">
        <f>IFERROR('Data Sheet'!F29,0)</f>
        <v>-2437.4499999999998</v>
      </c>
      <c r="H30" s="13">
        <f>IFERROR('Data Sheet'!G29,0)</f>
        <v>395.25</v>
      </c>
      <c r="I30" s="13">
        <f>IFERROR('Data Sheet'!H29,0)</f>
        <v>2541.86</v>
      </c>
      <c r="J30" s="13">
        <f>IFERROR('Data Sheet'!I29,0)</f>
        <v>4231.29</v>
      </c>
      <c r="K30" s="13">
        <f>IFERROR('Data Sheet'!J29,0)</f>
        <v>704.06</v>
      </c>
      <c r="L30" s="13">
        <f>IFERROR('Data Sheet'!K29,0)</f>
        <v>-3851.64</v>
      </c>
    </row>
    <row r="31" spans="2:12">
      <c r="B31" s="18" t="s">
        <v>72</v>
      </c>
      <c r="C31" s="19">
        <f>C30/C27</f>
        <v>0.3641469888553418</v>
      </c>
      <c r="D31" s="19">
        <f t="shared" ref="D31:I31" si="17">D30/D27</f>
        <v>0.18011192356950362</v>
      </c>
      <c r="E31" s="19">
        <f t="shared" si="17"/>
        <v>0.43665932908836924</v>
      </c>
      <c r="F31" s="19">
        <f t="shared" si="17"/>
        <v>0.8314210213890445</v>
      </c>
      <c r="G31" s="19">
        <f t="shared" si="17"/>
        <v>0.52027791414971725</v>
      </c>
      <c r="H31" s="19">
        <f t="shared" si="17"/>
        <v>-3.7002571690434617E-2</v>
      </c>
      <c r="I31" s="19">
        <f t="shared" si="17"/>
        <v>3.9497474943672315</v>
      </c>
      <c r="J31" s="19">
        <f>J30/J27</f>
        <v>-0.4488260888935095</v>
      </c>
      <c r="K31" s="19">
        <f t="shared" ref="K31" si="18">K30/K27</f>
        <v>-0.21530623478611635</v>
      </c>
      <c r="L31" s="19">
        <f t="shared" ref="L31" si="19">L30/L27</f>
        <v>-0.17285531887202676</v>
      </c>
    </row>
    <row r="33" spans="1:12">
      <c r="B33" s="35" t="s">
        <v>73</v>
      </c>
      <c r="C33" s="36">
        <f>IFERROR(SUM(C27,-C30),0)</f>
        <v>13345.619999999981</v>
      </c>
      <c r="D33" s="36">
        <f t="shared" ref="D33:K33" si="20">IFERROR(SUM(D27,-D30),0)</f>
        <v>13770.339999999971</v>
      </c>
      <c r="E33" s="36">
        <f t="shared" si="20"/>
        <v>4194.4600000000464</v>
      </c>
      <c r="F33" s="36">
        <f t="shared" si="20"/>
        <v>880.36999999999171</v>
      </c>
      <c r="G33" s="36">
        <f t="shared" si="20"/>
        <v>-2247.4499999999798</v>
      </c>
      <c r="H33" s="36">
        <f t="shared" si="20"/>
        <v>-11076.940000000039</v>
      </c>
      <c r="I33" s="36">
        <f t="shared" si="20"/>
        <v>-1898.3100000000081</v>
      </c>
      <c r="J33" s="36">
        <f t="shared" si="20"/>
        <v>-13658.749999999989</v>
      </c>
      <c r="K33" s="36">
        <f t="shared" si="20"/>
        <v>-3974.1000000000372</v>
      </c>
      <c r="L33" s="36">
        <f>IFERROR(SUM(L27,-L30),0)</f>
        <v>26134.09000000004</v>
      </c>
    </row>
    <row r="34" spans="1:12">
      <c r="B34" s="18" t="s">
        <v>74</v>
      </c>
      <c r="C34" s="19">
        <f>C33/C6</f>
        <v>5.0713146858982282E-2</v>
      </c>
      <c r="D34" s="19">
        <f t="shared" ref="D34:K34" si="21">D33/D6</f>
        <v>5.0432381990407359E-2</v>
      </c>
      <c r="E34" s="19">
        <f t="shared" si="21"/>
        <v>1.5552749314395296E-2</v>
      </c>
      <c r="F34" s="19">
        <f t="shared" si="21"/>
        <v>3.01961430487095E-3</v>
      </c>
      <c r="G34" s="19">
        <f t="shared" si="21"/>
        <v>-7.4434056747998256E-3</v>
      </c>
      <c r="H34" s="19">
        <f t="shared" si="21"/>
        <v>-4.2429333632923408E-2</v>
      </c>
      <c r="I34" s="19">
        <f t="shared" si="21"/>
        <v>-7.5994791724005731E-3</v>
      </c>
      <c r="J34" s="19">
        <f t="shared" si="21"/>
        <v>-4.9052154538339235E-2</v>
      </c>
      <c r="K34" s="19">
        <f t="shared" si="21"/>
        <v>-1.1486934720964945E-2</v>
      </c>
      <c r="L34" s="19">
        <f>L33/L6</f>
        <v>5.9676713353894045E-2</v>
      </c>
    </row>
    <row r="36" spans="1:12">
      <c r="B36" t="s">
        <v>75</v>
      </c>
      <c r="C36">
        <f>IFERROR('Data Sheet'!B93,0)</f>
        <v>288.74</v>
      </c>
      <c r="D36">
        <f>IFERROR('Data Sheet'!C93,0)</f>
        <v>288.72000000000003</v>
      </c>
      <c r="E36">
        <f>IFERROR('Data Sheet'!D93,0)</f>
        <v>288.73</v>
      </c>
      <c r="F36">
        <f>IFERROR('Data Sheet'!E93,0)</f>
        <v>288.73</v>
      </c>
      <c r="G36">
        <f>IFERROR('Data Sheet'!F93,0)</f>
        <v>288.73</v>
      </c>
      <c r="H36">
        <f>IFERROR('Data Sheet'!G93,0)</f>
        <v>308.89999999999998</v>
      </c>
      <c r="I36">
        <f>IFERROR('Data Sheet'!H93,0)</f>
        <v>332.03</v>
      </c>
      <c r="J36">
        <f>IFERROR('Data Sheet'!I93,0)</f>
        <v>332.07</v>
      </c>
      <c r="K36">
        <f>IFERROR('Data Sheet'!J93,0)</f>
        <v>332.13</v>
      </c>
      <c r="L36">
        <f>IFERROR('Data Sheet'!K93,0)</f>
        <v>332.37</v>
      </c>
    </row>
    <row r="38" spans="1:12">
      <c r="B38" t="s">
        <v>32</v>
      </c>
      <c r="C38" s="13">
        <f>IFERROR(C33/C36,0)</f>
        <v>46.220198102098706</v>
      </c>
      <c r="D38" s="13">
        <f t="shared" ref="D38:L38" si="22">IFERROR(D33/D36,0)</f>
        <v>47.694444444444336</v>
      </c>
      <c r="E38" s="13">
        <f t="shared" si="22"/>
        <v>14.527274616423808</v>
      </c>
      <c r="F38" s="13">
        <f t="shared" si="22"/>
        <v>3.049111626779315</v>
      </c>
      <c r="G38" s="13">
        <f t="shared" si="22"/>
        <v>-7.7839157690575265</v>
      </c>
      <c r="H38" s="13">
        <f t="shared" si="22"/>
        <v>-35.859307219164904</v>
      </c>
      <c r="I38" s="13">
        <f t="shared" si="22"/>
        <v>-5.7172845827184542</v>
      </c>
      <c r="J38" s="13">
        <f t="shared" si="22"/>
        <v>-41.132140813683833</v>
      </c>
      <c r="K38" s="13">
        <f>IFERROR(K33/K36,0)</f>
        <v>-11.965495438533218</v>
      </c>
      <c r="L38" s="13">
        <f t="shared" si="22"/>
        <v>78.629509281824596</v>
      </c>
    </row>
    <row r="39" spans="1:12">
      <c r="B39" s="18" t="s">
        <v>76</v>
      </c>
      <c r="C39" s="18"/>
      <c r="D39" s="19">
        <f>D38/C38-1</f>
        <v>3.189614936502605E-2</v>
      </c>
      <c r="E39" s="19">
        <f t="shared" ref="E39:G39" si="23">E38/D38-1</f>
        <v>-0.69540950134463697</v>
      </c>
      <c r="F39" s="19">
        <f t="shared" si="23"/>
        <v>-0.79011124197155724</v>
      </c>
      <c r="G39" s="19">
        <f t="shared" si="23"/>
        <v>-3.5528470983790919</v>
      </c>
      <c r="H39" s="19">
        <f t="shared" ref="H39" si="24">H38/G38-1</f>
        <v>3.6068467700681115</v>
      </c>
      <c r="I39" s="19">
        <f t="shared" ref="I39:J39" si="25">I38/H38-1</f>
        <v>-0.84056344011958861</v>
      </c>
      <c r="J39" s="19">
        <f t="shared" si="25"/>
        <v>6.194349033807641</v>
      </c>
      <c r="K39" s="19">
        <f t="shared" ref="K39" si="26">K38/J38-1</f>
        <v>-0.70909621522659627</v>
      </c>
      <c r="L39" s="19">
        <f t="shared" ref="L39" si="27">L38/K38-1</f>
        <v>-7.5713542482001346</v>
      </c>
    </row>
    <row r="41" spans="1:12">
      <c r="B41" t="s">
        <v>77</v>
      </c>
      <c r="C41" s="13">
        <f>IFERROR('Data Sheet'!B31/HistoricalFS!C36,0)</f>
        <v>0</v>
      </c>
      <c r="D41" s="13">
        <f>IFERROR('Data Sheet'!C31/HistoricalFS!D36,0)</f>
        <v>0.23524522028262676</v>
      </c>
      <c r="E41" s="13">
        <f>IFERROR('Data Sheet'!D31/HistoricalFS!E36,0)</f>
        <v>0</v>
      </c>
      <c r="F41" s="13">
        <f>IFERROR('Data Sheet'!E31/HistoricalFS!F36,0)</f>
        <v>0</v>
      </c>
      <c r="G41" s="13">
        <f>IFERROR('Data Sheet'!F31/HistoricalFS!G36,0)</f>
        <v>0</v>
      </c>
      <c r="H41" s="13">
        <f>IFERROR('Data Sheet'!G31/HistoricalFS!H36,0)</f>
        <v>0</v>
      </c>
      <c r="I41" s="13">
        <f>IFERROR('Data Sheet'!H31/HistoricalFS!I36,0)</f>
        <v>0</v>
      </c>
      <c r="J41" s="13">
        <f>IFERROR('Data Sheet'!I31/HistoricalFS!J36,0)</f>
        <v>0</v>
      </c>
      <c r="K41" s="13">
        <f>IFERROR('Data Sheet'!J31/HistoricalFS!K36,0)</f>
        <v>2.3063860536536898</v>
      </c>
      <c r="L41" s="13">
        <f>IFERROR('Data Sheet'!K31/HistoricalFS!L36,0)</f>
        <v>14.067605379546888</v>
      </c>
    </row>
    <row r="42" spans="1:12">
      <c r="B42" s="18" t="s">
        <v>78</v>
      </c>
      <c r="C42" s="19">
        <f>IFERROR(C41/C38,0)</f>
        <v>0</v>
      </c>
      <c r="D42" s="19">
        <f t="shared" ref="D42:G42" si="28">IFERROR(D41/D38,0)</f>
        <v>4.9323400874633563E-3</v>
      </c>
      <c r="E42" s="19">
        <f t="shared" si="28"/>
        <v>0</v>
      </c>
      <c r="F42" s="19">
        <f t="shared" si="28"/>
        <v>0</v>
      </c>
      <c r="G42" s="19">
        <f t="shared" si="28"/>
        <v>0</v>
      </c>
      <c r="H42" s="19">
        <f>IFERROR(H41/H38,0)</f>
        <v>0</v>
      </c>
      <c r="I42" s="19">
        <f t="shared" ref="I42" si="29">IFERROR(I41/I38,0)</f>
        <v>0</v>
      </c>
      <c r="J42" s="19">
        <f t="shared" ref="J42" si="30">IFERROR(J41/J38,0)</f>
        <v>0</v>
      </c>
      <c r="K42" s="19">
        <f t="shared" ref="K42" si="31">IFERROR(K41/K38,0)</f>
        <v>-0.19275307616818721</v>
      </c>
      <c r="L42" s="19">
        <f>IFERROR(L41/L38,0)</f>
        <v>0.17890999839672977</v>
      </c>
    </row>
    <row r="44" spans="1:12">
      <c r="B44" t="s">
        <v>79</v>
      </c>
      <c r="C44" s="24">
        <f>IFERROR(IF(C38&gt;C41,1-C42,0),0)</f>
        <v>1</v>
      </c>
      <c r="D44" s="24">
        <f t="shared" ref="D44:K44" si="32">IFERROR(IF(D38&gt;D41,1-D42,0),0)</f>
        <v>0.99506765991253665</v>
      </c>
      <c r="E44" s="24">
        <f t="shared" si="32"/>
        <v>1</v>
      </c>
      <c r="F44" s="24">
        <f t="shared" si="32"/>
        <v>1</v>
      </c>
      <c r="G44" s="24">
        <f t="shared" si="32"/>
        <v>0</v>
      </c>
      <c r="H44" s="24">
        <f t="shared" si="32"/>
        <v>0</v>
      </c>
      <c r="I44" s="24">
        <f>IFERROR(IF(I38&gt;I41,1-I42,0),0)</f>
        <v>0</v>
      </c>
      <c r="J44" s="24">
        <f t="shared" si="32"/>
        <v>0</v>
      </c>
      <c r="K44" s="24">
        <f t="shared" si="32"/>
        <v>0</v>
      </c>
      <c r="L44" s="24">
        <f>IFERROR(IF(L38&gt;L41,1-L42,0),0)</f>
        <v>0.82109000160327028</v>
      </c>
    </row>
    <row r="46" spans="1:12">
      <c r="A46" t="s">
        <v>59</v>
      </c>
      <c r="B46" s="27" t="s">
        <v>80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>
      <c r="B47" t="s">
        <v>11</v>
      </c>
      <c r="C47" s="13">
        <f>IFERROR('Data Sheet'!B57,0)</f>
        <v>643.78</v>
      </c>
      <c r="D47" s="13">
        <f>IFERROR('Data Sheet'!C57,0)</f>
        <v>679.18</v>
      </c>
      <c r="E47" s="13">
        <f>IFERROR('Data Sheet'!D57,0)</f>
        <v>679.22</v>
      </c>
      <c r="F47" s="13">
        <f>IFERROR('Data Sheet'!E57,0)</f>
        <v>679.22</v>
      </c>
      <c r="G47" s="13">
        <f>IFERROR('Data Sheet'!F57,0)</f>
        <v>679.22</v>
      </c>
      <c r="H47" s="13">
        <f>IFERROR('Data Sheet'!G57,0)</f>
        <v>719.54</v>
      </c>
      <c r="I47" s="13">
        <f>IFERROR('Data Sheet'!H57,0)</f>
        <v>765.81</v>
      </c>
      <c r="J47" s="13">
        <f>IFERROR('Data Sheet'!I57,0)</f>
        <v>765.88</v>
      </c>
      <c r="K47" s="13">
        <f>IFERROR('Data Sheet'!J57,0)</f>
        <v>766.02</v>
      </c>
      <c r="L47" s="13">
        <f>IFERROR('Data Sheet'!K57,0)</f>
        <v>766.5</v>
      </c>
    </row>
    <row r="48" spans="1:12">
      <c r="B48" t="s">
        <v>12</v>
      </c>
      <c r="C48" s="13">
        <f>IFERROR('Data Sheet'!B58,0)</f>
        <v>55618.14</v>
      </c>
      <c r="D48" s="13">
        <f>IFERROR('Data Sheet'!C58,0)</f>
        <v>78273.23</v>
      </c>
      <c r="E48" s="13">
        <f>IFERROR('Data Sheet'!D58,0)</f>
        <v>57382.67</v>
      </c>
      <c r="F48" s="13">
        <f>IFERROR('Data Sheet'!E58,0)</f>
        <v>94748.69</v>
      </c>
      <c r="G48" s="13">
        <f>IFERROR('Data Sheet'!F58,0)</f>
        <v>59500.34</v>
      </c>
      <c r="H48" s="13">
        <f>IFERROR('Data Sheet'!G58,0)</f>
        <v>61491.49</v>
      </c>
      <c r="I48" s="13">
        <f>IFERROR('Data Sheet'!H58,0)</f>
        <v>54480.91</v>
      </c>
      <c r="J48" s="13">
        <f>IFERROR('Data Sheet'!I58,0)</f>
        <v>43795.360000000001</v>
      </c>
      <c r="K48" s="13">
        <f>IFERROR('Data Sheet'!J58,0)</f>
        <v>44555.77</v>
      </c>
      <c r="L48" s="13">
        <f>IFERROR('Data Sheet'!K58,0)</f>
        <v>84151.52</v>
      </c>
    </row>
    <row r="49" spans="2:12">
      <c r="B49" t="s">
        <v>38</v>
      </c>
      <c r="C49" s="13">
        <f>IFERROR('Data Sheet'!B59,0)</f>
        <v>73610.39</v>
      </c>
      <c r="D49" s="13">
        <f>IFERROR('Data Sheet'!C59,0)</f>
        <v>69359.960000000006</v>
      </c>
      <c r="E49" s="13">
        <f>IFERROR('Data Sheet'!D59,0)</f>
        <v>78603.98</v>
      </c>
      <c r="F49" s="13">
        <f>IFERROR('Data Sheet'!E59,0)</f>
        <v>88950.47</v>
      </c>
      <c r="G49" s="13">
        <f>IFERROR('Data Sheet'!F59,0)</f>
        <v>106175.34</v>
      </c>
      <c r="H49" s="13">
        <f>IFERROR('Data Sheet'!G59,0)</f>
        <v>124787.64</v>
      </c>
      <c r="I49" s="13">
        <f>IFERROR('Data Sheet'!H59,0)</f>
        <v>142130.57</v>
      </c>
      <c r="J49" s="13">
        <f>IFERROR('Data Sheet'!I59,0)</f>
        <v>146449.03</v>
      </c>
      <c r="K49" s="13">
        <f>IFERROR('Data Sheet'!J59,0)</f>
        <v>134113.44</v>
      </c>
      <c r="L49" s="13">
        <f>IFERROR('Data Sheet'!K59,0)</f>
        <v>107262.5</v>
      </c>
    </row>
    <row r="50" spans="2:12">
      <c r="B50" t="s">
        <v>39</v>
      </c>
      <c r="C50" s="13">
        <f>IFERROR('Data Sheet'!B60,0)</f>
        <v>107442.48</v>
      </c>
      <c r="D50" s="13">
        <f>IFERROR('Data Sheet'!C60,0)</f>
        <v>114871.75</v>
      </c>
      <c r="E50" s="13">
        <f>IFERROR('Data Sheet'!D60,0)</f>
        <v>135914.49</v>
      </c>
      <c r="F50" s="13">
        <f>IFERROR('Data Sheet'!E60,0)</f>
        <v>142813.43</v>
      </c>
      <c r="G50" s="13">
        <f>IFERROR('Data Sheet'!F60,0)</f>
        <v>139348.59</v>
      </c>
      <c r="H50" s="13">
        <f>IFERROR('Data Sheet'!G60,0)</f>
        <v>133180.72</v>
      </c>
      <c r="I50" s="13">
        <f>IFERROR('Data Sheet'!H60,0)</f>
        <v>144192.62</v>
      </c>
      <c r="J50" s="13">
        <f>IFERROR('Data Sheet'!I60,0)</f>
        <v>138051.22</v>
      </c>
      <c r="K50" s="13">
        <f>IFERROR('Data Sheet'!J60,0)</f>
        <v>155239.20000000001</v>
      </c>
      <c r="L50" s="13">
        <f>IFERROR('Data Sheet'!K60,0)</f>
        <v>177340.09</v>
      </c>
    </row>
    <row r="51" spans="2:12">
      <c r="B51" s="38" t="s">
        <v>81</v>
      </c>
      <c r="C51" s="39">
        <f>IFERROR('Data Sheet'!B61,0)</f>
        <v>237314.79</v>
      </c>
      <c r="D51" s="39">
        <f>IFERROR('Data Sheet'!C61,0)</f>
        <v>263184.12</v>
      </c>
      <c r="E51" s="39">
        <f>IFERROR('Data Sheet'!D61,0)</f>
        <v>272580.36</v>
      </c>
      <c r="F51" s="39">
        <f>IFERROR('Data Sheet'!E61,0)</f>
        <v>327191.81</v>
      </c>
      <c r="G51" s="39">
        <f>IFERROR('Data Sheet'!F61,0)</f>
        <v>305703.49</v>
      </c>
      <c r="H51" s="39">
        <f>IFERROR('Data Sheet'!G61,0)</f>
        <v>320179.39</v>
      </c>
      <c r="I51" s="39">
        <f>IFERROR('Data Sheet'!H61,0)</f>
        <v>341569.91</v>
      </c>
      <c r="J51" s="39">
        <f>IFERROR('Data Sheet'!I61,0)</f>
        <v>329061.49</v>
      </c>
      <c r="K51" s="39">
        <f>IFERROR('Data Sheet'!J61,0)</f>
        <v>334674.43</v>
      </c>
      <c r="L51" s="39">
        <f>IFERROR('Data Sheet'!K61,0)</f>
        <v>369520.61</v>
      </c>
    </row>
    <row r="53" spans="2:12">
      <c r="B53" t="s">
        <v>82</v>
      </c>
      <c r="C53" s="13">
        <f>IFERROR('Data Sheet'!B62,0)</f>
        <v>88479.49</v>
      </c>
      <c r="D53" s="13">
        <f>IFERROR('Data Sheet'!C62,0)</f>
        <v>107231.76</v>
      </c>
      <c r="E53" s="13">
        <f>IFERROR('Data Sheet'!D62,0)</f>
        <v>95944.08</v>
      </c>
      <c r="F53" s="13">
        <f>IFERROR('Data Sheet'!E62,0)</f>
        <v>121413.86</v>
      </c>
      <c r="G53" s="13">
        <f>IFERROR('Data Sheet'!F62,0)</f>
        <v>111234.47</v>
      </c>
      <c r="H53" s="13">
        <f>IFERROR('Data Sheet'!G62,0)</f>
        <v>127107.14</v>
      </c>
      <c r="I53" s="13">
        <f>IFERROR('Data Sheet'!H62,0)</f>
        <v>138707.60999999999</v>
      </c>
      <c r="J53" s="13">
        <f>IFERROR('Data Sheet'!I62,0)</f>
        <v>138855.45000000001</v>
      </c>
      <c r="K53" s="13">
        <f>IFERROR('Data Sheet'!J62,0)</f>
        <v>132079.76</v>
      </c>
      <c r="L53" s="13">
        <f>IFERROR('Data Sheet'!K62,0)</f>
        <v>121285.46</v>
      </c>
    </row>
    <row r="54" spans="2:12">
      <c r="B54" t="s">
        <v>15</v>
      </c>
      <c r="C54" s="13">
        <f>IFERROR('Data Sheet'!B63,0)</f>
        <v>28640.09</v>
      </c>
      <c r="D54" s="13">
        <f>IFERROR('Data Sheet'!C63,0)</f>
        <v>25918.94</v>
      </c>
      <c r="E54" s="13">
        <f>IFERROR('Data Sheet'!D63,0)</f>
        <v>33698.839999999997</v>
      </c>
      <c r="F54" s="13">
        <f>IFERROR('Data Sheet'!E63,0)</f>
        <v>40033.5</v>
      </c>
      <c r="G54" s="13">
        <f>IFERROR('Data Sheet'!F63,0)</f>
        <v>31883.84</v>
      </c>
      <c r="H54" s="13">
        <f>IFERROR('Data Sheet'!G63,0)</f>
        <v>35622.29</v>
      </c>
      <c r="I54" s="13">
        <f>IFERROR('Data Sheet'!H63,0)</f>
        <v>20963.93</v>
      </c>
      <c r="J54" s="13">
        <f>IFERROR('Data Sheet'!I63,0)</f>
        <v>10251.09</v>
      </c>
      <c r="K54" s="13">
        <f>IFERROR('Data Sheet'!J63,0)</f>
        <v>14274.5</v>
      </c>
      <c r="L54" s="13">
        <f>IFERROR('Data Sheet'!K63,0)</f>
        <v>35698.43</v>
      </c>
    </row>
    <row r="55" spans="2:12">
      <c r="B55" t="s">
        <v>16</v>
      </c>
      <c r="C55" s="13">
        <f>IFERROR('Data Sheet'!B64,0)</f>
        <v>15336.74</v>
      </c>
      <c r="D55" s="13">
        <f>IFERROR('Data Sheet'!C64,0)</f>
        <v>23767.02</v>
      </c>
      <c r="E55" s="13">
        <f>IFERROR('Data Sheet'!D64,0)</f>
        <v>20337.919999999998</v>
      </c>
      <c r="F55" s="13">
        <f>IFERROR('Data Sheet'!E64,0)</f>
        <v>20812.75</v>
      </c>
      <c r="G55" s="13">
        <f>IFERROR('Data Sheet'!F64,0)</f>
        <v>15770.72</v>
      </c>
      <c r="H55" s="13">
        <f>IFERROR('Data Sheet'!G64,0)</f>
        <v>16308.48</v>
      </c>
      <c r="I55" s="13">
        <f>IFERROR('Data Sheet'!H64,0)</f>
        <v>24620.28</v>
      </c>
      <c r="J55" s="13">
        <f>IFERROR('Data Sheet'!I64,0)</f>
        <v>29379.53</v>
      </c>
      <c r="K55" s="13">
        <f>IFERROR('Data Sheet'!J64,0)</f>
        <v>26379.16</v>
      </c>
      <c r="L55" s="13">
        <f>IFERROR('Data Sheet'!K64,0)</f>
        <v>22971.07</v>
      </c>
    </row>
    <row r="56" spans="2:12">
      <c r="B56" t="s">
        <v>40</v>
      </c>
      <c r="C56" s="13">
        <f>IFERROR('Data Sheet'!B65-SUM('Data Sheet'!B67,'Data Sheet'!B68,'Data Sheet'!B69,),0)</f>
        <v>30891.17</v>
      </c>
      <c r="D56" s="13">
        <f>IFERROR('Data Sheet'!C65-SUM('Data Sheet'!C67,'Data Sheet'!C68,'Data Sheet'!C69,),0)</f>
        <v>29579.359999999986</v>
      </c>
      <c r="E56" s="13">
        <f>IFERROR('Data Sheet'!D65-SUM('Data Sheet'!D67,'Data Sheet'!D68,'Data Sheet'!D69,),0)</f>
        <v>37360.780000000013</v>
      </c>
      <c r="F56" s="13">
        <f>IFERROR('Data Sheet'!E65-SUM('Data Sheet'!E67,'Data Sheet'!E68,'Data Sheet'!E69,),0)</f>
        <v>48286.860000000015</v>
      </c>
      <c r="G56" s="13">
        <f>IFERROR('Data Sheet'!F65-SUM('Data Sheet'!F67,'Data Sheet'!F68,'Data Sheet'!F69,),0)</f>
        <v>56155.739999999991</v>
      </c>
      <c r="H56" s="13">
        <f>IFERROR('Data Sheet'!G65-SUM('Data Sheet'!G67,'Data Sheet'!G68,'Data Sheet'!G69,),0)</f>
        <v>58784.94</v>
      </c>
      <c r="I56" s="13">
        <f>IFERROR('Data Sheet'!H65-SUM('Data Sheet'!H67,'Data Sheet'!H68,'Data Sheet'!H69,),0)</f>
        <v>61717.959999999992</v>
      </c>
      <c r="J56" s="13">
        <f>IFERROR('Data Sheet'!I65-SUM('Data Sheet'!I67,'Data Sheet'!I68,'Data Sheet'!I69,),0)</f>
        <v>62223.770000000019</v>
      </c>
      <c r="K56" s="13">
        <f>IFERROR('Data Sheet'!J65-SUM('Data Sheet'!J67,'Data Sheet'!J68,'Data Sheet'!J69,),0)</f>
        <v>68432.090000000011</v>
      </c>
      <c r="L56" s="13">
        <f>IFERROR('Data Sheet'!K65-SUM('Data Sheet'!K67,'Data Sheet'!K68,'Data Sheet'!K69,),0)</f>
        <v>79018.859999999986</v>
      </c>
    </row>
    <row r="57" spans="2:12">
      <c r="B57" s="38" t="s">
        <v>83</v>
      </c>
      <c r="C57" s="39">
        <f>SUM(C53,C54,C55,C56)</f>
        <v>163347.49</v>
      </c>
      <c r="D57" s="39">
        <f t="shared" ref="D57:H57" si="33">SUM(D53,D54,D55,D56)</f>
        <v>186497.07999999996</v>
      </c>
      <c r="E57" s="39">
        <f t="shared" si="33"/>
        <v>187341.62</v>
      </c>
      <c r="F57" s="39">
        <f t="shared" si="33"/>
        <v>230546.97</v>
      </c>
      <c r="G57" s="39">
        <f t="shared" si="33"/>
        <v>215044.77</v>
      </c>
      <c r="H57" s="39">
        <f t="shared" si="33"/>
        <v>237822.85</v>
      </c>
      <c r="I57" s="39">
        <f>SUM(I53,I54,I55,I56)</f>
        <v>246009.77999999997</v>
      </c>
      <c r="J57" s="39">
        <f t="shared" ref="J57" si="34">SUM(J53,J54,J55,J56)</f>
        <v>240709.84000000003</v>
      </c>
      <c r="K57" s="39">
        <f t="shared" ref="K57" si="35">SUM(K53,K54,K55,K56)</f>
        <v>241165.51</v>
      </c>
      <c r="L57" s="39">
        <f t="shared" ref="L57" si="36">SUM(L53,L54,L55,L56)</f>
        <v>258973.82</v>
      </c>
    </row>
    <row r="58" spans="2:12">
      <c r="B58" s="26"/>
    </row>
    <row r="59" spans="2:12">
      <c r="B59" t="s">
        <v>45</v>
      </c>
      <c r="C59" s="13">
        <f>IFERROR('Data Sheet'!B67,0)</f>
        <v>12579.2</v>
      </c>
      <c r="D59" s="13">
        <f>IFERROR('Data Sheet'!C67,0)</f>
        <v>13570.91</v>
      </c>
      <c r="E59" s="13">
        <f>IFERROR('Data Sheet'!D67,0)</f>
        <v>14075.55</v>
      </c>
      <c r="F59" s="13">
        <f>IFERROR('Data Sheet'!E67,0)</f>
        <v>19893.3</v>
      </c>
      <c r="G59" s="13">
        <f>IFERROR('Data Sheet'!F67,0)</f>
        <v>18996.169999999998</v>
      </c>
      <c r="H59" s="13">
        <f>IFERROR('Data Sheet'!G67,0)</f>
        <v>11172.69</v>
      </c>
      <c r="I59" s="13">
        <f>IFERROR('Data Sheet'!H67,0)</f>
        <v>12679.08</v>
      </c>
      <c r="J59" s="13">
        <f>IFERROR('Data Sheet'!I67,0)</f>
        <v>12442.12</v>
      </c>
      <c r="K59" s="13">
        <f>IFERROR('Data Sheet'!J67,0)</f>
        <v>15737.97</v>
      </c>
      <c r="L59" s="13">
        <f>IFERROR('Data Sheet'!K67,0)</f>
        <v>16951.810000000001</v>
      </c>
    </row>
    <row r="60" spans="2:12">
      <c r="B60" t="s">
        <v>30</v>
      </c>
      <c r="C60" s="13">
        <f>IFERROR('Data Sheet'!B68,0)</f>
        <v>29272.34</v>
      </c>
      <c r="D60" s="13">
        <f>IFERROR('Data Sheet'!C68,0)</f>
        <v>32655.73</v>
      </c>
      <c r="E60" s="13">
        <f>IFERROR('Data Sheet'!D68,0)</f>
        <v>35085.31</v>
      </c>
      <c r="F60" s="13">
        <f>IFERROR('Data Sheet'!E68,0)</f>
        <v>42137.63</v>
      </c>
      <c r="G60" s="13">
        <f>IFERROR('Data Sheet'!F68,0)</f>
        <v>39013.730000000003</v>
      </c>
      <c r="H60" s="13">
        <f>IFERROR('Data Sheet'!G68,0)</f>
        <v>37456.879999999997</v>
      </c>
      <c r="I60" s="13">
        <f>IFERROR('Data Sheet'!H68,0)</f>
        <v>36088.589999999997</v>
      </c>
      <c r="J60" s="13">
        <f>IFERROR('Data Sheet'!I68,0)</f>
        <v>35240.339999999997</v>
      </c>
      <c r="K60" s="13">
        <f>IFERROR('Data Sheet'!J68,0)</f>
        <v>40755.39</v>
      </c>
      <c r="L60" s="13">
        <f>IFERROR('Data Sheet'!K68,0)</f>
        <v>47788.29</v>
      </c>
    </row>
    <row r="61" spans="2:12">
      <c r="B61" t="s">
        <v>54</v>
      </c>
      <c r="C61" s="13">
        <f>IFERROR('Data Sheet'!B69,0)</f>
        <v>32115.759999999998</v>
      </c>
      <c r="D61" s="13">
        <f>IFERROR('Data Sheet'!C69,0)</f>
        <v>30460.400000000001</v>
      </c>
      <c r="E61" s="13">
        <f>IFERROR('Data Sheet'!D69,0)</f>
        <v>36077.879999999997</v>
      </c>
      <c r="F61" s="13">
        <f>IFERROR('Data Sheet'!E69,0)</f>
        <v>34613.910000000003</v>
      </c>
      <c r="G61" s="13">
        <f>IFERROR('Data Sheet'!F69,0)</f>
        <v>32648.82</v>
      </c>
      <c r="H61" s="13">
        <f>IFERROR('Data Sheet'!G69,0)</f>
        <v>33726.97</v>
      </c>
      <c r="I61" s="13">
        <f>IFERROR('Data Sheet'!H69,0)</f>
        <v>46792.46</v>
      </c>
      <c r="J61" s="13">
        <f>IFERROR('Data Sheet'!I69,0)</f>
        <v>40669.19</v>
      </c>
      <c r="K61" s="13">
        <f>IFERROR('Data Sheet'!J69,0)</f>
        <v>37015.56</v>
      </c>
      <c r="L61" s="13">
        <f>IFERROR('Data Sheet'!K69,0)</f>
        <v>45806.69</v>
      </c>
    </row>
    <row r="62" spans="2:12">
      <c r="B62" s="38" t="s">
        <v>84</v>
      </c>
      <c r="C62" s="39">
        <f>SUM(C61,C60,C59)</f>
        <v>73967.3</v>
      </c>
      <c r="D62" s="39">
        <f t="shared" ref="D62:H62" si="37">SUM(D61,D60,D59)</f>
        <v>76687.040000000008</v>
      </c>
      <c r="E62" s="39">
        <f t="shared" si="37"/>
        <v>85238.74</v>
      </c>
      <c r="F62" s="39">
        <f t="shared" si="37"/>
        <v>96644.840000000011</v>
      </c>
      <c r="G62" s="39">
        <f t="shared" si="37"/>
        <v>90658.72</v>
      </c>
      <c r="H62" s="39">
        <f t="shared" si="37"/>
        <v>82356.540000000008</v>
      </c>
      <c r="I62" s="39">
        <f>SUM(I61,I60,I59)</f>
        <v>95560.12999999999</v>
      </c>
      <c r="J62" s="39">
        <f t="shared" ref="J62" si="38">SUM(J61,J60,J59)</f>
        <v>88351.65</v>
      </c>
      <c r="K62" s="39">
        <f t="shared" ref="K62" si="39">SUM(K61,K60,K59)</f>
        <v>93508.92</v>
      </c>
      <c r="L62" s="39">
        <f>SUM(L61,L60,L59)</f>
        <v>110546.79000000001</v>
      </c>
    </row>
    <row r="64" spans="2:12">
      <c r="B64" s="38" t="s">
        <v>85</v>
      </c>
      <c r="C64" s="39">
        <f>SUM(C57,C62)</f>
        <v>237314.78999999998</v>
      </c>
      <c r="D64" s="39">
        <f t="shared" ref="D64:L64" si="40">SUM(D57,D62)</f>
        <v>263184.12</v>
      </c>
      <c r="E64" s="39">
        <f t="shared" si="40"/>
        <v>272580.36</v>
      </c>
      <c r="F64" s="39">
        <f t="shared" si="40"/>
        <v>327191.81</v>
      </c>
      <c r="G64" s="39">
        <f t="shared" si="40"/>
        <v>305703.49</v>
      </c>
      <c r="H64" s="39">
        <f t="shared" si="40"/>
        <v>320179.39</v>
      </c>
      <c r="I64" s="39">
        <f t="shared" si="40"/>
        <v>341569.91</v>
      </c>
      <c r="J64" s="39">
        <f t="shared" si="40"/>
        <v>329061.49</v>
      </c>
      <c r="K64" s="39">
        <f>SUM(K57,K62)</f>
        <v>334674.43</v>
      </c>
      <c r="L64" s="39">
        <f t="shared" si="40"/>
        <v>369520.61</v>
      </c>
    </row>
    <row r="66" spans="1:13">
      <c r="B66" s="25" t="s">
        <v>86</v>
      </c>
      <c r="C66" t="b">
        <f>C64=C51</f>
        <v>1</v>
      </c>
      <c r="D66" t="b">
        <f t="shared" ref="D66:L66" si="41">D64=D51</f>
        <v>1</v>
      </c>
      <c r="E66" t="b">
        <f t="shared" si="41"/>
        <v>1</v>
      </c>
      <c r="F66" t="b">
        <f t="shared" si="41"/>
        <v>1</v>
      </c>
      <c r="G66" t="b">
        <f t="shared" si="41"/>
        <v>1</v>
      </c>
      <c r="H66" t="b">
        <f t="shared" si="41"/>
        <v>1</v>
      </c>
      <c r="I66" t="b">
        <f t="shared" si="41"/>
        <v>1</v>
      </c>
      <c r="J66" t="b">
        <f t="shared" si="41"/>
        <v>1</v>
      </c>
      <c r="K66" t="b">
        <f>K64=K51</f>
        <v>1</v>
      </c>
      <c r="L66" t="b">
        <f t="shared" si="41"/>
        <v>1</v>
      </c>
    </row>
    <row r="68" spans="1:13">
      <c r="A68" s="26" t="s">
        <v>59</v>
      </c>
      <c r="B68" s="27" t="s">
        <v>115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 spans="1:13">
      <c r="B69" s="26" t="s">
        <v>116</v>
      </c>
    </row>
    <row r="70" spans="1:13">
      <c r="B70" t="s">
        <v>88</v>
      </c>
      <c r="C70" s="23">
        <f>IFERROR('Cashflow Data'!E3,0)</f>
        <v>43397</v>
      </c>
      <c r="D70" s="23">
        <f>IFERROR('Cashflow Data'!F3,0)</f>
        <v>38626</v>
      </c>
      <c r="E70" s="23">
        <f>IFERROR('Cashflow Data'!G3,0)</f>
        <v>28840</v>
      </c>
      <c r="F70" s="23">
        <f>IFERROR('Cashflow Data'!H3,0)</f>
        <v>33312</v>
      </c>
      <c r="G70" s="23">
        <f>IFERROR('Cashflow Data'!I3,0)</f>
        <v>28771</v>
      </c>
      <c r="H70" s="23">
        <f>IFERROR('Cashflow Data'!J3,0)</f>
        <v>23352</v>
      </c>
      <c r="I70" s="23">
        <f>IFERROR('Cashflow Data'!K3,0)</f>
        <v>31198</v>
      </c>
      <c r="J70" s="23">
        <f>IFERROR('Cashflow Data'!L3,0)</f>
        <v>26943</v>
      </c>
      <c r="K70" s="23">
        <f>IFERROR('Cashflow Data'!M3,0)</f>
        <v>41694</v>
      </c>
      <c r="L70" s="23">
        <f>IFERROR('Cashflow Data'!N3,0)</f>
        <v>65106</v>
      </c>
    </row>
    <row r="71" spans="1:13">
      <c r="B71" t="s">
        <v>92</v>
      </c>
      <c r="C71" s="23">
        <f>IFERROR('Cashflow Data'!E9,0)</f>
        <v>-3672</v>
      </c>
      <c r="D71" s="23">
        <f>IFERROR('Cashflow Data'!F9,0)</f>
        <v>1313</v>
      </c>
      <c r="E71" s="23">
        <f>IFERROR('Cashflow Data'!G9,0)</f>
        <v>3254</v>
      </c>
      <c r="F71" s="23">
        <f>IFERROR('Cashflow Data'!H9,0)</f>
        <v>-6434</v>
      </c>
      <c r="G71" s="23">
        <f>IFERROR('Cashflow Data'!I9,0)</f>
        <v>-7221</v>
      </c>
      <c r="H71" s="23">
        <f>IFERROR('Cashflow Data'!J9,0)</f>
        <v>5065</v>
      </c>
      <c r="I71" s="23">
        <f>IFERROR('Cashflow Data'!K9,0)</f>
        <v>-93</v>
      </c>
      <c r="J71" s="23">
        <f>IFERROR('Cashflow Data'!L9,0)</f>
        <v>-10750</v>
      </c>
      <c r="K71" s="23">
        <f>IFERROR('Cashflow Data'!M9,0)</f>
        <v>-3127</v>
      </c>
      <c r="L71" s="23">
        <f>IFERROR('Cashflow Data'!N9,0)</f>
        <v>7325</v>
      </c>
    </row>
    <row r="72" spans="1:13">
      <c r="B72" t="s">
        <v>93</v>
      </c>
      <c r="C72" s="23">
        <f>IFERROR('Cashflow Data'!E10,0)</f>
        <v>-4194</v>
      </c>
      <c r="D72" s="23">
        <f>IFERROR('Cashflow Data'!F10,0)</f>
        <v>-2040</v>
      </c>
      <c r="E72" s="23">
        <f>IFERROR('Cashflow Data'!G10,0)</f>
        <v>-1895</v>
      </c>
      <c r="F72" s="23">
        <f>IFERROR('Cashflow Data'!H10,0)</f>
        <v>-3021</v>
      </c>
      <c r="G72" s="23">
        <f>IFERROR('Cashflow Data'!I10,0)</f>
        <v>-2659</v>
      </c>
      <c r="H72" s="23">
        <f>IFERROR('Cashflow Data'!J10,0)</f>
        <v>-1785</v>
      </c>
      <c r="I72" s="23">
        <f>IFERROR('Cashflow Data'!K10,0)</f>
        <v>-2105</v>
      </c>
      <c r="J72" s="23">
        <f>IFERROR('Cashflow Data'!L10,0)</f>
        <v>-1910</v>
      </c>
      <c r="K72" s="23">
        <f>IFERROR('Cashflow Data'!M10,0)</f>
        <v>-3179</v>
      </c>
      <c r="L72" s="23">
        <f>IFERROR('Cashflow Data'!N10,0)</f>
        <v>-4516</v>
      </c>
    </row>
    <row r="73" spans="1:13">
      <c r="B73" s="38" t="s">
        <v>117</v>
      </c>
      <c r="C73" s="85">
        <f>SUM(C70:C72)</f>
        <v>35531</v>
      </c>
      <c r="D73" s="85">
        <f t="shared" ref="D73:I73" si="42">SUM(D70:D72)</f>
        <v>37899</v>
      </c>
      <c r="E73" s="85">
        <f t="shared" si="42"/>
        <v>30199</v>
      </c>
      <c r="F73" s="85">
        <f t="shared" si="42"/>
        <v>23857</v>
      </c>
      <c r="G73" s="85">
        <f t="shared" si="42"/>
        <v>18891</v>
      </c>
      <c r="H73" s="85">
        <f t="shared" si="42"/>
        <v>26632</v>
      </c>
      <c r="I73" s="85">
        <f t="shared" si="42"/>
        <v>29000</v>
      </c>
      <c r="J73" s="85">
        <f>SUM(J70:J72)</f>
        <v>14283</v>
      </c>
      <c r="K73" s="85">
        <f t="shared" ref="K73" si="43">SUM(K70:K72)</f>
        <v>35388</v>
      </c>
      <c r="L73" s="85">
        <f t="shared" ref="L73" si="44">SUM(L70:L72)</f>
        <v>67915</v>
      </c>
      <c r="M73" s="23"/>
    </row>
    <row r="75" spans="1:13">
      <c r="B75" s="26" t="s">
        <v>118</v>
      </c>
    </row>
    <row r="76" spans="1:13">
      <c r="B76" t="s">
        <v>95</v>
      </c>
      <c r="C76" s="23">
        <f>IFERROR('Cashflow Data'!E12,0)</f>
        <v>-31962</v>
      </c>
      <c r="D76" s="23">
        <f>IFERROR('Cashflow Data'!F12,0)</f>
        <v>-31503</v>
      </c>
      <c r="E76" s="23">
        <f>IFERROR('Cashflow Data'!G12,0)</f>
        <v>-16072</v>
      </c>
      <c r="F76" s="23">
        <f>IFERROR('Cashflow Data'!H12,0)</f>
        <v>-35079</v>
      </c>
      <c r="G76" s="23">
        <f>IFERROR('Cashflow Data'!I12,0)</f>
        <v>-35304</v>
      </c>
      <c r="H76" s="23">
        <f>IFERROR('Cashflow Data'!J12,0)</f>
        <v>-29702</v>
      </c>
      <c r="I76" s="23">
        <f>IFERROR('Cashflow Data'!K12,0)</f>
        <v>-20205</v>
      </c>
      <c r="J76" s="23">
        <f>IFERROR('Cashflow Data'!L12,0)</f>
        <v>-15168</v>
      </c>
      <c r="K76" s="23">
        <f>IFERROR('Cashflow Data'!M12,0)</f>
        <v>-19230</v>
      </c>
      <c r="L76" s="23">
        <f>IFERROR('Cashflow Data'!N12,0)</f>
        <v>-31414</v>
      </c>
    </row>
    <row r="77" spans="1:13">
      <c r="B77" t="s">
        <v>96</v>
      </c>
      <c r="C77" s="23">
        <f>IFERROR('Cashflow Data'!E13,0)</f>
        <v>74</v>
      </c>
      <c r="D77" s="23">
        <f>IFERROR('Cashflow Data'!F13,0)</f>
        <v>59</v>
      </c>
      <c r="E77" s="23">
        <f>IFERROR('Cashflow Data'!G13,0)</f>
        <v>53</v>
      </c>
      <c r="F77" s="23">
        <f>IFERROR('Cashflow Data'!H13,0)</f>
        <v>30</v>
      </c>
      <c r="G77" s="23">
        <f>IFERROR('Cashflow Data'!I13,0)</f>
        <v>67</v>
      </c>
      <c r="H77" s="23">
        <f>IFERROR('Cashflow Data'!J13,0)</f>
        <v>171</v>
      </c>
      <c r="I77" s="23">
        <f>IFERROR('Cashflow Data'!K13,0)</f>
        <v>351</v>
      </c>
      <c r="J77" s="23">
        <f>IFERROR('Cashflow Data'!L13,0)</f>
        <v>230</v>
      </c>
      <c r="K77" s="23">
        <f>IFERROR('Cashflow Data'!M13,0)</f>
        <v>285</v>
      </c>
      <c r="L77" s="23">
        <f>IFERROR('Cashflow Data'!N13,0)</f>
        <v>231</v>
      </c>
    </row>
    <row r="78" spans="1:13">
      <c r="B78" t="s">
        <v>97</v>
      </c>
      <c r="C78" s="23">
        <f>IFERROR('Cashflow Data'!E14,0)</f>
        <v>-5461</v>
      </c>
      <c r="D78" s="23">
        <f>IFERROR('Cashflow Data'!F14,0)</f>
        <v>-4728</v>
      </c>
      <c r="E78" s="23">
        <f>IFERROR('Cashflow Data'!G14,0)</f>
        <v>-6</v>
      </c>
      <c r="F78" s="23">
        <f>IFERROR('Cashflow Data'!H14,0)</f>
        <v>-329</v>
      </c>
      <c r="G78" s="23">
        <f>IFERROR('Cashflow Data'!I14,0)</f>
        <v>-130</v>
      </c>
      <c r="H78" s="23">
        <f>IFERROR('Cashflow Data'!J14,0)</f>
        <v>-1439</v>
      </c>
      <c r="I78" s="23">
        <f>IFERROR('Cashflow Data'!K14,0)</f>
        <v>-7530</v>
      </c>
      <c r="J78" s="23">
        <f>IFERROR('Cashflow Data'!L14,0)</f>
        <v>-3008</v>
      </c>
      <c r="K78" s="23">
        <f>IFERROR('Cashflow Data'!M14,0)</f>
        <v>-50</v>
      </c>
      <c r="L78" s="23">
        <f>IFERROR('Cashflow Data'!N14,0)</f>
        <v>-74</v>
      </c>
    </row>
    <row r="79" spans="1:13">
      <c r="B79" t="s">
        <v>98</v>
      </c>
      <c r="C79" s="23">
        <f>IFERROR('Cashflow Data'!E15,0)</f>
        <v>42</v>
      </c>
      <c r="D79" s="23">
        <f>IFERROR('Cashflow Data'!F15,0)</f>
        <v>89</v>
      </c>
      <c r="E79" s="23">
        <f>IFERROR('Cashflow Data'!G15,0)</f>
        <v>1965</v>
      </c>
      <c r="F79" s="23">
        <f>IFERROR('Cashflow Data'!H15,0)</f>
        <v>2381</v>
      </c>
      <c r="G79" s="23">
        <f>IFERROR('Cashflow Data'!I15,0)</f>
        <v>5644</v>
      </c>
      <c r="H79" s="23">
        <f>IFERROR('Cashflow Data'!J15,0)</f>
        <v>21</v>
      </c>
      <c r="I79" s="23">
        <f>IFERROR('Cashflow Data'!K15,0)</f>
        <v>226</v>
      </c>
      <c r="J79" s="23">
        <f>IFERROR('Cashflow Data'!L15,0)</f>
        <v>104</v>
      </c>
      <c r="K79" s="23">
        <f>IFERROR('Cashflow Data'!M15,0)</f>
        <v>6895</v>
      </c>
      <c r="L79" s="23">
        <f>IFERROR('Cashflow Data'!N15,0)</f>
        <v>10820</v>
      </c>
    </row>
    <row r="80" spans="1:13">
      <c r="B80" t="s">
        <v>99</v>
      </c>
      <c r="C80" s="23">
        <f>IFERROR('Cashflow Data'!E16,0)</f>
        <v>698</v>
      </c>
      <c r="D80" s="23">
        <f>IFERROR('Cashflow Data'!F16,0)</f>
        <v>731</v>
      </c>
      <c r="E80" s="23">
        <f>IFERROR('Cashflow Data'!G16,0)</f>
        <v>638</v>
      </c>
      <c r="F80" s="23">
        <f>IFERROR('Cashflow Data'!H16,0)</f>
        <v>690</v>
      </c>
      <c r="G80" s="23">
        <f>IFERROR('Cashflow Data'!I16,0)</f>
        <v>761</v>
      </c>
      <c r="H80" s="23">
        <f>IFERROR('Cashflow Data'!J16,0)</f>
        <v>1104</v>
      </c>
      <c r="I80" s="23">
        <f>IFERROR('Cashflow Data'!K16,0)</f>
        <v>428</v>
      </c>
      <c r="J80" s="23">
        <f>IFERROR('Cashflow Data'!L16,0)</f>
        <v>653</v>
      </c>
      <c r="K80" s="23">
        <f>IFERROR('Cashflow Data'!M16,0)</f>
        <v>973</v>
      </c>
      <c r="L80" s="23">
        <f>IFERROR('Cashflow Data'!N16,0)</f>
        <v>2493</v>
      </c>
    </row>
    <row r="81" spans="2:12">
      <c r="B81" t="s">
        <v>100</v>
      </c>
      <c r="C81" s="23">
        <f>IFERROR('Cashflow Data'!E17,0)</f>
        <v>80</v>
      </c>
      <c r="D81" s="23">
        <f>IFERROR('Cashflow Data'!F17,0)</f>
        <v>58</v>
      </c>
      <c r="E81" s="23">
        <f>IFERROR('Cashflow Data'!G17,0)</f>
        <v>620</v>
      </c>
      <c r="F81" s="23">
        <f>IFERROR('Cashflow Data'!H17,0)</f>
        <v>1797</v>
      </c>
      <c r="G81" s="23">
        <f>IFERROR('Cashflow Data'!I17,0)</f>
        <v>232</v>
      </c>
      <c r="H81" s="23">
        <f>IFERROR('Cashflow Data'!J17,0)</f>
        <v>21</v>
      </c>
      <c r="I81" s="23">
        <f>IFERROR('Cashflow Data'!K17,0)</f>
        <v>18</v>
      </c>
      <c r="J81" s="23">
        <f>IFERROR('Cashflow Data'!L17,0)</f>
        <v>32</v>
      </c>
      <c r="K81" s="23">
        <f>IFERROR('Cashflow Data'!M17,0)</f>
        <v>46</v>
      </c>
      <c r="L81" s="23">
        <f>IFERROR('Cashflow Data'!N17,0)</f>
        <v>47</v>
      </c>
    </row>
    <row r="82" spans="2:12">
      <c r="B82" t="s">
        <v>101</v>
      </c>
      <c r="C82" s="23">
        <f>IFERROR('Cashflow Data'!E18,0)</f>
        <v>-160</v>
      </c>
      <c r="D82" s="23">
        <f>IFERROR('Cashflow Data'!F18,0)</f>
        <v>0</v>
      </c>
      <c r="E82" s="23">
        <f>IFERROR('Cashflow Data'!G18,0)</f>
        <v>-107</v>
      </c>
      <c r="F82" s="23">
        <f>IFERROR('Cashflow Data'!H18,0)</f>
        <v>-4</v>
      </c>
      <c r="G82" s="23">
        <f>IFERROR('Cashflow Data'!I18,0)</f>
        <v>-9</v>
      </c>
      <c r="H82" s="23">
        <f>IFERROR('Cashflow Data'!J18,0)</f>
        <v>-606</v>
      </c>
      <c r="I82" s="23">
        <f>IFERROR('Cashflow Data'!K18,0)</f>
        <v>-10</v>
      </c>
      <c r="J82" s="23">
        <f>IFERROR('Cashflow Data'!L18,0)</f>
        <v>0</v>
      </c>
      <c r="K82" s="23">
        <f>IFERROR('Cashflow Data'!M18,0)</f>
        <v>0</v>
      </c>
      <c r="L82" s="23">
        <f>IFERROR('Cashflow Data'!N18,0)</f>
        <v>-150</v>
      </c>
    </row>
    <row r="83" spans="2:12">
      <c r="B83" t="s">
        <v>102</v>
      </c>
      <c r="C83" s="23">
        <f>IFERROR('Cashflow Data'!E19,0)</f>
        <v>0</v>
      </c>
      <c r="D83" s="23">
        <f>IFERROR('Cashflow Data'!F19,0)</f>
        <v>0</v>
      </c>
      <c r="E83" s="23">
        <f>IFERROR('Cashflow Data'!G19,0)</f>
        <v>0</v>
      </c>
      <c r="F83" s="23">
        <f>IFERROR('Cashflow Data'!H19,0)</f>
        <v>14</v>
      </c>
      <c r="G83" s="23">
        <f>IFERROR('Cashflow Data'!I19,0)</f>
        <v>533</v>
      </c>
      <c r="H83" s="23">
        <f>IFERROR('Cashflow Data'!J19,0)</f>
        <v>0</v>
      </c>
      <c r="I83" s="23">
        <f>IFERROR('Cashflow Data'!K19,0)</f>
        <v>0</v>
      </c>
      <c r="J83" s="23">
        <f>IFERROR('Cashflow Data'!L19,0)</f>
        <v>0</v>
      </c>
      <c r="K83" s="23">
        <f>IFERROR('Cashflow Data'!M19,0)</f>
        <v>19</v>
      </c>
      <c r="L83" s="23">
        <f>IFERROR('Cashflow Data'!N19,0)</f>
        <v>108</v>
      </c>
    </row>
    <row r="84" spans="2:12">
      <c r="B84" t="s">
        <v>103</v>
      </c>
      <c r="C84" s="23">
        <f>IFERROR('Cashflow Data'!E20,0)</f>
        <v>0</v>
      </c>
      <c r="D84" s="23">
        <f>IFERROR('Cashflow Data'!F20,0)</f>
        <v>-111</v>
      </c>
      <c r="E84" s="23">
        <f>IFERROR('Cashflow Data'!G20,0)</f>
        <v>0</v>
      </c>
      <c r="F84" s="23">
        <f>IFERROR('Cashflow Data'!H20,0)</f>
        <v>0</v>
      </c>
      <c r="G84" s="23">
        <f>IFERROR('Cashflow Data'!I20,0)</f>
        <v>-8</v>
      </c>
      <c r="H84" s="23">
        <f>IFERROR('Cashflow Data'!J20,0)</f>
        <v>-27</v>
      </c>
      <c r="I84" s="23">
        <f>IFERROR('Cashflow Data'!K20,0)</f>
        <v>0</v>
      </c>
      <c r="J84" s="23">
        <f>IFERROR('Cashflow Data'!L20,0)</f>
        <v>-98</v>
      </c>
      <c r="K84" s="23">
        <f>IFERROR('Cashflow Data'!M20,0)</f>
        <v>0</v>
      </c>
      <c r="L84" s="23">
        <f>IFERROR('Cashflow Data'!N20,0)</f>
        <v>0</v>
      </c>
    </row>
    <row r="85" spans="2:12">
      <c r="B85" t="s">
        <v>104</v>
      </c>
      <c r="C85" s="23">
        <f>IFERROR('Cashflow Data'!E21,0)</f>
        <v>0</v>
      </c>
      <c r="D85" s="23">
        <f>IFERROR('Cashflow Data'!F21,0)</f>
        <v>0</v>
      </c>
      <c r="E85" s="23">
        <f>IFERROR('Cashflow Data'!G21,0)</f>
        <v>0</v>
      </c>
      <c r="F85" s="23">
        <f>IFERROR('Cashflow Data'!H21,0)</f>
        <v>0</v>
      </c>
      <c r="G85" s="23">
        <f>IFERROR('Cashflow Data'!I21,0)</f>
        <v>0</v>
      </c>
      <c r="H85" s="23">
        <f>IFERROR('Cashflow Data'!J21,0)</f>
        <v>0</v>
      </c>
      <c r="I85" s="23">
        <f>IFERROR('Cashflow Data'!K21,0)</f>
        <v>0</v>
      </c>
      <c r="J85" s="23">
        <f>IFERROR('Cashflow Data'!L21,0)</f>
        <v>0</v>
      </c>
      <c r="K85" s="23">
        <f>IFERROR('Cashflow Data'!M21,0)</f>
        <v>0</v>
      </c>
      <c r="L85" s="23">
        <f>IFERROR('Cashflow Data'!N21,0)</f>
        <v>-24</v>
      </c>
    </row>
    <row r="86" spans="2:12">
      <c r="B86" t="s">
        <v>105</v>
      </c>
      <c r="C86" s="23">
        <f>IFERROR('Cashflow Data'!E22,0)</f>
        <v>456</v>
      </c>
      <c r="D86" s="23">
        <f>IFERROR('Cashflow Data'!F22,0)</f>
        <v>-1289</v>
      </c>
      <c r="E86" s="23">
        <f>IFERROR('Cashflow Data'!G22,0)</f>
        <v>-26663</v>
      </c>
      <c r="F86" s="23">
        <f>IFERROR('Cashflow Data'!H22,0)</f>
        <v>5360</v>
      </c>
      <c r="G86" s="23">
        <f>IFERROR('Cashflow Data'!I22,0)</f>
        <v>7335</v>
      </c>
      <c r="H86" s="23">
        <f>IFERROR('Cashflow Data'!J22,0)</f>
        <v>-2659</v>
      </c>
      <c r="I86" s="23">
        <f>IFERROR('Cashflow Data'!K22,0)</f>
        <v>1051</v>
      </c>
      <c r="J86" s="23">
        <f>IFERROR('Cashflow Data'!L22,0)</f>
        <v>12813</v>
      </c>
      <c r="K86" s="23">
        <f>IFERROR('Cashflow Data'!M22,0)</f>
        <v>-4357</v>
      </c>
      <c r="L86" s="23">
        <f>IFERROR('Cashflow Data'!N22,0)</f>
        <v>-4817</v>
      </c>
    </row>
    <row r="87" spans="2:12">
      <c r="B87" s="38" t="s">
        <v>119</v>
      </c>
      <c r="C87" s="85">
        <f>SUM(C76:C86)</f>
        <v>-36233</v>
      </c>
      <c r="D87" s="85">
        <f t="shared" ref="D87:J87" si="45">SUM(D76:D86)</f>
        <v>-36694</v>
      </c>
      <c r="E87" s="85">
        <f t="shared" si="45"/>
        <v>-39572</v>
      </c>
      <c r="F87" s="85">
        <f t="shared" si="45"/>
        <v>-25140</v>
      </c>
      <c r="G87" s="85">
        <f t="shared" si="45"/>
        <v>-20879</v>
      </c>
      <c r="H87" s="85">
        <f t="shared" si="45"/>
        <v>-33116</v>
      </c>
      <c r="I87" s="85">
        <f t="shared" si="45"/>
        <v>-25671</v>
      </c>
      <c r="J87" s="85">
        <f t="shared" si="45"/>
        <v>-4442</v>
      </c>
      <c r="K87" s="85">
        <f>SUM(K76:K86)</f>
        <v>-15419</v>
      </c>
      <c r="L87" s="85">
        <f t="shared" ref="L87" si="46">SUM(L76:L86)</f>
        <v>-22780</v>
      </c>
    </row>
    <row r="89" spans="2:12">
      <c r="B89" s="26" t="s">
        <v>120</v>
      </c>
    </row>
    <row r="90" spans="2:12">
      <c r="B90" t="s">
        <v>107</v>
      </c>
      <c r="C90" s="23">
        <f>IFERROR('Cashflow Data'!E24,0)</f>
        <v>0</v>
      </c>
      <c r="D90" s="23">
        <f>IFERROR('Cashflow Data'!F24,0)</f>
        <v>7433</v>
      </c>
      <c r="E90" s="23">
        <f>IFERROR('Cashflow Data'!G24,0)</f>
        <v>5</v>
      </c>
      <c r="F90" s="23">
        <f>IFERROR('Cashflow Data'!H24,0)</f>
        <v>0</v>
      </c>
      <c r="G90" s="23">
        <f>IFERROR('Cashflow Data'!I24,0)</f>
        <v>0</v>
      </c>
      <c r="H90" s="23">
        <f>IFERROR('Cashflow Data'!J24,0)</f>
        <v>3889</v>
      </c>
      <c r="I90" s="23">
        <f>IFERROR('Cashflow Data'!K24,0)</f>
        <v>2603</v>
      </c>
      <c r="J90" s="23">
        <f>IFERROR('Cashflow Data'!L24,0)</f>
        <v>19</v>
      </c>
      <c r="K90" s="23">
        <f>IFERROR('Cashflow Data'!M24,0)</f>
        <v>20</v>
      </c>
      <c r="L90" s="23">
        <f>IFERROR('Cashflow Data'!N24,0)</f>
        <v>82</v>
      </c>
    </row>
    <row r="91" spans="2:12">
      <c r="B91" t="s">
        <v>108</v>
      </c>
      <c r="C91" s="23">
        <f>IFERROR('Cashflow Data'!E25,0)</f>
        <v>-744</v>
      </c>
      <c r="D91" s="23">
        <f>IFERROR('Cashflow Data'!F25,0)</f>
        <v>0</v>
      </c>
      <c r="E91" s="23">
        <f>IFERROR('Cashflow Data'!G25,0)</f>
        <v>0</v>
      </c>
      <c r="F91" s="23">
        <f>IFERROR('Cashflow Data'!H25,0)</f>
        <v>0</v>
      </c>
      <c r="G91" s="23">
        <f>IFERROR('Cashflow Data'!I25,0)</f>
        <v>0</v>
      </c>
      <c r="H91" s="23">
        <f>IFERROR('Cashflow Data'!J25,0)</f>
        <v>0</v>
      </c>
      <c r="I91" s="23">
        <f>IFERROR('Cashflow Data'!K25,0)</f>
        <v>0</v>
      </c>
      <c r="J91" s="23">
        <f>IFERROR('Cashflow Data'!L25,0)</f>
        <v>0</v>
      </c>
      <c r="K91" s="23">
        <f>IFERROR('Cashflow Data'!M25,0)</f>
        <v>0</v>
      </c>
      <c r="L91" s="23">
        <f>IFERROR('Cashflow Data'!N25,0)</f>
        <v>0</v>
      </c>
    </row>
    <row r="92" spans="2:12">
      <c r="B92" t="s">
        <v>109</v>
      </c>
      <c r="C92" s="23">
        <f>IFERROR('Cashflow Data'!E26,0)</f>
        <v>36363</v>
      </c>
      <c r="D92" s="23">
        <f>IFERROR('Cashflow Data'!F26,0)</f>
        <v>19519</v>
      </c>
      <c r="E92" s="23">
        <f>IFERROR('Cashflow Data'!G26,0)</f>
        <v>33390</v>
      </c>
      <c r="F92" s="23">
        <f>IFERROR('Cashflow Data'!H26,0)</f>
        <v>37482</v>
      </c>
      <c r="G92" s="23">
        <f>IFERROR('Cashflow Data'!I26,0)</f>
        <v>51128</v>
      </c>
      <c r="H92" s="23">
        <f>IFERROR('Cashflow Data'!J26,0)</f>
        <v>38297</v>
      </c>
      <c r="I92" s="23">
        <f>IFERROR('Cashflow Data'!K26,0)</f>
        <v>46641</v>
      </c>
      <c r="J92" s="23">
        <f>IFERROR('Cashflow Data'!L26,0)</f>
        <v>46578</v>
      </c>
      <c r="K92" s="23">
        <f>IFERROR('Cashflow Data'!M26,0)</f>
        <v>43934</v>
      </c>
      <c r="L92" s="23">
        <f>IFERROR('Cashflow Data'!N26,0)</f>
        <v>18747</v>
      </c>
    </row>
    <row r="93" spans="2:12">
      <c r="B93" t="s">
        <v>110</v>
      </c>
      <c r="C93" s="23">
        <f>IFERROR('Cashflow Data'!E27,0)</f>
        <v>-23332</v>
      </c>
      <c r="D93" s="23">
        <f>IFERROR('Cashflow Data'!F27,0)</f>
        <v>-24924</v>
      </c>
      <c r="E93" s="23">
        <f>IFERROR('Cashflow Data'!G27,0)</f>
        <v>-21732</v>
      </c>
      <c r="F93" s="23">
        <f>IFERROR('Cashflow Data'!H27,0)</f>
        <v>-29964</v>
      </c>
      <c r="G93" s="23">
        <f>IFERROR('Cashflow Data'!I27,0)</f>
        <v>-35198</v>
      </c>
      <c r="H93" s="23">
        <f>IFERROR('Cashflow Data'!J27,0)</f>
        <v>-29847</v>
      </c>
      <c r="I93" s="23">
        <f>IFERROR('Cashflow Data'!K27,0)</f>
        <v>-29709</v>
      </c>
      <c r="J93" s="23">
        <f>IFERROR('Cashflow Data'!L27,0)</f>
        <v>-42816</v>
      </c>
      <c r="K93" s="23">
        <f>IFERROR('Cashflow Data'!M27,0)</f>
        <v>-62557</v>
      </c>
      <c r="L93" s="23">
        <f>IFERROR('Cashflow Data'!N27,0)</f>
        <v>-47332</v>
      </c>
    </row>
    <row r="94" spans="2:12">
      <c r="B94" t="s">
        <v>111</v>
      </c>
      <c r="C94" s="23">
        <f>IFERROR('Cashflow Data'!E28,0)</f>
        <v>-6307</v>
      </c>
      <c r="D94" s="23">
        <f>IFERROR('Cashflow Data'!F28,0)</f>
        <v>-5716</v>
      </c>
      <c r="E94" s="23">
        <f>IFERROR('Cashflow Data'!G28,0)</f>
        <v>-5336</v>
      </c>
      <c r="F94" s="23">
        <f>IFERROR('Cashflow Data'!H28,0)</f>
        <v>-5411</v>
      </c>
      <c r="G94" s="23">
        <f>IFERROR('Cashflow Data'!I28,0)</f>
        <v>-7005</v>
      </c>
      <c r="H94" s="23">
        <f>IFERROR('Cashflow Data'!J28,0)</f>
        <v>-7518</v>
      </c>
      <c r="I94" s="23">
        <f>IFERROR('Cashflow Data'!K28,0)</f>
        <v>-8123</v>
      </c>
      <c r="J94" s="23">
        <f>IFERROR('Cashflow Data'!L28,0)</f>
        <v>-9251</v>
      </c>
      <c r="K94" s="23">
        <f>IFERROR('Cashflow Data'!M28,0)</f>
        <v>-9336</v>
      </c>
      <c r="L94" s="23">
        <f>IFERROR('Cashflow Data'!N28,0)</f>
        <v>-9332</v>
      </c>
    </row>
    <row r="95" spans="2:12">
      <c r="B95" t="s">
        <v>112</v>
      </c>
      <c r="C95" s="23">
        <f>IFERROR('Cashflow Data'!E29,0)</f>
        <v>-720</v>
      </c>
      <c r="D95" s="23">
        <f>IFERROR('Cashflow Data'!F29,0)</f>
        <v>-108</v>
      </c>
      <c r="E95" s="23">
        <f>IFERROR('Cashflow Data'!G29,0)</f>
        <v>-121</v>
      </c>
      <c r="F95" s="23">
        <f>IFERROR('Cashflow Data'!H29,0)</f>
        <v>-96</v>
      </c>
      <c r="G95" s="23">
        <f>IFERROR('Cashflow Data'!I29,0)</f>
        <v>-95</v>
      </c>
      <c r="H95" s="23">
        <f>IFERROR('Cashflow Data'!J29,0)</f>
        <v>-57</v>
      </c>
      <c r="I95" s="23">
        <f>IFERROR('Cashflow Data'!K29,0)</f>
        <v>-30</v>
      </c>
      <c r="J95" s="23">
        <f>IFERROR('Cashflow Data'!L29,0)</f>
        <v>-100</v>
      </c>
      <c r="K95" s="23">
        <f>IFERROR('Cashflow Data'!M29,0)</f>
        <v>-141</v>
      </c>
      <c r="L95" s="23">
        <f>IFERROR('Cashflow Data'!N29,0)</f>
        <v>-1059</v>
      </c>
    </row>
    <row r="96" spans="2:12">
      <c r="B96" t="s">
        <v>113</v>
      </c>
      <c r="C96" s="23">
        <f>IFERROR('Cashflow Data'!E30,0)</f>
        <v>0</v>
      </c>
      <c r="D96" s="23">
        <f>IFERROR('Cashflow Data'!F30,0)</f>
        <v>0</v>
      </c>
      <c r="E96" s="23">
        <f>IFERROR('Cashflow Data'!G30,0)</f>
        <v>0</v>
      </c>
      <c r="F96" s="23">
        <f>IFERROR('Cashflow Data'!H30,0)</f>
        <v>0</v>
      </c>
      <c r="G96" s="23">
        <f>IFERROR('Cashflow Data'!I30,0)</f>
        <v>0</v>
      </c>
      <c r="H96" s="23">
        <f>IFERROR('Cashflow Data'!J30,0)</f>
        <v>-1346</v>
      </c>
      <c r="I96" s="23">
        <f>IFERROR('Cashflow Data'!K30,0)</f>
        <v>-1477</v>
      </c>
      <c r="J96" s="23">
        <f>IFERROR('Cashflow Data'!L30,0)</f>
        <v>-1559</v>
      </c>
      <c r="K96" s="23">
        <f>IFERROR('Cashflow Data'!M30,0)</f>
        <v>-1517</v>
      </c>
      <c r="L96" s="23">
        <f>IFERROR('Cashflow Data'!N30,0)</f>
        <v>-1924</v>
      </c>
    </row>
    <row r="97" spans="2:12">
      <c r="B97" t="s">
        <v>114</v>
      </c>
      <c r="C97" s="23">
        <f>IFERROR('Cashflow Data'!E31,0)</f>
        <v>-57</v>
      </c>
      <c r="D97" s="23">
        <f>IFERROR('Cashflow Data'!F31,0)</f>
        <v>0</v>
      </c>
      <c r="E97" s="23">
        <f>IFERROR('Cashflow Data'!G31,0)</f>
        <v>0</v>
      </c>
      <c r="F97" s="23">
        <f>IFERROR('Cashflow Data'!H31,0)</f>
        <v>0</v>
      </c>
      <c r="G97" s="23">
        <f>IFERROR('Cashflow Data'!I31,0)</f>
        <v>0</v>
      </c>
      <c r="H97" s="23">
        <f>IFERROR('Cashflow Data'!J31,0)</f>
        <v>-29</v>
      </c>
      <c r="I97" s="23">
        <f>IFERROR('Cashflow Data'!K31,0)</f>
        <v>0</v>
      </c>
      <c r="J97" s="23">
        <f>IFERROR('Cashflow Data'!L31,0)</f>
        <v>3750</v>
      </c>
      <c r="K97" s="23">
        <f>IFERROR('Cashflow Data'!M31,0)</f>
        <v>3355</v>
      </c>
      <c r="L97" s="23">
        <f>IFERROR('Cashflow Data'!N31,0)</f>
        <v>3812</v>
      </c>
    </row>
    <row r="98" spans="2:12">
      <c r="B98" s="38" t="s">
        <v>119</v>
      </c>
      <c r="C98" s="85">
        <f>SUM(C90:C97)</f>
        <v>5203</v>
      </c>
      <c r="D98" s="85">
        <f t="shared" ref="D98:H98" si="47">SUM(D90:D97)</f>
        <v>-3796</v>
      </c>
      <c r="E98" s="85">
        <f t="shared" si="47"/>
        <v>6206</v>
      </c>
      <c r="F98" s="85">
        <f t="shared" si="47"/>
        <v>2011</v>
      </c>
      <c r="G98" s="85">
        <f t="shared" si="47"/>
        <v>8830</v>
      </c>
      <c r="H98" s="85">
        <f t="shared" si="47"/>
        <v>3389</v>
      </c>
      <c r="I98" s="85">
        <f>SUM(I90:I97)</f>
        <v>9905</v>
      </c>
      <c r="J98" s="85">
        <f t="shared" ref="J98" si="48">SUM(J90:J97)</f>
        <v>-3379</v>
      </c>
      <c r="K98" s="85">
        <f t="shared" ref="K98" si="49">SUM(K90:K97)</f>
        <v>-26242</v>
      </c>
      <c r="L98" s="85">
        <f>SUM(L90:L97)</f>
        <v>-37006</v>
      </c>
    </row>
    <row r="100" spans="2:12">
      <c r="B100" s="38" t="s">
        <v>21</v>
      </c>
      <c r="C100" s="85">
        <f>IFERROR(SUM(C73,C87,C98),0)</f>
        <v>4501</v>
      </c>
      <c r="D100" s="85">
        <f t="shared" ref="D100:L100" si="50">IFERROR(SUM(D73,D87,D98),0)</f>
        <v>-2591</v>
      </c>
      <c r="E100" s="85">
        <f t="shared" si="50"/>
        <v>-3167</v>
      </c>
      <c r="F100" s="85">
        <f t="shared" si="50"/>
        <v>728</v>
      </c>
      <c r="G100" s="85">
        <f t="shared" si="50"/>
        <v>6842</v>
      </c>
      <c r="H100" s="85">
        <f t="shared" si="50"/>
        <v>-3095</v>
      </c>
      <c r="I100" s="85">
        <f t="shared" si="50"/>
        <v>13234</v>
      </c>
      <c r="J100" s="85">
        <f>IFERROR(SUM(J73,J87,J98),0)</f>
        <v>6462</v>
      </c>
      <c r="K100" s="85">
        <f t="shared" si="50"/>
        <v>-6273</v>
      </c>
      <c r="L100" s="85">
        <f t="shared" si="50"/>
        <v>8129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B2:N50"/>
  <sheetViews>
    <sheetView showGridLines="0" zoomScaleNormal="100" workbookViewId="0">
      <selection activeCell="P3" sqref="P3"/>
    </sheetView>
  </sheetViews>
  <sheetFormatPr defaultRowHeight="15"/>
  <cols>
    <col min="1" max="1" width="1.85546875" customWidth="1"/>
    <col min="2" max="2" width="26.140625" bestFit="1" customWidth="1"/>
    <col min="10" max="10" width="10.42578125" bestFit="1" customWidth="1"/>
    <col min="13" max="14" width="10.85546875" bestFit="1" customWidth="1"/>
  </cols>
  <sheetData>
    <row r="2" spans="2:14">
      <c r="B2" s="82" t="str">
        <f>"Ratio Analysis- "&amp;'Data Sheet'!B1</f>
        <v>Ratio Analysis- TATA MOTORS LTD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11"/>
      <c r="N2" s="11"/>
    </row>
    <row r="3" spans="2:14">
      <c r="B3" s="10" t="s">
        <v>57</v>
      </c>
      <c r="C3" s="11">
        <f>'Data Sheet'!B16</f>
        <v>42094</v>
      </c>
      <c r="D3" s="11">
        <f>'Data Sheet'!C16</f>
        <v>42460</v>
      </c>
      <c r="E3" s="11">
        <f>'Data Sheet'!D16</f>
        <v>42825</v>
      </c>
      <c r="F3" s="11">
        <f>'Data Sheet'!E16</f>
        <v>43190</v>
      </c>
      <c r="G3" s="11">
        <f>'Data Sheet'!F16</f>
        <v>43555</v>
      </c>
      <c r="H3" s="11">
        <f>'Data Sheet'!G16</f>
        <v>43921</v>
      </c>
      <c r="I3" s="11">
        <f>'Data Sheet'!H16</f>
        <v>44286</v>
      </c>
      <c r="J3" s="11">
        <f>'Data Sheet'!I16</f>
        <v>44651</v>
      </c>
      <c r="K3" s="11">
        <f>'Data Sheet'!J16</f>
        <v>45016</v>
      </c>
      <c r="L3" s="11">
        <f>'Data Sheet'!K16</f>
        <v>45382</v>
      </c>
      <c r="M3" s="12" t="s">
        <v>149</v>
      </c>
      <c r="N3" s="12" t="s">
        <v>150</v>
      </c>
    </row>
    <row r="5" spans="2:14">
      <c r="B5" s="40" t="s">
        <v>10</v>
      </c>
      <c r="C5" s="40"/>
      <c r="D5" s="41">
        <f>IFERROR(HistoricalFS!D7,0)</f>
        <v>3.75690010654397E-2</v>
      </c>
      <c r="E5" s="41">
        <f>IFERROR(HistoricalFS!E7,0)</f>
        <v>-1.2280329732469508E-2</v>
      </c>
      <c r="F5" s="41">
        <f>IFERROR(HistoricalFS!F7,0)</f>
        <v>8.104774581985974E-2</v>
      </c>
      <c r="G5" s="41">
        <f>IFERROR(HistoricalFS!G7,0)</f>
        <v>3.5629919045237157E-2</v>
      </c>
      <c r="H5" s="41">
        <f>IFERROR(HistoricalFS!H7,0)</f>
        <v>-0.135360159555724</v>
      </c>
      <c r="I5" s="41">
        <f>IFERROR(HistoricalFS!I7,0)</f>
        <v>-4.3181168490336042E-2</v>
      </c>
      <c r="J5" s="41">
        <f>IFERROR(HistoricalFS!J7,0)</f>
        <v>0.11472967306158344</v>
      </c>
      <c r="K5" s="41">
        <f>IFERROR(HistoricalFS!K7,0)</f>
        <v>0.24245815155859707</v>
      </c>
      <c r="L5" s="41">
        <f>IFERROR(HistoricalFS!L7,0)</f>
        <v>0.26580803363974326</v>
      </c>
      <c r="M5" s="46">
        <f>IFERROR((AVERAGE(D5:L5)),0)</f>
        <v>6.5157874045770087E-2</v>
      </c>
      <c r="N5" s="55">
        <f>IFERROR(MEDIAN(C5:L5),0)</f>
        <v>3.75690010654397E-2</v>
      </c>
    </row>
    <row r="6" spans="2:14">
      <c r="B6" s="5" t="s">
        <v>121</v>
      </c>
      <c r="C6" s="5"/>
      <c r="D6" s="42">
        <f>IFERROR(HistoricalFS!D18/HistoricalFS!C18-1,0)</f>
        <v>-2.1494113584437979E-2</v>
      </c>
      <c r="E6" s="42">
        <f>IFERROR(HistoricalFS!E18/HistoricalFS!D18-1,0)</f>
        <v>-0.22936587208052905</v>
      </c>
      <c r="F6" s="42">
        <f>IFERROR(HistoricalFS!F18/HistoricalFS!E18-1,0)</f>
        <v>6.3165689322506102E-2</v>
      </c>
      <c r="G6" s="42">
        <f>IFERROR(HistoricalFS!G18/HistoricalFS!F18-1,0)</f>
        <v>-0.21595203460649259</v>
      </c>
      <c r="H6" s="42">
        <f>IFERROR(HistoricalFS!H18/HistoricalFS!G18-1,0)</f>
        <v>-0.27072537547138131</v>
      </c>
      <c r="I6" s="42">
        <f>IFERROR(HistoricalFS!I18/HistoricalFS!H18-1,0)</f>
        <v>0.79503554497758966</v>
      </c>
      <c r="J6" s="42">
        <f>IFERROR(HistoricalFS!J18/HistoricalFS!I18-1,0)</f>
        <v>-0.234374182150762</v>
      </c>
      <c r="K6" s="42">
        <f>IFERROR(HistoricalFS!K18/HistoricalFS!J18-1,0)</f>
        <v>0.28704223973294352</v>
      </c>
      <c r="L6" s="42">
        <f>IFERROR(HistoricalFS!L18/HistoricalFS!K18-1,0)</f>
        <v>0.87134505497269021</v>
      </c>
      <c r="M6" s="42">
        <f t="shared" ref="M6:M9" si="0">IFERROR((AVERAGE(D6:L6)),0)</f>
        <v>0.11607521679023629</v>
      </c>
      <c r="N6" s="56">
        <f t="shared" ref="N6:N40" si="1">IFERROR(MEDIAN(C6:L6),0)</f>
        <v>-2.1494113584437979E-2</v>
      </c>
    </row>
    <row r="7" spans="2:14">
      <c r="B7" s="5" t="s">
        <v>122</v>
      </c>
      <c r="C7" s="5"/>
      <c r="D7" s="42">
        <f>IFERROR(HistoricalFS!D27/HistoricalFS!C27-1,0)</f>
        <v>-0.19978245260625749</v>
      </c>
      <c r="E7" s="42">
        <f>IFERROR(HistoricalFS!E27/HistoricalFS!D27-1,0)</f>
        <v>-0.55668251823863213</v>
      </c>
      <c r="F7" s="42">
        <f>IFERROR(HistoricalFS!F27/HistoricalFS!E27-1,0)</f>
        <v>-0.29861436616351744</v>
      </c>
      <c r="G7" s="42">
        <f>IFERROR(HistoricalFS!G27/HistoricalFS!F27-1,0)</f>
        <v>-1.897095149646705</v>
      </c>
      <c r="H7" s="42">
        <f>IFERROR(HistoricalFS!H27/HistoricalFS!G27-1,0)</f>
        <v>1.2800251873039095</v>
      </c>
      <c r="I7" s="42">
        <f>IFERROR(HistoricalFS!I27/HistoricalFS!H27-1,0)</f>
        <v>-1.0602479570180365</v>
      </c>
      <c r="J7" s="42">
        <f>IFERROR(HistoricalFS!J27/HistoricalFS!I27-1,0)</f>
        <v>-15.64914925025267</v>
      </c>
      <c r="K7" s="42">
        <f>IFERROR(HistoricalFS!K27/HistoricalFS!J27-1,0)</f>
        <v>-0.65313668793078505</v>
      </c>
      <c r="L7" s="42">
        <f>IFERROR(HistoricalFS!L27/HistoricalFS!K27-1,0)</f>
        <v>-7.8141215397976129</v>
      </c>
      <c r="M7" s="42">
        <f t="shared" si="0"/>
        <v>-2.9832005260389232</v>
      </c>
      <c r="N7" s="56">
        <f t="shared" si="1"/>
        <v>-0.65313668793078505</v>
      </c>
    </row>
    <row r="8" spans="2:14">
      <c r="B8" s="5" t="s">
        <v>123</v>
      </c>
      <c r="C8" s="5"/>
      <c r="D8" s="42">
        <f>IFERROR(HistoricalFS!D33/HistoricalFS!C33-1,0)</f>
        <v>3.1824673563310757E-2</v>
      </c>
      <c r="E8" s="42">
        <f>IFERROR(HistoricalFS!E33/HistoricalFS!D33-1,0)</f>
        <v>-0.69539895165986787</v>
      </c>
      <c r="F8" s="42">
        <f>IFERROR(HistoricalFS!F33/HistoricalFS!E33-1,0)</f>
        <v>-0.79011124197155724</v>
      </c>
      <c r="G8" s="42">
        <f>IFERROR(HistoricalFS!G33/HistoricalFS!F33-1,0)</f>
        <v>-3.5528470983790919</v>
      </c>
      <c r="H8" s="42">
        <f>IFERROR(HistoricalFS!H33/HistoricalFS!G33-1,0)</f>
        <v>3.9286702707513577</v>
      </c>
      <c r="I8" s="42">
        <f>IFERROR(HistoricalFS!I33/HistoricalFS!H33-1,0)</f>
        <v>-0.82862505348950144</v>
      </c>
      <c r="J8" s="42">
        <f>IFERROR(HistoricalFS!J33/HistoricalFS!I33-1,0)</f>
        <v>6.1952157445306248</v>
      </c>
      <c r="K8" s="42">
        <f>IFERROR(HistoricalFS!K33/HistoricalFS!J33-1,0)</f>
        <v>-0.7090436533357708</v>
      </c>
      <c r="L8" s="42">
        <f>IFERROR(HistoricalFS!L33/HistoricalFS!K33-1,0)</f>
        <v>-7.5761027654059525</v>
      </c>
      <c r="M8" s="42">
        <f t="shared" si="0"/>
        <v>-0.44404645282182759</v>
      </c>
      <c r="N8" s="56">
        <f>IFERROR(MEDIAN(C8:L8),0)</f>
        <v>-0.7090436533357708</v>
      </c>
    </row>
    <row r="9" spans="2:14">
      <c r="B9" s="43" t="s">
        <v>124</v>
      </c>
      <c r="C9" s="43"/>
      <c r="D9" s="44">
        <f>IFERROR(HistoricalFS!D41/HistoricalFS!C41-1,0)</f>
        <v>0</v>
      </c>
      <c r="E9" s="44">
        <f>IFERROR(HistoricalFS!E41/HistoricalFS!D41-1,0)</f>
        <v>-1</v>
      </c>
      <c r="F9" s="44">
        <f>IFERROR(HistoricalFS!F41/HistoricalFS!E41-1,0)</f>
        <v>0</v>
      </c>
      <c r="G9" s="44">
        <f>IFERROR(HistoricalFS!G41/HistoricalFS!F41-1,0)</f>
        <v>0</v>
      </c>
      <c r="H9" s="44">
        <f>IFERROR(HistoricalFS!H41/HistoricalFS!G41-1,0)</f>
        <v>0</v>
      </c>
      <c r="I9" s="44">
        <f>IFERROR(HistoricalFS!I41/HistoricalFS!H41-1,0)</f>
        <v>0</v>
      </c>
      <c r="J9" s="44">
        <f>IFERROR(HistoricalFS!J41/HistoricalFS!I41-1,0)</f>
        <v>0</v>
      </c>
      <c r="K9" s="44">
        <f>IFERROR(HistoricalFS!K41/HistoricalFS!J41-1,0)</f>
        <v>0</v>
      </c>
      <c r="L9" s="44">
        <f>IFERROR(HistoricalFS!L41/HistoricalFS!K41-1,0)</f>
        <v>5.0994148647671187</v>
      </c>
      <c r="M9" s="48">
        <f t="shared" si="0"/>
        <v>0.45549054052967985</v>
      </c>
      <c r="N9" s="57">
        <f t="shared" si="1"/>
        <v>0</v>
      </c>
    </row>
    <row r="10" spans="2:14">
      <c r="N10" s="14"/>
    </row>
    <row r="11" spans="2:14">
      <c r="B11" s="45" t="s">
        <v>125</v>
      </c>
      <c r="C11" s="46">
        <f>IFERROR(HistoricalFS!C13,0)</f>
        <v>0.22914703499762759</v>
      </c>
      <c r="D11" s="46">
        <f>IFERROR(HistoricalFS!D13,0)</f>
        <v>0.24734524196690946</v>
      </c>
      <c r="E11" s="46">
        <f>IFERROR(HistoricalFS!E13,0)</f>
        <v>0.23819078253229964</v>
      </c>
      <c r="F11" s="46">
        <f>IFERROR(HistoricalFS!F13,0)</f>
        <v>0.21649990080619999</v>
      </c>
      <c r="G11" s="46">
        <f>IFERROR(HistoricalFS!G13,0)</f>
        <v>0.19571167496416494</v>
      </c>
      <c r="H11" s="46">
        <f>IFERROR(HistoricalFS!H13,0)</f>
        <v>0.19417127271491774</v>
      </c>
      <c r="I11" s="46">
        <f>IFERROR(HistoricalFS!I13,0)</f>
        <v>0.2180538622208833</v>
      </c>
      <c r="J11" s="46">
        <f>IFERROR(HistoricalFS!J13,0)</f>
        <v>0.19807108271747378</v>
      </c>
      <c r="K11" s="46">
        <f>IFERROR(HistoricalFS!K13,0)</f>
        <v>0.20685017994636876</v>
      </c>
      <c r="L11" s="46">
        <f>IFERROR(HistoricalFS!L13,0)</f>
        <v>0.23605714704961514</v>
      </c>
      <c r="M11" s="46">
        <f>IFERROR(AVERAGE(C11:L11),0)</f>
        <v>0.21800981799164604</v>
      </c>
      <c r="N11" s="55">
        <f t="shared" si="1"/>
        <v>0.21727688151354163</v>
      </c>
    </row>
    <row r="12" spans="2:14">
      <c r="B12" s="5" t="s">
        <v>126</v>
      </c>
      <c r="C12" s="42">
        <f>IFERROR(HistoricalFS!C19,0)</f>
        <v>0.14910625508580397</v>
      </c>
      <c r="D12" s="42">
        <f>IFERROR(HistoricalFS!D19,0)</f>
        <v>0.14061845347443788</v>
      </c>
      <c r="E12" s="42">
        <f>IFERROR(HistoricalFS!E19,0)</f>
        <v>0.10971268723777329</v>
      </c>
      <c r="F12" s="42">
        <f>IFERROR(HistoricalFS!F19,0)</f>
        <v>0.10789788444182975</v>
      </c>
      <c r="G12" s="42">
        <f>IFERROR(HistoricalFS!G19,0)</f>
        <v>8.1686628795807431E-2</v>
      </c>
      <c r="H12" s="42">
        <f>IFERROR(HistoricalFS!H19,0)</f>
        <v>6.8898034485042198E-2</v>
      </c>
      <c r="I12" s="42">
        <f>IFERROR(HistoricalFS!I19,0)</f>
        <v>0.12925583904385496</v>
      </c>
      <c r="J12" s="42">
        <f>IFERROR(HistoricalFS!J19,0)</f>
        <v>8.877632835227646E-2</v>
      </c>
      <c r="K12" s="42">
        <f>IFERROR(HistoricalFS!K19,0)</f>
        <v>9.1961958102532049E-2</v>
      </c>
      <c r="L12" s="42">
        <f>IFERROR(HistoricalFS!L19,0)</f>
        <v>0.13595470321509878</v>
      </c>
      <c r="M12" s="42">
        <f t="shared" ref="M12:M40" si="2">IFERROR(AVERAGE(C12:L12),0)</f>
        <v>0.11038687722344567</v>
      </c>
      <c r="N12" s="56">
        <f t="shared" si="1"/>
        <v>0.10880528583980152</v>
      </c>
    </row>
    <row r="13" spans="2:14">
      <c r="B13" s="5" t="s">
        <v>127</v>
      </c>
      <c r="C13" s="42">
        <f>IFERROR((HistoricalFS!C18-HistoricalFS!C24)/HistoricalFS!C6,0)</f>
        <v>9.8229670900837146E-2</v>
      </c>
      <c r="D13" s="42">
        <f>IFERROR((HistoricalFS!D18-HistoricalFS!D24)/HistoricalFS!D6,0)</f>
        <v>7.941702777851016E-2</v>
      </c>
      <c r="E13" s="42">
        <f>IFERROR((HistoricalFS!E18-HistoricalFS!E24)/HistoricalFS!E6,0)</f>
        <v>4.3322300645279484E-2</v>
      </c>
      <c r="F13" s="42">
        <f>IFERROR((HistoricalFS!F18-HistoricalFS!F24)/HistoricalFS!F6,0)</f>
        <v>3.3970412259310953E-2</v>
      </c>
      <c r="G13" s="42">
        <f>IFERROR((HistoricalFS!G18-HistoricalFS!G24)/HistoricalFS!G6,0)</f>
        <v>3.5560233478087663E-3</v>
      </c>
      <c r="H13" s="42">
        <f>IFERROR((HistoricalFS!H18-HistoricalFS!H24)/HistoricalFS!H6,0)</f>
        <v>-1.3170363258273456E-2</v>
      </c>
      <c r="I13" s="42">
        <f>IFERROR((HistoricalFS!I18-HistoricalFS!I24)/HistoricalFS!I6,0)</f>
        <v>3.4991608110258483E-2</v>
      </c>
      <c r="J13" s="42">
        <f>IFERROR((HistoricalFS!J18-HistoricalFS!J24)/HistoricalFS!J6,0)</f>
        <v>-4.1514992694289269E-4</v>
      </c>
      <c r="K13" s="42">
        <f>IFERROR((HistoricalFS!K18-HistoricalFS!K24)/HistoricalFS!K6,0)</f>
        <v>2.0104346955433228E-2</v>
      </c>
      <c r="L13" s="42">
        <f>IFERROR((HistoricalFS!L18-HistoricalFS!L24)/HistoricalFS!L6,0)</f>
        <v>7.3683863437114389E-2</v>
      </c>
      <c r="M13" s="42">
        <f t="shared" si="2"/>
        <v>3.7368974024933624E-2</v>
      </c>
      <c r="N13" s="56">
        <f t="shared" si="1"/>
        <v>3.4481010184784722E-2</v>
      </c>
    </row>
    <row r="14" spans="2:14">
      <c r="B14" s="5" t="s">
        <v>137</v>
      </c>
      <c r="C14" s="42">
        <f>IFERROR(HistoricalFS!C28,0)</f>
        <v>7.9756085085905037E-2</v>
      </c>
      <c r="D14" s="42">
        <f>IFERROR(HistoricalFS!D28,0)</f>
        <v>6.1511300676516931E-2</v>
      </c>
      <c r="E14" s="42">
        <f>IFERROR(HistoricalFS!E28,0)</f>
        <v>2.7608071132565179E-2</v>
      </c>
      <c r="F14" s="42">
        <f>IFERROR(HistoricalFS!F28,0)</f>
        <v>1.7912163958707913E-2</v>
      </c>
      <c r="G14" s="42">
        <f>IFERROR(HistoricalFS!G28,0)</f>
        <v>-1.5516078776333117E-2</v>
      </c>
      <c r="H14" s="42">
        <f>IFERROR(HistoricalFS!H28,0)</f>
        <v>-4.0915360088026265E-2</v>
      </c>
      <c r="I14" s="42">
        <f>IFERROR(HistoricalFS!I28,0)</f>
        <v>2.5763151547420113E-3</v>
      </c>
      <c r="J14" s="42">
        <f>IFERROR(HistoricalFS!J28,0)</f>
        <v>-3.3856482095653805E-2</v>
      </c>
      <c r="K14" s="42">
        <f>IFERROR(HistoricalFS!K28,0)</f>
        <v>-9.4518849588445895E-3</v>
      </c>
      <c r="L14" s="42">
        <f>IFERROR(HistoricalFS!L28,0)</f>
        <v>5.0881564327377643E-2</v>
      </c>
      <c r="M14" s="42">
        <f t="shared" si="2"/>
        <v>1.4050569441695698E-2</v>
      </c>
      <c r="N14" s="56">
        <f t="shared" si="1"/>
        <v>1.0244239556724962E-2</v>
      </c>
    </row>
    <row r="15" spans="2:14">
      <c r="B15" s="47" t="s">
        <v>128</v>
      </c>
      <c r="C15" s="48">
        <f>IFERROR(HistoricalFS!C34,0)</f>
        <v>5.0713146858982282E-2</v>
      </c>
      <c r="D15" s="48">
        <f>IFERROR(HistoricalFS!D34,0)</f>
        <v>5.0432381990407359E-2</v>
      </c>
      <c r="E15" s="48">
        <f>IFERROR(HistoricalFS!E34,0)</f>
        <v>1.5552749314395296E-2</v>
      </c>
      <c r="F15" s="48">
        <f>IFERROR(HistoricalFS!F34,0)</f>
        <v>3.01961430487095E-3</v>
      </c>
      <c r="G15" s="48">
        <f>IFERROR(HistoricalFS!G34,0)</f>
        <v>-7.4434056747998256E-3</v>
      </c>
      <c r="H15" s="48">
        <f>IFERROR(HistoricalFS!H34,0)</f>
        <v>-4.2429333632923408E-2</v>
      </c>
      <c r="I15" s="48">
        <f>IFERROR(HistoricalFS!I34,0)</f>
        <v>-7.5994791724005731E-3</v>
      </c>
      <c r="J15" s="48">
        <f>IFERROR(HistoricalFS!J34,0)</f>
        <v>-4.9052154538339235E-2</v>
      </c>
      <c r="K15" s="48">
        <f>IFERROR(HistoricalFS!K34,0)</f>
        <v>-1.1486934720964945E-2</v>
      </c>
      <c r="L15" s="48">
        <f>IFERROR(HistoricalFS!L34,0)</f>
        <v>5.9676713353894045E-2</v>
      </c>
      <c r="M15" s="48">
        <f t="shared" si="2"/>
        <v>6.1383298083121946E-3</v>
      </c>
      <c r="N15" s="57">
        <f t="shared" si="1"/>
        <v>-2.2118956849644378E-3</v>
      </c>
    </row>
    <row r="16" spans="2:14">
      <c r="M16" s="24"/>
      <c r="N16" s="14"/>
    </row>
    <row r="17" spans="2:14">
      <c r="B17" s="45" t="s">
        <v>129</v>
      </c>
      <c r="C17" s="46">
        <f>IFERROR(HistoricalFS!C16,0)</f>
        <v>8.0040779911823637E-2</v>
      </c>
      <c r="D17" s="46">
        <f>IFERROR(HistoricalFS!D16,0)</f>
        <v>0.10672678849247161</v>
      </c>
      <c r="E17" s="46">
        <f>IFERROR(HistoricalFS!E16,0)</f>
        <v>0.12847809529452636</v>
      </c>
      <c r="F17" s="46">
        <f>IFERROR(HistoricalFS!F16,0)</f>
        <v>0.10860201636437025</v>
      </c>
      <c r="G17" s="46">
        <f>IFERROR(HistoricalFS!G16,0)</f>
        <v>0.11402504616835751</v>
      </c>
      <c r="H17" s="46">
        <f>IFERROR(HistoricalFS!H16,0)</f>
        <v>0.12527323822987554</v>
      </c>
      <c r="I17" s="46">
        <f>IFERROR(HistoricalFS!I16,0)</f>
        <v>8.8798023177028354E-2</v>
      </c>
      <c r="J17" s="46">
        <f>IFERROR(HistoricalFS!J16,0)</f>
        <v>0.10929475436519734</v>
      </c>
      <c r="K17" s="46">
        <f>IFERROR(HistoricalFS!K16,0)</f>
        <v>0.11488822184383672</v>
      </c>
      <c r="L17" s="46">
        <f>IFERROR(HistoricalFS!L16,0)</f>
        <v>0.10010244383451636</v>
      </c>
      <c r="M17" s="46">
        <f t="shared" si="2"/>
        <v>0.10762294076820036</v>
      </c>
      <c r="N17" s="55">
        <f t="shared" si="1"/>
        <v>0.1089483853647838</v>
      </c>
    </row>
    <row r="18" spans="2:14">
      <c r="B18" s="5" t="s">
        <v>130</v>
      </c>
      <c r="C18" s="42">
        <f>IFERROR(HistoricalFS!C25,0)</f>
        <v>5.0876584184966822E-2</v>
      </c>
      <c r="D18" s="42">
        <f>IFERROR(HistoricalFS!D25,0)</f>
        <v>6.1201425695927715E-2</v>
      </c>
      <c r="E18" s="42">
        <f>IFERROR(HistoricalFS!E25,0)</f>
        <v>6.63903865924938E-2</v>
      </c>
      <c r="F18" s="42">
        <f>IFERROR(HistoricalFS!F25,0)</f>
        <v>7.3927472182518786E-2</v>
      </c>
      <c r="G18" s="42">
        <f>IFERROR(HistoricalFS!G25,0)</f>
        <v>7.8130605447998658E-2</v>
      </c>
      <c r="H18" s="42">
        <f>IFERROR(HistoricalFS!H25,0)</f>
        <v>8.206839774331566E-2</v>
      </c>
      <c r="I18" s="42">
        <f>IFERROR(HistoricalFS!I25,0)</f>
        <v>9.4264230933596482E-2</v>
      </c>
      <c r="J18" s="42">
        <f>IFERROR(HistoricalFS!J25,0)</f>
        <v>8.9191478279219347E-2</v>
      </c>
      <c r="K18" s="42">
        <f>IFERROR(HistoricalFS!K25,0)</f>
        <v>7.1857611147098821E-2</v>
      </c>
      <c r="L18" s="42">
        <f>IFERROR(HistoricalFS!L25,0)</f>
        <v>6.2270839777984394E-2</v>
      </c>
      <c r="M18" s="42">
        <f t="shared" si="2"/>
        <v>7.3017903198512063E-2</v>
      </c>
      <c r="N18" s="56">
        <f t="shared" si="1"/>
        <v>7.2892541664808796E-2</v>
      </c>
    </row>
    <row r="19" spans="2:14">
      <c r="B19" s="47" t="s">
        <v>135</v>
      </c>
      <c r="C19" s="48">
        <f>C13</f>
        <v>9.8229670900837146E-2</v>
      </c>
      <c r="D19" s="48">
        <f t="shared" ref="D19:L19" si="3">D13</f>
        <v>7.941702777851016E-2</v>
      </c>
      <c r="E19" s="48">
        <f t="shared" si="3"/>
        <v>4.3322300645279484E-2</v>
      </c>
      <c r="F19" s="48">
        <f t="shared" si="3"/>
        <v>3.3970412259310953E-2</v>
      </c>
      <c r="G19" s="48">
        <f t="shared" si="3"/>
        <v>3.5560233478087663E-3</v>
      </c>
      <c r="H19" s="48">
        <f t="shared" si="3"/>
        <v>-1.3170363258273456E-2</v>
      </c>
      <c r="I19" s="48">
        <f t="shared" si="3"/>
        <v>3.4991608110258483E-2</v>
      </c>
      <c r="J19" s="48">
        <f t="shared" si="3"/>
        <v>-4.1514992694289269E-4</v>
      </c>
      <c r="K19" s="48">
        <f t="shared" si="3"/>
        <v>2.0104346955433228E-2</v>
      </c>
      <c r="L19" s="48">
        <f t="shared" si="3"/>
        <v>7.3683863437114389E-2</v>
      </c>
      <c r="M19" s="48">
        <f t="shared" si="2"/>
        <v>3.7368974024933624E-2</v>
      </c>
      <c r="N19" s="57">
        <f t="shared" si="1"/>
        <v>3.4481010184784722E-2</v>
      </c>
    </row>
    <row r="20" spans="2:14">
      <c r="M20" s="24"/>
      <c r="N20" s="14"/>
    </row>
    <row r="21" spans="2:14">
      <c r="B21" s="45" t="s">
        <v>131</v>
      </c>
      <c r="C21" s="46">
        <f>IFERROR((HistoricalFS!C18-HistoricalFS!C24)/SUM(HistoricalFS!C47,HistoricalFS!C48,HistoricalFS!C49),0)</f>
        <v>0.19904181268509033</v>
      </c>
      <c r="D21" s="46">
        <f>IFERROR((HistoricalFS!D18-HistoricalFS!D24)/SUM(HistoricalFS!D47,HistoricalFS!D48,HistoricalFS!D49),0)</f>
        <v>0.1462081011853561</v>
      </c>
      <c r="E21" s="46">
        <f>IFERROR((HistoricalFS!E18-HistoricalFS!E24)/SUM(HistoricalFS!E47,HistoricalFS!E48,HistoricalFS!E49),0)</f>
        <v>8.5490986154773282E-2</v>
      </c>
      <c r="F21" s="46">
        <f>IFERROR((HistoricalFS!F18-HistoricalFS!F24)/SUM(HistoricalFS!F47,HistoricalFS!F48,HistoricalFS!F49),0)</f>
        <v>5.3716113570365424E-2</v>
      </c>
      <c r="G21" s="46">
        <f>IFERROR((HistoricalFS!G18-HistoricalFS!G24)/SUM(HistoricalFS!G47,HistoricalFS!G48,HistoricalFS!G49),0)</f>
        <v>6.4542733637543747E-3</v>
      </c>
      <c r="H21" s="46">
        <f>IFERROR((HistoricalFS!H18-HistoricalFS!H24)/SUM(HistoricalFS!H47,HistoricalFS!H48,HistoricalFS!H49),0)</f>
        <v>-1.8387082646096023E-2</v>
      </c>
      <c r="I21" s="46">
        <f>IFERROR((HistoricalFS!I18-HistoricalFS!I24)/SUM(HistoricalFS!I47,HistoricalFS!I48,HistoricalFS!I49),0)</f>
        <v>4.4284324706251613E-2</v>
      </c>
      <c r="J21" s="46">
        <f>IFERROR((HistoricalFS!J18-HistoricalFS!J24)/SUM(HistoricalFS!J47,HistoricalFS!J48,HistoricalFS!J49),0)</f>
        <v>-6.0520306054739361E-4</v>
      </c>
      <c r="K21" s="46">
        <f>IFERROR((HistoricalFS!K18-HistoricalFS!K24)/SUM(HistoricalFS!K47,HistoricalFS!K48,HistoricalFS!K49),0)</f>
        <v>3.8762956416083731E-2</v>
      </c>
      <c r="L21" s="46">
        <f>IFERROR((HistoricalFS!L18-HistoricalFS!L24)/SUM(HistoricalFS!L47,HistoricalFS!L48,HistoricalFS!L49),0)</f>
        <v>0.16790572738589757</v>
      </c>
      <c r="M21" s="46">
        <f t="shared" si="2"/>
        <v>7.2287200976092911E-2</v>
      </c>
      <c r="N21" s="55">
        <f t="shared" si="1"/>
        <v>4.9000219138308515E-2</v>
      </c>
    </row>
    <row r="22" spans="2:14">
      <c r="B22" s="5" t="s">
        <v>132</v>
      </c>
      <c r="C22" s="42">
        <f>IFERROR(HistoricalFS!C44,0)</f>
        <v>1</v>
      </c>
      <c r="D22" s="42">
        <f>IFERROR(HistoricalFS!D44,0)</f>
        <v>0.99506765991253665</v>
      </c>
      <c r="E22" s="42">
        <f>IFERROR(HistoricalFS!E44,0)</f>
        <v>1</v>
      </c>
      <c r="F22" s="42">
        <f>IFERROR(HistoricalFS!F44,0)</f>
        <v>1</v>
      </c>
      <c r="G22" s="42">
        <f>IFERROR(HistoricalFS!G44,0)</f>
        <v>0</v>
      </c>
      <c r="H22" s="42">
        <f>IFERROR(HistoricalFS!H44,0)</f>
        <v>0</v>
      </c>
      <c r="I22" s="42">
        <f>IFERROR(HistoricalFS!I44,0)</f>
        <v>0</v>
      </c>
      <c r="J22" s="42">
        <f>IFERROR(HistoricalFS!J44,0)</f>
        <v>0</v>
      </c>
      <c r="K22" s="42">
        <f>IFERROR(HistoricalFS!K44,0)</f>
        <v>0</v>
      </c>
      <c r="L22" s="42">
        <f>IFERROR(HistoricalFS!L44,0)</f>
        <v>0.82109000160327028</v>
      </c>
      <c r="M22" s="42">
        <f t="shared" si="2"/>
        <v>0.48161576615158069</v>
      </c>
      <c r="N22" s="56">
        <f t="shared" si="1"/>
        <v>0.41054500080163514</v>
      </c>
    </row>
    <row r="23" spans="2:14">
      <c r="B23" s="5" t="s">
        <v>133</v>
      </c>
      <c r="C23" s="42">
        <f>IFERROR((HistoricalFS!C33/SUM(HistoricalFS!C47,HistoricalFS!C48)),0)</f>
        <v>0.2372052002491202</v>
      </c>
      <c r="D23" s="42">
        <f>IFERROR((HistoricalFS!D33/SUM(HistoricalFS!D47,HistoricalFS!D48)),0)</f>
        <v>0.17441316864171685</v>
      </c>
      <c r="E23" s="42">
        <f>IFERROR((HistoricalFS!E33/SUM(HistoricalFS!E47,HistoricalFS!E48)),0)</f>
        <v>7.2241189530689517E-2</v>
      </c>
      <c r="F23" s="42">
        <f>IFERROR((HistoricalFS!F33/SUM(HistoricalFS!F47,HistoricalFS!F48)),0)</f>
        <v>9.2254980749341738E-3</v>
      </c>
      <c r="G23" s="42">
        <f>IFERROR((HistoricalFS!G33/SUM(HistoricalFS!G47,HistoricalFS!G48)),0)</f>
        <v>-3.7345736658758885E-2</v>
      </c>
      <c r="H23" s="42">
        <f>IFERROR((HistoricalFS!H33/SUM(HistoricalFS!H47,HistoricalFS!H48)),0)</f>
        <v>-0.1780542775131683</v>
      </c>
      <c r="I23" s="42">
        <f>IFERROR((HistoricalFS!I33/SUM(HistoricalFS!I47,HistoricalFS!I48)),0)</f>
        <v>-3.4360591904822733E-2</v>
      </c>
      <c r="J23" s="42">
        <f>IFERROR((HistoricalFS!J33/SUM(HistoricalFS!J47,HistoricalFS!J48)),0)</f>
        <v>-0.30651638060341208</v>
      </c>
      <c r="K23" s="42">
        <f>IFERROR((HistoricalFS!K33/SUM(HistoricalFS!K47,HistoricalFS!K48)),0)</f>
        <v>-8.7686298356707396E-2</v>
      </c>
      <c r="L23" s="42">
        <f>IFERROR((HistoricalFS!L33/SUM(HistoricalFS!L47,HistoricalFS!L48)),0)</f>
        <v>0.30775670464290195</v>
      </c>
      <c r="M23" s="42">
        <f t="shared" si="2"/>
        <v>1.5687847610249321E-2</v>
      </c>
      <c r="N23" s="56">
        <f t="shared" si="1"/>
        <v>-1.2567546914944279E-2</v>
      </c>
    </row>
    <row r="24" spans="2:14">
      <c r="B24" s="5" t="s">
        <v>134</v>
      </c>
      <c r="C24" s="42">
        <f>IFERROR(C22*C23,0)</f>
        <v>0.2372052002491202</v>
      </c>
      <c r="D24" s="42">
        <f t="shared" ref="D24:J24" si="4">IFERROR(D22*D23,0)</f>
        <v>0.17355290357824379</v>
      </c>
      <c r="E24" s="42">
        <f t="shared" si="4"/>
        <v>7.2241189530689517E-2</v>
      </c>
      <c r="F24" s="42">
        <f t="shared" si="4"/>
        <v>9.2254980749341738E-3</v>
      </c>
      <c r="G24" s="42">
        <f t="shared" si="4"/>
        <v>0</v>
      </c>
      <c r="H24" s="42">
        <f t="shared" si="4"/>
        <v>0</v>
      </c>
      <c r="I24" s="42">
        <f t="shared" si="4"/>
        <v>0</v>
      </c>
      <c r="J24" s="42">
        <f t="shared" si="4"/>
        <v>0</v>
      </c>
      <c r="K24" s="42">
        <f>IFERROR(K22*K23,0)</f>
        <v>0</v>
      </c>
      <c r="L24" s="42">
        <f t="shared" ref="L24" si="5">IFERROR(L22*L23,0)</f>
        <v>0.25269595310865756</v>
      </c>
      <c r="M24" s="42">
        <f t="shared" si="2"/>
        <v>7.4492074454164531E-2</v>
      </c>
      <c r="N24" s="56">
        <f t="shared" si="1"/>
        <v>4.6127490374670869E-3</v>
      </c>
    </row>
    <row r="25" spans="2:14">
      <c r="B25" s="47" t="s">
        <v>136</v>
      </c>
      <c r="C25" s="49">
        <f>IFERROR(((HistoricalFS!C18-HistoricalFS!C24)/HistoricalFS!C21),0)</f>
        <v>5.3173039541375138</v>
      </c>
      <c r="D25" s="49">
        <f>IFERROR(((HistoricalFS!D18-HistoricalFS!D24)/HistoricalFS!D21),0)</f>
        <v>4.4352863933500721</v>
      </c>
      <c r="E25" s="49">
        <f>IFERROR(((HistoricalFS!E18-HistoricalFS!E24)/HistoricalFS!E21),0)</f>
        <v>2.7568835373205922</v>
      </c>
      <c r="F25" s="49">
        <f>IFERROR(((HistoricalFS!F18-HistoricalFS!F24)/HistoricalFS!F21),0)</f>
        <v>2.1154494328024094</v>
      </c>
      <c r="G25" s="49">
        <f>IFERROR(((HistoricalFS!G18-HistoricalFS!G24)/HistoricalFS!G21),0)</f>
        <v>0.18645156808947008</v>
      </c>
      <c r="H25" s="49">
        <f>IFERROR(((HistoricalFS!H18-HistoricalFS!H24)/HistoricalFS!H21),0)</f>
        <v>-0.47469326953211261</v>
      </c>
      <c r="I25" s="49">
        <f>IFERROR(((HistoricalFS!I18-HistoricalFS!I24)/HistoricalFS!I21),0)</f>
        <v>1.079478385658198</v>
      </c>
      <c r="J25" s="49">
        <f>IFERROR(((HistoricalFS!J18-HistoricalFS!J24)/HistoricalFS!J21),0)</f>
        <v>-1.2414275987824557E-2</v>
      </c>
      <c r="K25" s="49">
        <f>IFERROR(((HistoricalFS!K18-HistoricalFS!K24)/HistoricalFS!K21),0)</f>
        <v>0.68020669934320532</v>
      </c>
      <c r="L25" s="49">
        <f>IFERROR(((HistoricalFS!L18-HistoricalFS!L24)/HistoricalFS!L21),0)</f>
        <v>3.231422545705088</v>
      </c>
      <c r="M25" s="49">
        <f t="shared" si="2"/>
        <v>1.9315374970886612</v>
      </c>
      <c r="N25" s="58">
        <f t="shared" si="1"/>
        <v>1.5974639092303038</v>
      </c>
    </row>
    <row r="26" spans="2:14">
      <c r="M26" s="24"/>
      <c r="N26" s="14"/>
    </row>
    <row r="27" spans="2:14">
      <c r="B27" s="45" t="s">
        <v>138</v>
      </c>
      <c r="C27" s="50">
        <f>IFERROR(HistoricalFS!C6/HistoricalFS!C59,0)</f>
        <v>20.92016821419486</v>
      </c>
      <c r="D27" s="50">
        <f>IFERROR(HistoricalFS!D6/HistoricalFS!D59,0)</f>
        <v>20.119918266350599</v>
      </c>
      <c r="E27" s="50">
        <f>IFERROR(HistoricalFS!E6/HistoricalFS!E59,0)</f>
        <v>19.160353236640844</v>
      </c>
      <c r="F27" s="50">
        <f>IFERROR(HistoricalFS!F6/HistoricalFS!F59,0)</f>
        <v>14.655712224718874</v>
      </c>
      <c r="G27" s="50">
        <f>IFERROR(HistoricalFS!G6/HistoricalFS!G59,0)</f>
        <v>15.894698773489607</v>
      </c>
      <c r="H27" s="50">
        <f>IFERROR(HistoricalFS!H6/HistoricalFS!H59,0)</f>
        <v>23.366617170976728</v>
      </c>
      <c r="I27" s="50">
        <f>IFERROR(HistoricalFS!I6/HistoricalFS!I59,0)</f>
        <v>19.701330853658153</v>
      </c>
      <c r="J27" s="50">
        <f>IFERROR(HistoricalFS!J6/HistoricalFS!J59,0)</f>
        <v>22.379917570317598</v>
      </c>
      <c r="K27" s="50">
        <f>IFERROR(HistoricalFS!K6/HistoricalFS!K59,0)</f>
        <v>21.982947610142858</v>
      </c>
      <c r="L27" s="50">
        <f>IFERROR(HistoricalFS!L6/HistoricalFS!L59,0)</f>
        <v>25.833687966063799</v>
      </c>
      <c r="M27" s="50">
        <f t="shared" si="2"/>
        <v>20.401535188655391</v>
      </c>
      <c r="N27" s="59">
        <f t="shared" si="1"/>
        <v>20.520043240272727</v>
      </c>
    </row>
    <row r="28" spans="2:14">
      <c r="B28" s="5" t="s">
        <v>139</v>
      </c>
      <c r="C28" s="51">
        <f>IFERROR(HistoricalFS!C6/HistoricalFS!C50,0)</f>
        <v>2.4493010585757142</v>
      </c>
      <c r="D28" s="51">
        <f>IFERROR(HistoricalFS!D6/HistoricalFS!D50,0)</f>
        <v>2.3769603927858673</v>
      </c>
      <c r="E28" s="51">
        <f>IFERROR(HistoricalFS!E6/HistoricalFS!E50,0)</f>
        <v>1.9842807783040648</v>
      </c>
      <c r="F28" s="51">
        <f>IFERROR(HistoricalFS!F6/HistoricalFS!F50,0)</f>
        <v>2.0414780318629697</v>
      </c>
      <c r="G28" s="51">
        <f>IFERROR(HistoricalFS!G6/HistoricalFS!G50,0)</f>
        <v>2.1667847518227492</v>
      </c>
      <c r="H28" s="51">
        <f>IFERROR(HistoricalFS!H6/HistoricalFS!H50,0)</f>
        <v>1.9602534811345065</v>
      </c>
      <c r="I28" s="51">
        <f>IFERROR(HistoricalFS!I6/HistoricalFS!I50,0)</f>
        <v>1.7323684804395676</v>
      </c>
      <c r="J28" s="51">
        <f>IFERROR(HistoricalFS!J6/HistoricalFS!J50,0)</f>
        <v>2.0170312149360217</v>
      </c>
      <c r="K28" s="51">
        <f>IFERROR(HistoricalFS!K6/HistoricalFS!K50,0)</f>
        <v>2.2286057258733614</v>
      </c>
      <c r="L28" s="51">
        <f>IFERROR(HistoricalFS!L6/HistoricalFS!L50,0)</f>
        <v>2.4694234112546125</v>
      </c>
      <c r="M28" s="51">
        <f t="shared" si="2"/>
        <v>2.1426487326989436</v>
      </c>
      <c r="N28" s="60">
        <f t="shared" si="1"/>
        <v>2.1041313918428592</v>
      </c>
    </row>
    <row r="29" spans="2:14">
      <c r="B29" s="5" t="s">
        <v>140</v>
      </c>
      <c r="C29" s="51">
        <f>IFERROR(HistoricalFS!C6/HistoricalFS!C60,0)</f>
        <v>8.9900219797938927</v>
      </c>
      <c r="D29" s="51">
        <f>IFERROR(HistoricalFS!D6/HistoricalFS!D60,0)</f>
        <v>8.3613381173839922</v>
      </c>
      <c r="E29" s="51">
        <f>IFERROR(HistoricalFS!E6/HistoricalFS!E60,0)</f>
        <v>7.6867643466738649</v>
      </c>
      <c r="F29" s="51">
        <f>IFERROR(HistoricalFS!F6/HistoricalFS!F60,0)</f>
        <v>6.9190051742350009</v>
      </c>
      <c r="G29" s="51">
        <f>IFERROR(HistoricalFS!G6/HistoricalFS!G60,0)</f>
        <v>7.7392856309817084</v>
      </c>
      <c r="H29" s="51">
        <f>IFERROR(HistoricalFS!H6/HistoricalFS!H60,0)</f>
        <v>6.9698269049637886</v>
      </c>
      <c r="I29" s="51">
        <f>IFERROR(HistoricalFS!I6/HistoricalFS!I60,0)</f>
        <v>6.9217098811563442</v>
      </c>
      <c r="J29" s="51">
        <f>IFERROR(HistoricalFS!J6/HistoricalFS!J60,0)</f>
        <v>7.9015588385356104</v>
      </c>
      <c r="K29" s="51">
        <f>IFERROR(HistoricalFS!K6/HistoricalFS!K60,0)</f>
        <v>8.4888641723217457</v>
      </c>
      <c r="L29" s="51">
        <f>IFERROR(HistoricalFS!L6/HistoricalFS!L60,0)</f>
        <v>9.1639137956181322</v>
      </c>
      <c r="M29" s="51">
        <f t="shared" si="2"/>
        <v>7.9142288841664072</v>
      </c>
      <c r="N29" s="60">
        <f t="shared" si="1"/>
        <v>7.8204222347586594</v>
      </c>
    </row>
    <row r="30" spans="2:14">
      <c r="B30" s="5" t="s">
        <v>141</v>
      </c>
      <c r="C30" s="51">
        <f>IFERROR(HistoricalFS!C6/HistoricalFS!C53,0)</f>
        <v>2.9742370802544178</v>
      </c>
      <c r="D30" s="51">
        <f>IFERROR(HistoricalFS!D6/HistoricalFS!D53,0)</f>
        <v>2.546312771514708</v>
      </c>
      <c r="E30" s="51">
        <f>IFERROR(HistoricalFS!E6/HistoricalFS!E53,0)</f>
        <v>2.8109343484246239</v>
      </c>
      <c r="F30" s="51">
        <f>IFERROR(HistoricalFS!F6/HistoricalFS!F53,0)</f>
        <v>2.4012948768781421</v>
      </c>
      <c r="G30" s="51">
        <f>IFERROR(HistoricalFS!G6/HistoricalFS!G53,0)</f>
        <v>2.7144319562092578</v>
      </c>
      <c r="H30" s="51">
        <f>IFERROR(HistoricalFS!H6/HistoricalFS!H53,0)</f>
        <v>2.0539205744067566</v>
      </c>
      <c r="I30" s="51">
        <f>IFERROR(HistoricalFS!I6/HistoricalFS!I53,0)</f>
        <v>1.8008727134726064</v>
      </c>
      <c r="J30" s="51">
        <f>IFERROR(HistoricalFS!J6/HistoricalFS!J53,0)</f>
        <v>2.0053488717943728</v>
      </c>
      <c r="K30" s="51">
        <f>IFERROR(HistoricalFS!K6/HistoricalFS!K53,0)</f>
        <v>2.6193791539294131</v>
      </c>
      <c r="L30" s="51">
        <f>IFERROR(HistoricalFS!L6/HistoricalFS!L53,0)</f>
        <v>3.6107194547475023</v>
      </c>
      <c r="M30" s="51">
        <f t="shared" si="2"/>
        <v>2.5537451801631801</v>
      </c>
      <c r="N30" s="60">
        <f t="shared" si="1"/>
        <v>2.5828459627220606</v>
      </c>
    </row>
    <row r="31" spans="2:14">
      <c r="B31" s="47" t="s">
        <v>142</v>
      </c>
      <c r="C31" s="49">
        <f>IFERROR(HistoricalFS!C6/SUM(HistoricalFS!C47:C48,),0)</f>
        <v>4.6773906756114965</v>
      </c>
      <c r="D31" s="49">
        <f>IFERROR(HistoricalFS!D6/SUM(HistoricalFS!D47:D48,),0)</f>
        <v>3.4583567493379874</v>
      </c>
      <c r="E31" s="49">
        <f>IFERROR(HistoricalFS!E6/SUM(HistoricalFS!E47:E48,),0)</f>
        <v>4.6449144180459854</v>
      </c>
      <c r="F31" s="49">
        <f>IFERROR(HistoricalFS!F6/SUM(HistoricalFS!F47:F48,),0)</f>
        <v>3.0551908765475422</v>
      </c>
      <c r="G31" s="49">
        <f>IFERROR(HistoricalFS!G6/SUM(HistoricalFS!G47:G48,),0)</f>
        <v>5.0172915853821474</v>
      </c>
      <c r="H31" s="49">
        <f>IFERROR(HistoricalFS!H6/SUM(HistoricalFS!H47:H48,),0)</f>
        <v>4.196490075795241</v>
      </c>
      <c r="I31" s="49">
        <f>IFERROR(HistoricalFS!I6/SUM(HistoricalFS!I47:I48,),0)</f>
        <v>4.5214403678625628</v>
      </c>
      <c r="J31" s="49">
        <f>IFERROR(HistoricalFS!J6/SUM(HistoricalFS!J47:J48,),0)</f>
        <v>6.2487852671963351</v>
      </c>
      <c r="K31" s="49">
        <f>IFERROR(HistoricalFS!K6/SUM(HistoricalFS!K47:K48,),0)</f>
        <v>7.6335680916398054</v>
      </c>
      <c r="L31" s="49">
        <f>IFERROR(HistoricalFS!L6/SUM(HistoricalFS!L47:L48,),0)</f>
        <v>5.1570652495194773</v>
      </c>
      <c r="M31" s="49">
        <f t="shared" si="2"/>
        <v>4.861049335693858</v>
      </c>
      <c r="N31" s="58">
        <f t="shared" si="1"/>
        <v>4.6611525468287409</v>
      </c>
    </row>
    <row r="32" spans="2:14">
      <c r="M32" s="24"/>
      <c r="N32" s="14"/>
    </row>
    <row r="33" spans="2:14">
      <c r="B33" s="45" t="s">
        <v>31</v>
      </c>
      <c r="C33" s="52">
        <f t="shared" ref="C33:L33" si="6">IFERROR((365/C27),0)</f>
        <v>17.447278447423685</v>
      </c>
      <c r="D33" s="52">
        <f t="shared" si="6"/>
        <v>18.141226776772818</v>
      </c>
      <c r="E33" s="52">
        <f t="shared" si="6"/>
        <v>19.049753180019717</v>
      </c>
      <c r="F33" s="52">
        <f t="shared" si="6"/>
        <v>24.904964999543136</v>
      </c>
      <c r="G33" s="52">
        <f t="shared" si="6"/>
        <v>22.963631157878556</v>
      </c>
      <c r="H33" s="52">
        <f t="shared" si="6"/>
        <v>15.620575170519771</v>
      </c>
      <c r="I33" s="52">
        <f t="shared" si="6"/>
        <v>18.52666719376608</v>
      </c>
      <c r="J33" s="52">
        <f t="shared" si="6"/>
        <v>16.309264717046954</v>
      </c>
      <c r="K33" s="52">
        <f t="shared" si="6"/>
        <v>16.603778823163378</v>
      </c>
      <c r="L33" s="52">
        <f t="shared" si="6"/>
        <v>14.128838301348189</v>
      </c>
      <c r="M33" s="52">
        <f t="shared" si="2"/>
        <v>18.369597876748227</v>
      </c>
      <c r="N33" s="61">
        <f t="shared" si="1"/>
        <v>17.794252612098251</v>
      </c>
    </row>
    <row r="34" spans="2:14">
      <c r="B34" s="5" t="s">
        <v>143</v>
      </c>
      <c r="C34" s="53">
        <f t="shared" ref="C34:L34" si="7">IFERROR((365/C28),0)</f>
        <v>149.02210519283818</v>
      </c>
      <c r="D34" s="53">
        <f t="shared" si="7"/>
        <v>153.55745981623585</v>
      </c>
      <c r="E34" s="53">
        <f t="shared" si="7"/>
        <v>183.94574194885871</v>
      </c>
      <c r="F34" s="53">
        <f t="shared" si="7"/>
        <v>178.79202925682029</v>
      </c>
      <c r="G34" s="53">
        <f t="shared" si="7"/>
        <v>168.45235766633192</v>
      </c>
      <c r="H34" s="53">
        <f t="shared" si="7"/>
        <v>186.20040903524091</v>
      </c>
      <c r="I34" s="53">
        <f t="shared" si="7"/>
        <v>210.69420514242194</v>
      </c>
      <c r="J34" s="53">
        <f t="shared" si="7"/>
        <v>180.95902398395825</v>
      </c>
      <c r="K34" s="53">
        <f t="shared" si="7"/>
        <v>163.77953074537726</v>
      </c>
      <c r="L34" s="53">
        <f t="shared" si="7"/>
        <v>147.8077831191203</v>
      </c>
      <c r="M34" s="53">
        <f>IFERROR(AVERAGE(C34:L34),0)</f>
        <v>172.32106459072037</v>
      </c>
      <c r="N34" s="62">
        <f t="shared" si="1"/>
        <v>173.6221934615761</v>
      </c>
    </row>
    <row r="35" spans="2:14">
      <c r="B35" s="5" t="s">
        <v>145</v>
      </c>
      <c r="C35" s="53">
        <f t="shared" ref="C35:L35" si="8">IFERROR((365/C29),0)</f>
        <v>40.600568143256986</v>
      </c>
      <c r="D35" s="53">
        <f t="shared" si="8"/>
        <v>43.653299851746382</v>
      </c>
      <c r="E35" s="53">
        <f t="shared" si="8"/>
        <v>47.484218786795374</v>
      </c>
      <c r="F35" s="53">
        <f t="shared" si="8"/>
        <v>52.753248596949661</v>
      </c>
      <c r="G35" s="53">
        <f t="shared" si="8"/>
        <v>47.161975588398164</v>
      </c>
      <c r="H35" s="53">
        <f t="shared" si="8"/>
        <v>52.368588915752468</v>
      </c>
      <c r="I35" s="53">
        <f t="shared" si="8"/>
        <v>52.732634893247351</v>
      </c>
      <c r="J35" s="53">
        <f t="shared" si="8"/>
        <v>46.193416698982041</v>
      </c>
      <c r="K35" s="53">
        <f t="shared" si="8"/>
        <v>42.997507392107408</v>
      </c>
      <c r="L35" s="53">
        <f t="shared" si="8"/>
        <v>39.830143336194453</v>
      </c>
      <c r="M35" s="53">
        <f t="shared" si="2"/>
        <v>46.577560220343024</v>
      </c>
      <c r="N35" s="62">
        <f t="shared" si="1"/>
        <v>46.677696143690099</v>
      </c>
    </row>
    <row r="36" spans="2:14">
      <c r="B36" s="47" t="s">
        <v>144</v>
      </c>
      <c r="C36" s="54">
        <f>SUM(C33,C35)-C34</f>
        <v>-90.974258602157505</v>
      </c>
      <c r="D36" s="54">
        <f t="shared" ref="D36:K36" si="9">SUM(D33,D35)-D34</f>
        <v>-91.762933187716641</v>
      </c>
      <c r="E36" s="54">
        <f t="shared" si="9"/>
        <v>-117.41176998204362</v>
      </c>
      <c r="F36" s="54">
        <f t="shared" si="9"/>
        <v>-101.13381566032749</v>
      </c>
      <c r="G36" s="54">
        <f t="shared" si="9"/>
        <v>-98.326750920055204</v>
      </c>
      <c r="H36" s="54">
        <f t="shared" si="9"/>
        <v>-118.21124494896867</v>
      </c>
      <c r="I36" s="54">
        <f t="shared" si="9"/>
        <v>-139.43490305540851</v>
      </c>
      <c r="J36" s="54">
        <f t="shared" si="9"/>
        <v>-118.45634256792925</v>
      </c>
      <c r="K36" s="54">
        <f t="shared" si="9"/>
        <v>-104.17824453010647</v>
      </c>
      <c r="L36" s="54">
        <f>SUM(L33,L35)-L34</f>
        <v>-93.848801481577652</v>
      </c>
      <c r="M36" s="54">
        <f t="shared" si="2"/>
        <v>-107.37390649362911</v>
      </c>
      <c r="N36" s="63">
        <f t="shared" si="1"/>
        <v>-102.65603009521698</v>
      </c>
    </row>
    <row r="37" spans="2:14">
      <c r="M37" s="24"/>
      <c r="N37" s="14"/>
    </row>
    <row r="38" spans="2:14">
      <c r="B38" s="45" t="s">
        <v>146</v>
      </c>
      <c r="C38" s="55">
        <f>IFERROR(HistoricalFS!C73/HistoricalFS!C6,0)</f>
        <v>0.13501724318888911</v>
      </c>
      <c r="D38" s="55">
        <f>IFERROR(HistoricalFS!D73/HistoricalFS!D6,0)</f>
        <v>0.13880099148274136</v>
      </c>
      <c r="E38" s="55">
        <f>IFERROR(HistoricalFS!E73/HistoricalFS!E6,0)</f>
        <v>0.11197567184939619</v>
      </c>
      <c r="F38" s="55">
        <f>IFERROR(HistoricalFS!F73/HistoricalFS!F6,0)</f>
        <v>8.1828025115925046E-2</v>
      </c>
      <c r="G38" s="55">
        <f>IFERROR(HistoricalFS!G73/HistoricalFS!G6,0)</f>
        <v>6.2565741886424511E-2</v>
      </c>
      <c r="H38" s="55">
        <f>IFERROR(HistoricalFS!H73/HistoricalFS!H6,0)</f>
        <v>0.10201174812827479</v>
      </c>
      <c r="I38" s="55">
        <f>IFERROR(HistoricalFS!I73/HistoricalFS!I6,0)</f>
        <v>0.11609531425300171</v>
      </c>
      <c r="J38" s="55">
        <f>IFERROR(HistoricalFS!J73/HistoricalFS!J6,0)</f>
        <v>5.1294000056454646E-2</v>
      </c>
      <c r="K38" s="55">
        <f>IFERROR(HistoricalFS!K73/HistoricalFS!K6,0)</f>
        <v>0.10228722123386519</v>
      </c>
      <c r="L38" s="55">
        <f>IFERROR(HistoricalFS!L73/HistoricalFS!L6,0)</f>
        <v>0.15508265210036806</v>
      </c>
      <c r="M38" s="46">
        <f t="shared" si="2"/>
        <v>0.10569586092953405</v>
      </c>
      <c r="N38" s="55">
        <f t="shared" si="1"/>
        <v>0.10713144654163069</v>
      </c>
    </row>
    <row r="39" spans="2:14">
      <c r="B39" s="5" t="s">
        <v>147</v>
      </c>
      <c r="C39" s="56">
        <f>IFERROR(HistoricalFS!C73/HistoricalFS!C64,0)</f>
        <v>0.14972096766493148</v>
      </c>
      <c r="D39" s="56">
        <f>IFERROR(HistoricalFS!D73/HistoricalFS!D64,0)</f>
        <v>0.14400184935170102</v>
      </c>
      <c r="E39" s="56">
        <f>IFERROR(HistoricalFS!E73/HistoricalFS!E64,0)</f>
        <v>0.11078934667193191</v>
      </c>
      <c r="F39" s="56">
        <f>IFERROR(HistoricalFS!F73/HistoricalFS!F64,0)</f>
        <v>7.291441677589669E-2</v>
      </c>
      <c r="G39" s="56">
        <f>IFERROR(HistoricalFS!G73/HistoricalFS!G64,0)</f>
        <v>6.1795172832341566E-2</v>
      </c>
      <c r="H39" s="56">
        <f>IFERROR(HistoricalFS!H73/HistoricalFS!H64,0)</f>
        <v>8.3178370725236248E-2</v>
      </c>
      <c r="I39" s="56">
        <f>IFERROR(HistoricalFS!I73/HistoricalFS!I64,0)</f>
        <v>8.4902092224692749E-2</v>
      </c>
      <c r="J39" s="56">
        <f>IFERROR(HistoricalFS!J73/HistoricalFS!J64,0)</f>
        <v>4.3405261430014191E-2</v>
      </c>
      <c r="K39" s="56">
        <f>IFERROR(HistoricalFS!K73/HistoricalFS!K64,0)</f>
        <v>0.10573858301633621</v>
      </c>
      <c r="L39" s="56">
        <f>IFERROR(HistoricalFS!L73/HistoricalFS!L64,0)</f>
        <v>0.183792184149079</v>
      </c>
      <c r="M39" s="42">
        <f t="shared" si="2"/>
        <v>0.10402382448421613</v>
      </c>
      <c r="N39" s="56">
        <f t="shared" si="1"/>
        <v>9.5320337620514478E-2</v>
      </c>
    </row>
    <row r="40" spans="2:14">
      <c r="B40" s="47" t="s">
        <v>148</v>
      </c>
      <c r="C40" s="57">
        <f>IFERROR(HistoricalFS!C73/HistoricalFS!C49,0)</f>
        <v>0.48269001155950947</v>
      </c>
      <c r="D40" s="57">
        <f>IFERROR(HistoricalFS!D73/HistoricalFS!D49,0)</f>
        <v>0.54641034971761804</v>
      </c>
      <c r="E40" s="57">
        <f>IFERROR(HistoricalFS!E73/HistoricalFS!E49,0)</f>
        <v>0.38419174194487354</v>
      </c>
      <c r="F40" s="57">
        <f>IFERROR(HistoricalFS!F73/HistoricalFS!F49,0)</f>
        <v>0.2682054406233042</v>
      </c>
      <c r="G40" s="57">
        <f>IFERROR(HistoricalFS!G73/HistoricalFS!G49,0)</f>
        <v>0.17792267017934674</v>
      </c>
      <c r="H40" s="57">
        <f>IFERROR(HistoricalFS!H73/HistoricalFS!H49,0)</f>
        <v>0.21341857254452445</v>
      </c>
      <c r="I40" s="57">
        <f>IFERROR(HistoricalFS!I73/HistoricalFS!I49,0)</f>
        <v>0.20403773797572189</v>
      </c>
      <c r="J40" s="57">
        <f>IFERROR(HistoricalFS!J73/HistoricalFS!J49,0)</f>
        <v>9.7528812584146168E-2</v>
      </c>
      <c r="K40" s="57">
        <f>IFERROR(HistoricalFS!K73/HistoricalFS!K49,0)</f>
        <v>0.26386617180202071</v>
      </c>
      <c r="L40" s="57">
        <f>IFERROR(HistoricalFS!L73/HistoricalFS!L49,0)</f>
        <v>0.63316629763430832</v>
      </c>
      <c r="M40" s="48">
        <f t="shared" si="2"/>
        <v>0.32714378065653738</v>
      </c>
      <c r="N40" s="57">
        <f t="shared" si="1"/>
        <v>0.26603580621266243</v>
      </c>
    </row>
    <row r="41" spans="2:14">
      <c r="N41" s="14"/>
    </row>
    <row r="42" spans="2:14">
      <c r="N42" s="14"/>
    </row>
    <row r="43" spans="2:14">
      <c r="N43" s="14"/>
    </row>
    <row r="44" spans="2:14">
      <c r="N44" s="14"/>
    </row>
    <row r="45" spans="2:14">
      <c r="N45" s="14"/>
    </row>
    <row r="46" spans="2:14">
      <c r="N46" s="14"/>
    </row>
    <row r="47" spans="2:14">
      <c r="N47" s="14"/>
    </row>
    <row r="48" spans="2:14">
      <c r="N48" s="14"/>
    </row>
    <row r="49" spans="14:14">
      <c r="N49" s="14"/>
    </row>
    <row r="50" spans="14:14">
      <c r="N50" s="14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B2:J22"/>
  <sheetViews>
    <sheetView showGridLines="0" zoomScale="85" zoomScaleNormal="85" workbookViewId="0">
      <selection activeCell="L15" sqref="L15"/>
    </sheetView>
  </sheetViews>
  <sheetFormatPr defaultRowHeight="15"/>
  <cols>
    <col min="1" max="1" width="1.85546875" customWidth="1"/>
    <col min="2" max="2" width="11.7109375" bestFit="1" customWidth="1"/>
    <col min="3" max="3" width="8.42578125" bestFit="1" customWidth="1"/>
    <col min="4" max="4" width="10.7109375" customWidth="1"/>
    <col min="5" max="5" width="12.5703125" bestFit="1" customWidth="1"/>
    <col min="7" max="7" width="11.7109375" bestFit="1" customWidth="1"/>
    <col min="9" max="9" width="9.5703125" bestFit="1" customWidth="1"/>
    <col min="10" max="10" width="14.42578125" bestFit="1" customWidth="1"/>
  </cols>
  <sheetData>
    <row r="2" spans="2:10">
      <c r="B2" s="83" t="s">
        <v>154</v>
      </c>
      <c r="C2" s="83"/>
      <c r="D2" s="83"/>
      <c r="E2" s="83"/>
      <c r="G2" s="83" t="s">
        <v>153</v>
      </c>
      <c r="H2" s="83"/>
      <c r="I2" s="83"/>
      <c r="J2" s="83"/>
    </row>
    <row r="3" spans="2:10">
      <c r="B3" s="10" t="s">
        <v>151</v>
      </c>
      <c r="C3" s="65" t="s">
        <v>152</v>
      </c>
      <c r="D3" s="10" t="s">
        <v>1</v>
      </c>
      <c r="E3" s="10" t="s">
        <v>10</v>
      </c>
      <c r="G3" s="10" t="s">
        <v>151</v>
      </c>
      <c r="H3" s="65" t="s">
        <v>152</v>
      </c>
      <c r="I3" s="10" t="s">
        <v>65</v>
      </c>
      <c r="J3" s="10" t="s">
        <v>121</v>
      </c>
    </row>
    <row r="4" spans="2:10">
      <c r="B4" s="66">
        <v>1</v>
      </c>
      <c r="C4" s="64">
        <v>2015</v>
      </c>
      <c r="D4" s="67">
        <f t="array" ref="D4:D13">TRANSPOSE('Data Sheet (2)'!B17:K17)</f>
        <v>263158.98</v>
      </c>
      <c r="G4" s="66">
        <v>1</v>
      </c>
      <c r="H4" s="64">
        <v>2015</v>
      </c>
      <c r="I4" s="67">
        <f t="array" ref="I4:I13">TRANSPOSE(HistoricalFS!C18:L18)</f>
        <v>39238.64999999998</v>
      </c>
    </row>
    <row r="5" spans="2:10">
      <c r="B5" s="66">
        <f>B4+1</f>
        <v>2</v>
      </c>
      <c r="C5" s="64">
        <f>C4+1</f>
        <v>2016</v>
      </c>
      <c r="D5" s="67">
        <v>273045.59999999998</v>
      </c>
      <c r="E5" s="24">
        <f>D5/D4-1</f>
        <v>3.75690010654397E-2</v>
      </c>
      <c r="G5" s="66">
        <v>2</v>
      </c>
      <c r="H5" s="64">
        <v>2016</v>
      </c>
      <c r="I5" s="67">
        <v>38395.249999999971</v>
      </c>
      <c r="J5" s="24">
        <f>I5/I4-1</f>
        <v>-2.1494113584437979E-2</v>
      </c>
    </row>
    <row r="6" spans="2:10">
      <c r="B6" s="66">
        <f t="shared" ref="B6:B17" si="0">B5+1</f>
        <v>3</v>
      </c>
      <c r="C6" s="64">
        <f t="shared" ref="C6:C17" si="1">C5+1</f>
        <v>2017</v>
      </c>
      <c r="D6" s="67">
        <v>269692.51</v>
      </c>
      <c r="E6" s="24">
        <f t="shared" ref="E6:E18" si="2">D6/D5-1</f>
        <v>-1.2280329732469508E-2</v>
      </c>
      <c r="G6" s="66">
        <v>3</v>
      </c>
      <c r="H6" s="64">
        <v>2017</v>
      </c>
      <c r="I6" s="67">
        <v>29588.690000000046</v>
      </c>
      <c r="J6" s="24">
        <f t="shared" ref="J6:J18" si="3">I6/I5-1</f>
        <v>-0.22936587208052905</v>
      </c>
    </row>
    <row r="7" spans="2:10">
      <c r="B7" s="66">
        <f t="shared" si="0"/>
        <v>4</v>
      </c>
      <c r="C7" s="64">
        <f t="shared" si="1"/>
        <v>2018</v>
      </c>
      <c r="D7" s="67">
        <v>291550.48</v>
      </c>
      <c r="E7" s="24">
        <f t="shared" si="2"/>
        <v>8.104774581985974E-2</v>
      </c>
      <c r="G7" s="66">
        <v>4</v>
      </c>
      <c r="H7" s="64">
        <v>2018</v>
      </c>
      <c r="I7" s="67">
        <v>31457.679999999993</v>
      </c>
      <c r="J7" s="24">
        <f t="shared" si="3"/>
        <v>6.3165689322506102E-2</v>
      </c>
    </row>
    <row r="8" spans="2:10">
      <c r="B8" s="66">
        <f t="shared" si="0"/>
        <v>5</v>
      </c>
      <c r="C8" s="64">
        <f t="shared" si="1"/>
        <v>2019</v>
      </c>
      <c r="D8" s="67">
        <v>301938.40000000002</v>
      </c>
      <c r="E8" s="24">
        <f t="shared" si="2"/>
        <v>3.5629919045237157E-2</v>
      </c>
      <c r="G8" s="66">
        <v>5</v>
      </c>
      <c r="H8" s="64">
        <v>2019</v>
      </c>
      <c r="I8" s="67">
        <v>24664.330000000024</v>
      </c>
      <c r="J8" s="24">
        <f t="shared" si="3"/>
        <v>-0.21595203460649259</v>
      </c>
    </row>
    <row r="9" spans="2:10">
      <c r="B9" s="66">
        <f t="shared" si="0"/>
        <v>6</v>
      </c>
      <c r="C9" s="64">
        <f t="shared" si="1"/>
        <v>2020</v>
      </c>
      <c r="D9" s="67">
        <v>261067.97</v>
      </c>
      <c r="E9" s="24">
        <f t="shared" si="2"/>
        <v>-0.135360159555724</v>
      </c>
      <c r="G9" s="66">
        <v>6</v>
      </c>
      <c r="H9" s="64">
        <v>2020</v>
      </c>
      <c r="I9" s="67">
        <v>17987.069999999963</v>
      </c>
      <c r="J9" s="24">
        <f t="shared" si="3"/>
        <v>-0.27072537547138131</v>
      </c>
    </row>
    <row r="10" spans="2:10">
      <c r="B10" s="66">
        <f t="shared" si="0"/>
        <v>7</v>
      </c>
      <c r="C10" s="64">
        <f t="shared" si="1"/>
        <v>2021</v>
      </c>
      <c r="D10" s="67">
        <v>249794.75</v>
      </c>
      <c r="E10" s="24">
        <f t="shared" si="2"/>
        <v>-4.3181168490336042E-2</v>
      </c>
      <c r="G10" s="66">
        <v>7</v>
      </c>
      <c r="H10" s="64">
        <v>2021</v>
      </c>
      <c r="I10" s="67">
        <v>32287.429999999989</v>
      </c>
      <c r="J10" s="24">
        <f t="shared" si="3"/>
        <v>0.79503554497758966</v>
      </c>
    </row>
    <row r="11" spans="2:10">
      <c r="B11" s="66">
        <f t="shared" si="0"/>
        <v>8</v>
      </c>
      <c r="C11" s="64">
        <f t="shared" si="1"/>
        <v>2022</v>
      </c>
      <c r="D11" s="67">
        <v>278453.62</v>
      </c>
      <c r="E11" s="24">
        <f t="shared" si="2"/>
        <v>0.11472967306158344</v>
      </c>
      <c r="G11" s="66">
        <v>8</v>
      </c>
      <c r="H11" s="64">
        <v>2022</v>
      </c>
      <c r="I11" s="67">
        <v>24720.090000000015</v>
      </c>
      <c r="J11" s="24">
        <f t="shared" si="3"/>
        <v>-0.234374182150762</v>
      </c>
    </row>
    <row r="12" spans="2:10">
      <c r="B12" s="66">
        <f t="shared" si="0"/>
        <v>9</v>
      </c>
      <c r="C12" s="64">
        <f t="shared" si="1"/>
        <v>2023</v>
      </c>
      <c r="D12" s="67">
        <v>345966.97</v>
      </c>
      <c r="E12" s="24">
        <f t="shared" si="2"/>
        <v>0.24245815155859707</v>
      </c>
      <c r="G12" s="66">
        <v>9</v>
      </c>
      <c r="H12" s="64">
        <v>2023</v>
      </c>
      <c r="I12" s="67">
        <v>31815.799999999959</v>
      </c>
      <c r="J12" s="24">
        <f t="shared" si="3"/>
        <v>0.28704223973294352</v>
      </c>
    </row>
    <row r="13" spans="2:10">
      <c r="B13" s="66">
        <f t="shared" si="0"/>
        <v>10</v>
      </c>
      <c r="C13" s="64">
        <f t="shared" si="1"/>
        <v>2024</v>
      </c>
      <c r="D13" s="67">
        <v>437927.77</v>
      </c>
      <c r="E13" s="24">
        <f t="shared" si="2"/>
        <v>0.26580803363974326</v>
      </c>
      <c r="G13" s="66">
        <v>10</v>
      </c>
      <c r="H13" s="64">
        <v>2024</v>
      </c>
      <c r="I13" s="67">
        <v>59538.34000000004</v>
      </c>
      <c r="J13" s="24">
        <f t="shared" si="3"/>
        <v>0.87134505497269021</v>
      </c>
    </row>
    <row r="14" spans="2:10">
      <c r="B14" s="68">
        <f t="shared" si="0"/>
        <v>11</v>
      </c>
      <c r="C14" s="69">
        <f t="shared" si="1"/>
        <v>2025</v>
      </c>
      <c r="D14" s="70">
        <f>FORECAST(B14,D4:D13,B4:B13)</f>
        <v>362627.59266666661</v>
      </c>
      <c r="E14" s="71">
        <f t="shared" si="2"/>
        <v>-0.17194656857073354</v>
      </c>
      <c r="G14" s="68">
        <v>11</v>
      </c>
      <c r="H14" s="69">
        <v>2025</v>
      </c>
      <c r="I14" s="70">
        <f>FORECAST(G14,I4:I13,G4:G13)</f>
        <v>36573.001333333334</v>
      </c>
      <c r="J14" s="71">
        <f t="shared" si="3"/>
        <v>-0.38572352985767977</v>
      </c>
    </row>
    <row r="15" spans="2:10">
      <c r="B15" s="68">
        <f t="shared" si="0"/>
        <v>12</v>
      </c>
      <c r="C15" s="69">
        <f t="shared" si="1"/>
        <v>2026</v>
      </c>
      <c r="D15" s="70">
        <f t="shared" ref="D15:D18" si="4">FORECAST(B15,D5:D14,B5:B14)</f>
        <v>379681.22106666665</v>
      </c>
      <c r="E15" s="71">
        <f t="shared" si="2"/>
        <v>4.7027939254683293E-2</v>
      </c>
      <c r="G15" s="68">
        <v>12</v>
      </c>
      <c r="H15" s="69">
        <v>2026</v>
      </c>
      <c r="I15" s="70">
        <f t="shared" ref="I15:I18" si="5">FORECAST(G15,I5:I14,G5:G14)</f>
        <v>39686.286533333339</v>
      </c>
      <c r="J15" s="71">
        <f t="shared" si="3"/>
        <v>8.5125231359191034E-2</v>
      </c>
    </row>
    <row r="16" spans="2:10">
      <c r="B16" s="68">
        <f t="shared" si="0"/>
        <v>13</v>
      </c>
      <c r="C16" s="69">
        <f t="shared" si="1"/>
        <v>2027</v>
      </c>
      <c r="D16" s="70">
        <f t="shared" si="4"/>
        <v>399561.49198222219</v>
      </c>
      <c r="E16" s="71">
        <f t="shared" si="2"/>
        <v>5.2360427149134248E-2</v>
      </c>
      <c r="G16" s="68">
        <v>13</v>
      </c>
      <c r="H16" s="69">
        <v>2027</v>
      </c>
      <c r="I16" s="70">
        <f t="shared" si="5"/>
        <v>43997.689057777774</v>
      </c>
      <c r="J16" s="71">
        <f t="shared" si="3"/>
        <v>0.10863708603280875</v>
      </c>
    </row>
    <row r="17" spans="2:10">
      <c r="B17" s="68">
        <f t="shared" si="0"/>
        <v>14</v>
      </c>
      <c r="C17" s="69">
        <f t="shared" si="1"/>
        <v>2028</v>
      </c>
      <c r="D17" s="70">
        <f t="shared" si="4"/>
        <v>419390.67252622219</v>
      </c>
      <c r="E17" s="71">
        <f t="shared" si="2"/>
        <v>4.9627356344145168E-2</v>
      </c>
      <c r="G17" s="68">
        <v>14</v>
      </c>
      <c r="H17" s="69">
        <v>2028</v>
      </c>
      <c r="I17" s="70">
        <f t="shared" si="5"/>
        <v>47599.167489777778</v>
      </c>
      <c r="J17" s="71">
        <f t="shared" si="3"/>
        <v>8.1856081742623932E-2</v>
      </c>
    </row>
    <row r="18" spans="2:10">
      <c r="B18" s="68">
        <f>B17+1</f>
        <v>15</v>
      </c>
      <c r="C18" s="69">
        <f>C17+1</f>
        <v>2029</v>
      </c>
      <c r="D18" s="70">
        <f t="shared" si="4"/>
        <v>444322.38515567401</v>
      </c>
      <c r="E18" s="71">
        <f t="shared" si="2"/>
        <v>5.9447465722769488E-2</v>
      </c>
      <c r="G18" s="68">
        <v>15</v>
      </c>
      <c r="H18" s="69">
        <v>2029</v>
      </c>
      <c r="I18" s="70">
        <f t="shared" si="5"/>
        <v>52179.034690725923</v>
      </c>
      <c r="J18" s="71">
        <f t="shared" si="3"/>
        <v>9.6217380313042167E-2</v>
      </c>
    </row>
    <row r="22" spans="2:10">
      <c r="C22" s="87" t="s">
        <v>10</v>
      </c>
      <c r="D22" s="87"/>
      <c r="H22" s="83" t="s">
        <v>121</v>
      </c>
      <c r="I22" s="86"/>
    </row>
  </sheetData>
  <mergeCells count="4">
    <mergeCell ref="B2:E2"/>
    <mergeCell ref="G2:J2"/>
    <mergeCell ref="C22:D22"/>
    <mergeCell ref="H22:I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2:M47"/>
  <sheetViews>
    <sheetView showGridLines="0" zoomScale="85" zoomScaleNormal="85" workbookViewId="0">
      <selection activeCell="K48" sqref="K48"/>
    </sheetView>
  </sheetViews>
  <sheetFormatPr defaultRowHeight="15"/>
  <cols>
    <col min="1" max="1" width="1.85546875" customWidth="1"/>
    <col min="2" max="2" width="23.7109375" bestFit="1" customWidth="1"/>
    <col min="3" max="3" width="13.5703125" bestFit="1" customWidth="1"/>
    <col min="4" max="12" width="10.5703125" bestFit="1" customWidth="1"/>
  </cols>
  <sheetData>
    <row r="2" spans="2:12" ht="18.75">
      <c r="B2" s="98" t="s">
        <v>156</v>
      </c>
      <c r="C2" s="84"/>
      <c r="D2" s="84"/>
      <c r="E2" s="84"/>
      <c r="F2" s="84"/>
      <c r="G2" s="84"/>
      <c r="H2" s="84"/>
      <c r="I2" s="84"/>
      <c r="J2" s="84"/>
      <c r="K2" s="84"/>
      <c r="L2" s="84"/>
    </row>
    <row r="4" spans="2:12">
      <c r="B4" s="84" t="str">
        <f>"Commen Size Income Statement"&amp;" "&amp;"- "&amp;'Data Sheet (2)'!B1</f>
        <v>Commen Size Income Statement - TATA MOTORS LTD</v>
      </c>
      <c r="C4" s="84"/>
      <c r="D4" s="84"/>
      <c r="E4" s="84"/>
      <c r="F4" s="84"/>
      <c r="G4" s="84"/>
      <c r="H4" s="84"/>
      <c r="I4" s="84"/>
      <c r="J4" s="84"/>
      <c r="K4" s="84"/>
      <c r="L4" s="84"/>
    </row>
    <row r="6" spans="2:12">
      <c r="B6" s="75" t="s">
        <v>155</v>
      </c>
      <c r="C6" s="76">
        <f>'Data Sheet (2)'!B16</f>
        <v>42094</v>
      </c>
      <c r="D6" s="76">
        <f>'Data Sheet (2)'!C16</f>
        <v>42460</v>
      </c>
      <c r="E6" s="76">
        <f>'Data Sheet (2)'!D16</f>
        <v>42825</v>
      </c>
      <c r="F6" s="76">
        <f>'Data Sheet (2)'!E16</f>
        <v>43190</v>
      </c>
      <c r="G6" s="76">
        <f>'Data Sheet (2)'!F16</f>
        <v>43555</v>
      </c>
      <c r="H6" s="76">
        <f>'Data Sheet (2)'!G16</f>
        <v>43921</v>
      </c>
      <c r="I6" s="76">
        <f>'Data Sheet (2)'!H16</f>
        <v>44286</v>
      </c>
      <c r="J6" s="76">
        <f>'Data Sheet (2)'!I16</f>
        <v>44651</v>
      </c>
      <c r="K6" s="76">
        <f>'Data Sheet (2)'!J16</f>
        <v>45016</v>
      </c>
      <c r="L6" s="76">
        <f>'Data Sheet (2)'!K16</f>
        <v>45382</v>
      </c>
    </row>
    <row r="7" spans="2:12">
      <c r="B7" s="3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2:12">
      <c r="B8" s="93" t="str">
        <f>'Data Sheet (2)'!A17</f>
        <v>Sales</v>
      </c>
      <c r="C8" s="94">
        <f>'Data Sheet (2)'!B17/'Data Sheet (2)'!B$17</f>
        <v>1</v>
      </c>
      <c r="D8" s="94">
        <f>'Data Sheet (2)'!C17/'Data Sheet (2)'!C$17</f>
        <v>1</v>
      </c>
      <c r="E8" s="94">
        <f>'Data Sheet (2)'!D17/'Data Sheet (2)'!D$17</f>
        <v>1</v>
      </c>
      <c r="F8" s="94">
        <f>'Data Sheet (2)'!E17/'Data Sheet (2)'!E$17</f>
        <v>1</v>
      </c>
      <c r="G8" s="94">
        <f>'Data Sheet (2)'!F17/'Data Sheet (2)'!F$17</f>
        <v>1</v>
      </c>
      <c r="H8" s="94">
        <f>'Data Sheet (2)'!G17/'Data Sheet (2)'!G$17</f>
        <v>1</v>
      </c>
      <c r="I8" s="94">
        <f>'Data Sheet (2)'!H17/'Data Sheet (2)'!H$17</f>
        <v>1</v>
      </c>
      <c r="J8" s="94">
        <f>'Data Sheet (2)'!I17/'Data Sheet (2)'!I$17</f>
        <v>1</v>
      </c>
      <c r="K8" s="94">
        <f>'Data Sheet (2)'!J17/'Data Sheet (2)'!J$17</f>
        <v>1</v>
      </c>
      <c r="L8" s="94">
        <f>'Data Sheet (2)'!K17/'Data Sheet (2)'!K$17</f>
        <v>1</v>
      </c>
    </row>
    <row r="9" spans="2:12">
      <c r="B9" s="95" t="str">
        <f>'Data Sheet (2)'!A18</f>
        <v>Raw Material Cost</v>
      </c>
      <c r="C9" s="96">
        <f>'Data Sheet (2)'!B18/'Data Sheet (2)'!$B$17</f>
        <v>0.62034880968150885</v>
      </c>
      <c r="D9" s="96">
        <f>'Data Sheet (2)'!C18/'Data Sheet (2)'!$B$17</f>
        <v>0.63130663449143942</v>
      </c>
      <c r="E9" s="96">
        <f>'Data Sheet (2)'!D18/'Data Sheet (2)'!$B$17</f>
        <v>0.65851478828501309</v>
      </c>
      <c r="F9" s="96">
        <f>'Data Sheet (2)'!E18/'Data Sheet (2)'!$B$17</f>
        <v>0.71400405944725887</v>
      </c>
      <c r="G9" s="96">
        <f>'Data Sheet (2)'!F18/'Data Sheet (2)'!$B$17</f>
        <v>0.73821501360128394</v>
      </c>
      <c r="H9" s="96">
        <f>'Data Sheet (2)'!G18/'Data Sheet (2)'!$B$17</f>
        <v>0.62661673183259803</v>
      </c>
      <c r="I9" s="97">
        <f>'Data Sheet (2)'!H18/'Data Sheet (2)'!H$17</f>
        <v>0.6149343010611712</v>
      </c>
      <c r="J9" s="97">
        <f>'Data Sheet (2)'!I18/'Data Sheet (2)'!I$17</f>
        <v>0.64389656704768283</v>
      </c>
      <c r="K9" s="97">
        <f>'Data Sheet (2)'!J18/'Data Sheet (2)'!J$17</f>
        <v>0.66842005177546293</v>
      </c>
      <c r="L9" s="97">
        <f>'Data Sheet (2)'!K18/'Data Sheet (2)'!K$17</f>
        <v>0.62640747810991748</v>
      </c>
    </row>
    <row r="10" spans="2:12">
      <c r="B10" s="95" t="str">
        <f>'Data Sheet (2)'!A19</f>
        <v>Change in Inventory</v>
      </c>
      <c r="C10" s="96">
        <f>'Data Sheet (2)'!B19/'Data Sheet (2)'!$B$17</f>
        <v>1.2655277809634314E-2</v>
      </c>
      <c r="D10" s="96">
        <f>'Data Sheet (2)'!C19/'Data Sheet (2)'!$B$17</f>
        <v>1.0453718888863301E-2</v>
      </c>
      <c r="E10" s="96">
        <f>'Data Sheet (2)'!D19/'Data Sheet (2)'!$B$17</f>
        <v>2.8119580034851939E-2</v>
      </c>
      <c r="F10" s="96">
        <f>'Data Sheet (2)'!E19/'Data Sheet (2)'!$B$17</f>
        <v>7.7769719277677703E-3</v>
      </c>
      <c r="G10" s="96">
        <f>'Data Sheet (2)'!F19/'Data Sheet (2)'!$B$17</f>
        <v>-7.802431822771164E-3</v>
      </c>
      <c r="H10" s="96">
        <f>'Data Sheet (2)'!G19/'Data Sheet (2)'!$B$17</f>
        <v>-8.4784870347194702E-3</v>
      </c>
      <c r="I10" s="97">
        <f>'Data Sheet (2)'!H19/'Data Sheet (2)'!H$17</f>
        <v>-1.8752035421080705E-2</v>
      </c>
      <c r="J10" s="97">
        <f>'Data Sheet (2)'!I19/'Data Sheet (2)'!I$17</f>
        <v>-5.7118668451859233E-3</v>
      </c>
      <c r="K10" s="97">
        <f>'Data Sheet (2)'!J19/'Data Sheet (2)'!J$17</f>
        <v>1.3821030371772196E-2</v>
      </c>
      <c r="L10" s="97">
        <f>'Data Sheet (2)'!K19/'Data Sheet (2)'!K$17</f>
        <v>3.5748589316452802E-3</v>
      </c>
    </row>
    <row r="11" spans="2:12">
      <c r="B11" s="95" t="str">
        <f>'Data Sheet (2)'!A20</f>
        <v>Power and Fuel</v>
      </c>
      <c r="C11" s="96">
        <f>'Data Sheet (2)'!B20/'Data Sheet (2)'!$B$17</f>
        <v>4.2626324209038965E-3</v>
      </c>
      <c r="D11" s="96">
        <f>'Data Sheet (2)'!C20/'Data Sheet (2)'!$B$17</f>
        <v>4.3457760780194546E-3</v>
      </c>
      <c r="E11" s="96">
        <f>'Data Sheet (2)'!D20/'Data Sheet (2)'!$B$17</f>
        <v>4.4072978243037729E-3</v>
      </c>
      <c r="F11" s="96">
        <f>'Data Sheet (2)'!E20/'Data Sheet (2)'!$B$17</f>
        <v>4.9706835009012424E-3</v>
      </c>
      <c r="G11" s="96">
        <f>'Data Sheet (2)'!F20/'Data Sheet (2)'!$B$17</f>
        <v>6.0265091466762798E-3</v>
      </c>
      <c r="H11" s="96">
        <f>'Data Sheet (2)'!G20/'Data Sheet (2)'!$B$17</f>
        <v>4.8067901767973112E-3</v>
      </c>
      <c r="I11" s="97">
        <f>'Data Sheet (2)'!H20/'Data Sheet (2)'!H$17</f>
        <v>4.4551376680254488E-3</v>
      </c>
      <c r="J11" s="97">
        <f>'Data Sheet (2)'!I20/'Data Sheet (2)'!I$17</f>
        <v>7.8228108508698862E-3</v>
      </c>
      <c r="K11" s="97">
        <f>'Data Sheet (2)'!J20/'Data Sheet (2)'!J$17</f>
        <v>7.2646530389880865E-3</v>
      </c>
      <c r="L11" s="97">
        <f>'Data Sheet (2)'!K20/'Data Sheet (2)'!K$17</f>
        <v>5.0125161051102094E-3</v>
      </c>
    </row>
    <row r="12" spans="2:12">
      <c r="B12" s="95" t="str">
        <f>'Data Sheet (2)'!A21</f>
        <v>Other Mfr. Exp</v>
      </c>
      <c r="C12" s="96">
        <f>'Data Sheet (2)'!B21/'Data Sheet (2)'!$B$17</f>
        <v>6.1457792548063536E-2</v>
      </c>
      <c r="D12" s="96">
        <f>'Data Sheet (2)'!C21/'Data Sheet (2)'!$B$17</f>
        <v>4.5985624355285165E-2</v>
      </c>
      <c r="E12" s="96">
        <f>'Data Sheet (2)'!D21/'Data Sheet (2)'!$B$17</f>
        <v>3.8255848232881896E-2</v>
      </c>
      <c r="F12" s="96">
        <f>'Data Sheet (2)'!E21/'Data Sheet (2)'!$B$17</f>
        <v>4.1692136061630886E-2</v>
      </c>
      <c r="G12" s="96">
        <f>'Data Sheet (2)'!F21/'Data Sheet (2)'!$B$17</f>
        <v>4.4439068733280553E-2</v>
      </c>
      <c r="H12" s="96">
        <f>'Data Sheet (2)'!G21/'Data Sheet (2)'!$B$17</f>
        <v>4.3857557131434396E-2</v>
      </c>
      <c r="I12" s="97">
        <f>'Data Sheet (2)'!H21/'Data Sheet (2)'!H$17</f>
        <v>3.3119871414431248E-2</v>
      </c>
      <c r="J12" s="97">
        <f>'Data Sheet (2)'!I21/'Data Sheet (2)'!I$17</f>
        <v>3.3856194794666339E-2</v>
      </c>
      <c r="K12" s="97">
        <f>'Data Sheet (2)'!J21/'Data Sheet (2)'!J$17</f>
        <v>3.4008940217616732E-2</v>
      </c>
      <c r="L12" s="97">
        <f>'Data Sheet (2)'!K21/'Data Sheet (2)'!K$17</f>
        <v>3.9080257458895561E-2</v>
      </c>
    </row>
    <row r="13" spans="2:12">
      <c r="B13" s="95" t="str">
        <f>'Data Sheet (2)'!A22</f>
        <v>Employee Cost</v>
      </c>
      <c r="C13" s="96">
        <f>'Data Sheet (2)'!B22/'Data Sheet (2)'!$B$17</f>
        <v>9.7439008161530352E-2</v>
      </c>
      <c r="D13" s="96">
        <f>'Data Sheet (2)'!C22/'Data Sheet (2)'!$B$17</f>
        <v>0.10974692940366315</v>
      </c>
      <c r="E13" s="96">
        <f>'Data Sheet (2)'!D22/'Data Sheet (2)'!$B$17</f>
        <v>0.10766453799144533</v>
      </c>
      <c r="F13" s="96">
        <f>'Data Sheet (2)'!E22/'Data Sheet (2)'!$B$17</f>
        <v>0.11513986716318783</v>
      </c>
      <c r="G13" s="96">
        <f>'Data Sheet (2)'!F22/'Data Sheet (2)'!$B$17</f>
        <v>0.12632618503081294</v>
      </c>
      <c r="H13" s="96">
        <f>'Data Sheet (2)'!G22/'Data Sheet (2)'!$B$17</f>
        <v>0.11566620299257886</v>
      </c>
      <c r="I13" s="97">
        <f>'Data Sheet (2)'!H22/'Data Sheet (2)'!H$17</f>
        <v>0.11068479221440802</v>
      </c>
      <c r="J13" s="97">
        <f>'Data Sheet (2)'!I22/'Data Sheet (2)'!I$17</f>
        <v>0.11064147774412127</v>
      </c>
      <c r="K13" s="97">
        <f>'Data Sheet (2)'!J22/'Data Sheet (2)'!J$17</f>
        <v>9.7277205393335675E-2</v>
      </c>
      <c r="L13" s="97">
        <f>'Data Sheet (2)'!K22/'Data Sheet (2)'!K$17</f>
        <v>9.701746020810692E-2</v>
      </c>
    </row>
    <row r="14" spans="2:12">
      <c r="B14" s="95" t="str">
        <f>'Data Sheet (2)'!A23</f>
        <v>Selling and admin</v>
      </c>
      <c r="C14" s="96">
        <f>'Data Sheet (2)'!B23/'Data Sheet (2)'!$B$17</f>
        <v>8.96910681140351E-2</v>
      </c>
      <c r="D14" s="96">
        <f>'Data Sheet (2)'!C23/'Data Sheet (2)'!$B$17</f>
        <v>8.356887536195802E-2</v>
      </c>
      <c r="E14" s="96">
        <f>'Data Sheet (2)'!D23/'Data Sheet (2)'!$B$17</f>
        <v>0.11414917324880954</v>
      </c>
      <c r="F14" s="96">
        <f>'Data Sheet (2)'!E23/'Data Sheet (2)'!$B$17</f>
        <v>0.11781691812302968</v>
      </c>
      <c r="G14" s="96">
        <f>'Data Sheet (2)'!F23/'Data Sheet (2)'!$B$17</f>
        <v>0.12433472724358485</v>
      </c>
      <c r="H14" s="96">
        <f>'Data Sheet (2)'!G23/'Data Sheet (2)'!$B$17</f>
        <v>0.11114315764561787</v>
      </c>
      <c r="I14" s="97">
        <f>'Data Sheet (2)'!H23/'Data Sheet (2)'!H$17</f>
        <v>9.2138805959692913E-2</v>
      </c>
      <c r="J14" s="97">
        <f>'Data Sheet (2)'!I23/'Data Sheet (2)'!I$17</f>
        <v>0.10488425325553319</v>
      </c>
      <c r="K14" s="97">
        <f>'Data Sheet (2)'!J23/'Data Sheet (2)'!J$17</f>
        <v>0.10070091373173573</v>
      </c>
      <c r="L14" s="97">
        <f>'Data Sheet (2)'!K23/'Data Sheet (2)'!K$17</f>
        <v>9.7653843692077344E-2</v>
      </c>
    </row>
    <row r="15" spans="2:12">
      <c r="B15" s="95" t="str">
        <f>'Data Sheet (2)'!A24</f>
        <v>Other Expenses</v>
      </c>
      <c r="C15" s="96">
        <f>'Data Sheet (2)'!B24/'Data Sheet (2)'!$B$17</f>
        <v>-9.6502882022114541E-3</v>
      </c>
      <c r="D15" s="96">
        <f>'Data Sheet (2)'!C24/'Data Sheet (2)'!$B$17</f>
        <v>2.7167531961098196E-2</v>
      </c>
      <c r="E15" s="96">
        <f>'Data Sheet (2)'!D24/'Data Sheet (2)'!$B$17</f>
        <v>1.7518687752931708E-2</v>
      </c>
      <c r="F15" s="96">
        <f>'Data Sheet (2)'!E24/'Data Sheet (2)'!$B$17</f>
        <v>2.5018716822811822E-3</v>
      </c>
      <c r="G15" s="96">
        <f>'Data Sheet (2)'!F24/'Data Sheet (2)'!$B$17</f>
        <v>6.4931852221041444E-3</v>
      </c>
      <c r="H15" s="96">
        <f>'Data Sheet (2)'!G24/'Data Sheet (2)'!$B$17</f>
        <v>1.3134683832563877E-2</v>
      </c>
      <c r="I15" s="97">
        <f>'Data Sheet (2)'!H24/'Data Sheet (2)'!H$17</f>
        <v>-3.3407827826645677E-3</v>
      </c>
      <c r="J15" s="97">
        <f>'Data Sheet (2)'!I24/'Data Sheet (2)'!I$17</f>
        <v>4.4105011096641517E-3</v>
      </c>
      <c r="K15" s="97">
        <f>'Data Sheet (2)'!J24/'Data Sheet (2)'!J$17</f>
        <v>1.4187308112100993E-2</v>
      </c>
      <c r="L15" s="97">
        <f>'Data Sheet (2)'!K24/'Data Sheet (2)'!K$17</f>
        <v>2.4486001424390141E-3</v>
      </c>
    </row>
    <row r="16" spans="2:12">
      <c r="B16" s="95" t="str">
        <f>'Data Sheet (2)'!A25</f>
        <v>Other Income</v>
      </c>
      <c r="C16" s="96">
        <f>'Data Sheet (2)'!B25/'Data Sheet (2)'!$B$17</f>
        <v>2.7133028103392101E-3</v>
      </c>
      <c r="D16" s="96">
        <f>'Data Sheet (2)'!C25/'Data Sheet (2)'!$B$17</f>
        <v>-1.0144514164023588E-2</v>
      </c>
      <c r="E16" s="96">
        <f>'Data Sheet (2)'!D25/'Data Sheet (2)'!$B$17</f>
        <v>7.1025507090808756E-3</v>
      </c>
      <c r="F16" s="96">
        <f>'Data Sheet (2)'!E25/'Data Sheet (2)'!$B$17</f>
        <v>2.2544281027385041E-2</v>
      </c>
      <c r="G16" s="96">
        <f>'Data Sheet (2)'!F25/'Data Sheet (2)'!$B$17</f>
        <v>-0.10140733179616368</v>
      </c>
      <c r="H16" s="96">
        <f>'Data Sheet (2)'!G25/'Data Sheet (2)'!$B$17</f>
        <v>3.8649640608882127E-4</v>
      </c>
      <c r="I16" s="97">
        <f>'Data Sheet (2)'!H25/'Data Sheet (2)'!H$17</f>
        <v>-4.4507860953843105E-2</v>
      </c>
      <c r="J16" s="97">
        <f>'Data Sheet (2)'!I25/'Data Sheet (2)'!I$17</f>
        <v>8.7053994844814731E-3</v>
      </c>
      <c r="K16" s="97">
        <f>'Data Sheet (2)'!J25/'Data Sheet (2)'!J$17</f>
        <v>1.9261867686386363E-2</v>
      </c>
      <c r="L16" s="97">
        <f>'Data Sheet (2)'!K25/'Data Sheet (2)'!K$17</f>
        <v>1.295341466927297E-2</v>
      </c>
    </row>
    <row r="17" spans="1:12">
      <c r="B17" s="95" t="str">
        <f>'Data Sheet (2)'!A26</f>
        <v>Depreciation</v>
      </c>
      <c r="C17" s="96">
        <f>'Data Sheet (2)'!B26/'Data Sheet (2)'!$B$17</f>
        <v>5.0876584184966822E-2</v>
      </c>
      <c r="D17" s="96">
        <f>'Data Sheet (2)'!C26/'Data Sheet (2)'!$B$17</f>
        <v>6.3500702123104449E-2</v>
      </c>
      <c r="E17" s="96">
        <f>'Data Sheet (2)'!D26/'Data Sheet (2)'!$B$17</f>
        <v>6.803868140847788E-2</v>
      </c>
      <c r="F17" s="96">
        <f>'Data Sheet (2)'!E26/'Data Sheet (2)'!$B$17</f>
        <v>8.1903304230773355E-2</v>
      </c>
      <c r="G17" s="96">
        <f>'Data Sheet (2)'!F26/'Data Sheet (2)'!$B$17</f>
        <v>8.964402430804376E-2</v>
      </c>
      <c r="H17" s="96">
        <f>'Data Sheet (2)'!G26/'Data Sheet (2)'!$B$17</f>
        <v>8.1416298239186072E-2</v>
      </c>
      <c r="I17" s="97">
        <f>'Data Sheet (2)'!H26/'Data Sheet (2)'!H$17</f>
        <v>9.4264230933596482E-2</v>
      </c>
      <c r="J17" s="97">
        <f>'Data Sheet (2)'!I26/'Data Sheet (2)'!I$17</f>
        <v>8.9191478279219347E-2</v>
      </c>
      <c r="K17" s="97">
        <f>'Data Sheet (2)'!J26/'Data Sheet (2)'!J$17</f>
        <v>7.1857611147098821E-2</v>
      </c>
      <c r="L17" s="97">
        <f>'Data Sheet (2)'!K26/'Data Sheet (2)'!K$17</f>
        <v>6.2270839777984394E-2</v>
      </c>
    </row>
    <row r="18" spans="1:12">
      <c r="B18" s="95" t="str">
        <f>'Data Sheet (2)'!A27</f>
        <v>Interest</v>
      </c>
      <c r="C18" s="96">
        <f>'Data Sheet (2)'!B27/'Data Sheet (2)'!$B$17</f>
        <v>1.8473585814932098E-2</v>
      </c>
      <c r="D18" s="96">
        <f>'Data Sheet (2)'!C27/'Data Sheet (2)'!$B$17</f>
        <v>1.8578427382565474E-2</v>
      </c>
      <c r="E18" s="96">
        <f>'Data Sheet (2)'!D27/'Data Sheet (2)'!$B$17</f>
        <v>1.6104371585571584E-2</v>
      </c>
      <c r="F18" s="96">
        <f>'Data Sheet (2)'!E27/'Data Sheet (2)'!$B$17</f>
        <v>1.7790728631035126E-2</v>
      </c>
      <c r="G18" s="96">
        <f>'Data Sheet (2)'!F27/'Data Sheet (2)'!$B$17</f>
        <v>2.1882589756199847E-2</v>
      </c>
      <c r="H18" s="96">
        <f>'Data Sheet (2)'!G27/'Data Sheet (2)'!$B$17</f>
        <v>2.7524540488795025E-2</v>
      </c>
      <c r="I18" s="97">
        <f>'Data Sheet (2)'!H27/'Data Sheet (2)'!H$17</f>
        <v>3.2415292955516477E-2</v>
      </c>
      <c r="J18" s="97">
        <f>'Data Sheet (2)'!I27/'Data Sheet (2)'!I$17</f>
        <v>3.3441332168710897E-2</v>
      </c>
      <c r="K18" s="97">
        <f>'Data Sheet (2)'!J27/'Data Sheet (2)'!J$17</f>
        <v>2.9556231914277829E-2</v>
      </c>
      <c r="L18" s="97">
        <f>'Data Sheet (2)'!K27/'Data Sheet (2)'!K$17</f>
        <v>2.2802299109736749E-2</v>
      </c>
    </row>
    <row r="19" spans="1:12">
      <c r="B19" s="95" t="str">
        <f>'Data Sheet (2)'!A28</f>
        <v>Profit before tax</v>
      </c>
      <c r="C19" s="96">
        <f>'Data Sheet (2)'!B28/'Data Sheet (2)'!$B$17</f>
        <v>8.246938789624432E-2</v>
      </c>
      <c r="D19" s="96">
        <f>'Data Sheet (2)'!C28/'Data Sheet (2)'!$B$17</f>
        <v>5.3677704633146098E-2</v>
      </c>
      <c r="E19" s="96">
        <f>'Data Sheet (2)'!D28/'Data Sheet (2)'!$B$17</f>
        <v>3.539605602666495E-2</v>
      </c>
      <c r="F19" s="96">
        <f>'Data Sheet (2)'!E28/'Data Sheet (2)'!$B$17</f>
        <v>4.2388939188014792E-2</v>
      </c>
      <c r="G19" s="96">
        <f>'Data Sheet (2)'!F28/'Data Sheet (2)'!$B$17</f>
        <v>-0.11920987837846159</v>
      </c>
      <c r="H19" s="96">
        <f>'Data Sheet (2)'!G28/'Data Sheet (2)'!$B$17</f>
        <v>-4.0203758199701185E-2</v>
      </c>
      <c r="I19" s="97">
        <f>'Data Sheet (2)'!H28/'Data Sheet (2)'!H$17</f>
        <v>-4.1931545799101064E-2</v>
      </c>
      <c r="J19" s="97">
        <f>'Data Sheet (2)'!I28/'Data Sheet (2)'!I$17</f>
        <v>-2.5151082611172375E-2</v>
      </c>
      <c r="K19" s="97">
        <f>'Data Sheet (2)'!J28/'Data Sheet (2)'!J$17</f>
        <v>9.809982727541881E-3</v>
      </c>
      <c r="L19" s="97">
        <f>'Data Sheet (2)'!K28/'Data Sheet (2)'!K$17</f>
        <v>6.3834978996650513E-2</v>
      </c>
    </row>
    <row r="20" spans="1:12">
      <c r="B20" s="95" t="str">
        <f>'Data Sheet (2)'!A29</f>
        <v>Tax</v>
      </c>
      <c r="C20" s="96">
        <f>'Data Sheet (2)'!B29/'Data Sheet (2)'!$B$17</f>
        <v>2.9042938226922752E-2</v>
      </c>
      <c r="D20" s="96">
        <f>'Data Sheet (2)'!C29/'Data Sheet (2)'!$B$17</f>
        <v>1.1495142594031943E-2</v>
      </c>
      <c r="E20" s="96">
        <f>'Data Sheet (2)'!D29/'Data Sheet (2)'!$B$17</f>
        <v>1.2354623049534545E-2</v>
      </c>
      <c r="F20" s="96">
        <f>'Data Sheet (2)'!E29/'Data Sheet (2)'!$B$17</f>
        <v>1.6499265957027196E-2</v>
      </c>
      <c r="G20" s="96">
        <f>'Data Sheet (2)'!F29/'Data Sheet (2)'!$B$17</f>
        <v>-9.2622718023910866E-3</v>
      </c>
      <c r="H20" s="96">
        <f>'Data Sheet (2)'!G29/'Data Sheet (2)'!$B$17</f>
        <v>1.5019438059837443E-3</v>
      </c>
      <c r="I20" s="97">
        <f>'Data Sheet (2)'!H29/'Data Sheet (2)'!H$17</f>
        <v>1.0175794327142584E-2</v>
      </c>
      <c r="J20" s="97">
        <f>'Data Sheet (2)'!I29/'Data Sheet (2)'!I$17</f>
        <v>1.5195672442685429E-2</v>
      </c>
      <c r="K20" s="97">
        <f>'Data Sheet (2)'!J29/'Data Sheet (2)'!J$17</f>
        <v>2.0350497621203548E-3</v>
      </c>
      <c r="L20" s="97">
        <f>'Data Sheet (2)'!K29/'Data Sheet (2)'!K$17</f>
        <v>-8.795149026516404E-3</v>
      </c>
    </row>
    <row r="21" spans="1:12">
      <c r="B21" s="95" t="str">
        <f>'Data Sheet (2)'!A30</f>
        <v>Net profit</v>
      </c>
      <c r="C21" s="96">
        <f>'Data Sheet (2)'!B30/'Data Sheet (2)'!$B$17</f>
        <v>5.3147682818956064E-2</v>
      </c>
      <c r="D21" s="96">
        <f>'Data Sheet (2)'!C30/'Data Sheet (2)'!$B$17</f>
        <v>4.4001196539065472E-2</v>
      </c>
      <c r="E21" s="96">
        <f>'Data Sheet (2)'!D30/'Data Sheet (2)'!$B$17</f>
        <v>2.8326451181715326E-2</v>
      </c>
      <c r="F21" s="96">
        <f>'Data Sheet (2)'!E30/'Data Sheet (2)'!$B$17</f>
        <v>3.4157717133574544E-2</v>
      </c>
      <c r="G21" s="96">
        <f>'Data Sheet (2)'!F30/'Data Sheet (2)'!$B$17</f>
        <v>-0.1095392222602474</v>
      </c>
      <c r="H21" s="96">
        <f>'Data Sheet (2)'!G30/'Data Sheet (2)'!$B$17</f>
        <v>-4.5869040836075597E-2</v>
      </c>
      <c r="I21" s="97">
        <f>'Data Sheet (2)'!H30/'Data Sheet (2)'!H$17</f>
        <v>-5.3849770661713266E-2</v>
      </c>
      <c r="J21" s="97">
        <f>'Data Sheet (2)'!I30/'Data Sheet (2)'!I$17</f>
        <v>-4.1089320368684734E-2</v>
      </c>
      <c r="K21" s="97">
        <f>'Data Sheet (2)'!J30/'Data Sheet (2)'!J$17</f>
        <v>6.9783829363826268E-3</v>
      </c>
      <c r="L21" s="97">
        <f>'Data Sheet (2)'!K30/'Data Sheet (2)'!K$17</f>
        <v>7.169924391869463E-2</v>
      </c>
    </row>
    <row r="22" spans="1:12">
      <c r="B22" s="90" t="str">
        <f>'Data Sheet (2)'!A31</f>
        <v>Dividend Amount</v>
      </c>
      <c r="C22" s="91">
        <f>'Data Sheet (2)'!B31/'Data Sheet (2)'!$B$17</f>
        <v>0</v>
      </c>
      <c r="D22" s="91">
        <f>'Data Sheet (2)'!C31/'Data Sheet (2)'!$B$17</f>
        <v>2.5809493561648554E-4</v>
      </c>
      <c r="E22" s="91">
        <f>'Data Sheet (2)'!D31/'Data Sheet (2)'!$B$17</f>
        <v>0</v>
      </c>
      <c r="F22" s="91">
        <f>'Data Sheet (2)'!E31/'Data Sheet (2)'!$B$17</f>
        <v>0</v>
      </c>
      <c r="G22" s="91">
        <f>'Data Sheet (2)'!F31/'Data Sheet (2)'!$B$17</f>
        <v>0</v>
      </c>
      <c r="H22" s="91">
        <f>'Data Sheet (2)'!G31/'Data Sheet (2)'!$B$17</f>
        <v>0</v>
      </c>
      <c r="I22" s="92">
        <f>'Data Sheet (2)'!H31/'Data Sheet (2)'!H$17</f>
        <v>0</v>
      </c>
      <c r="J22" s="92">
        <f>'Data Sheet (2)'!I31/'Data Sheet (2)'!I$17</f>
        <v>0</v>
      </c>
      <c r="K22" s="92">
        <f>'Data Sheet (2)'!J31/'Data Sheet (2)'!J$17</f>
        <v>2.2141420032091505E-3</v>
      </c>
      <c r="L22" s="92">
        <f>'Data Sheet (2)'!K31/'Data Sheet (2)'!K$17</f>
        <v>1.0676760690467288E-2</v>
      </c>
    </row>
    <row r="23" spans="1:12">
      <c r="B23" s="73"/>
    </row>
    <row r="24" spans="1:12">
      <c r="B24" s="73"/>
    </row>
    <row r="25" spans="1:12">
      <c r="B25" s="73"/>
    </row>
    <row r="26" spans="1:12">
      <c r="B26" s="84" t="str">
        <f>"Commen Size Balancesheet Statement"&amp;" "&amp;"- "&amp;'Data Sheet (2)'!B1</f>
        <v>Commen Size Balancesheet Statement - TATA MOTORS LTD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</row>
    <row r="27" spans="1:12" s="79" customFormat="1">
      <c r="A27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1:12">
      <c r="B28" s="75" t="s">
        <v>155</v>
      </c>
      <c r="C28" s="76">
        <v>42094</v>
      </c>
      <c r="D28" s="76">
        <v>42460</v>
      </c>
      <c r="E28" s="76">
        <v>42825</v>
      </c>
      <c r="F28" s="76">
        <v>43190</v>
      </c>
      <c r="G28" s="76">
        <v>43555</v>
      </c>
      <c r="H28" s="76">
        <v>43921</v>
      </c>
      <c r="I28" s="76">
        <v>44286</v>
      </c>
      <c r="J28" s="76">
        <v>44651</v>
      </c>
      <c r="K28" s="76">
        <v>45016</v>
      </c>
      <c r="L28" s="76">
        <v>45382</v>
      </c>
    </row>
    <row r="29" spans="1:12">
      <c r="B29" s="26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1:12">
      <c r="B30" s="73" t="str">
        <f>'Data Sheet (2)'!A57</f>
        <v>Equity Share Capital</v>
      </c>
      <c r="C30" s="24">
        <f>'Data Sheet (2)'!B57/'Data Sheet (2)'!B$61</f>
        <v>2.7127681338360746E-3</v>
      </c>
      <c r="D30" s="24">
        <f>'Data Sheet (2)'!C57/'Data Sheet (2)'!C$61</f>
        <v>2.5806268250531225E-3</v>
      </c>
      <c r="E30" s="24">
        <f>'Data Sheet (2)'!D57/'Data Sheet (2)'!D$61</f>
        <v>2.491815624573979E-3</v>
      </c>
      <c r="F30" s="24">
        <f>'Data Sheet (2)'!E57/'Data Sheet (2)'!E$61</f>
        <v>2.0759077068585549E-3</v>
      </c>
      <c r="G30" s="24">
        <f>'Data Sheet (2)'!F57/'Data Sheet (2)'!F$61</f>
        <v>2.2218261230841693E-3</v>
      </c>
      <c r="H30" s="24">
        <f>'Data Sheet (2)'!G57/'Data Sheet (2)'!G$61</f>
        <v>2.2473026761653833E-3</v>
      </c>
      <c r="I30" s="24">
        <f>'Data Sheet (2)'!H57/'Data Sheet (2)'!H$61</f>
        <v>2.2420300429859294E-3</v>
      </c>
      <c r="J30" s="24">
        <f>'Data Sheet (2)'!I57/'Data Sheet (2)'!I$61</f>
        <v>2.3274677325505334E-3</v>
      </c>
      <c r="K30" s="24">
        <f>'Data Sheet (2)'!J57/'Data Sheet (2)'!J$61</f>
        <v>2.2888512875034999E-3</v>
      </c>
      <c r="L30" s="24">
        <f>'Data Sheet (2)'!K57/'Data Sheet (2)'!K$61</f>
        <v>2.0743091975302811E-3</v>
      </c>
    </row>
    <row r="31" spans="1:12">
      <c r="B31" s="73" t="str">
        <f>'Data Sheet (2)'!A58</f>
        <v>Reserves</v>
      </c>
      <c r="C31" s="24">
        <f>'Data Sheet (2)'!B58/'Data Sheet (2)'!B$61</f>
        <v>0.23436440687072221</v>
      </c>
      <c r="D31" s="24">
        <f>'Data Sheet (2)'!C58/'Data Sheet (2)'!C$61</f>
        <v>0.2974086354450261</v>
      </c>
      <c r="E31" s="24">
        <f>'Data Sheet (2)'!D58/'Data Sheet (2)'!D$61</f>
        <v>0.21051652437468349</v>
      </c>
      <c r="F31" s="24">
        <f>'Data Sheet (2)'!E58/'Data Sheet (2)'!E$61</f>
        <v>0.28958148432871839</v>
      </c>
      <c r="G31" s="24">
        <f>'Data Sheet (2)'!F58/'Data Sheet (2)'!F$61</f>
        <v>0.19463415350606564</v>
      </c>
      <c r="H31" s="24">
        <f>'Data Sheet (2)'!G58/'Data Sheet (2)'!G$61</f>
        <v>0.19205324240264182</v>
      </c>
      <c r="I31" s="24">
        <f>'Data Sheet (2)'!H58/'Data Sheet (2)'!H$61</f>
        <v>0.15950149121742019</v>
      </c>
      <c r="J31" s="24">
        <f>'Data Sheet (2)'!I58/'Data Sheet (2)'!I$61</f>
        <v>0.13309172094249011</v>
      </c>
      <c r="K31" s="24">
        <f>'Data Sheet (2)'!J58/'Data Sheet (2)'!J$61</f>
        <v>0.13313168263258116</v>
      </c>
      <c r="L31" s="24">
        <f>'Data Sheet (2)'!K58/'Data Sheet (2)'!K$61</f>
        <v>0.22773160068121778</v>
      </c>
    </row>
    <row r="32" spans="1:12">
      <c r="B32" s="73" t="str">
        <f>'Data Sheet (2)'!A59</f>
        <v>Borrowings</v>
      </c>
      <c r="C32" s="24">
        <f>'Data Sheet (2)'!B59/'Data Sheet (2)'!B$61</f>
        <v>0.31018037266029647</v>
      </c>
      <c r="D32" s="24">
        <f>'Data Sheet (2)'!C59/'Data Sheet (2)'!C$61</f>
        <v>0.2635415844998551</v>
      </c>
      <c r="E32" s="24">
        <f>'Data Sheet (2)'!D59/'Data Sheet (2)'!D$61</f>
        <v>0.2883699324485447</v>
      </c>
      <c r="F32" s="24">
        <f>'Data Sheet (2)'!E59/'Data Sheet (2)'!E$61</f>
        <v>0.27186031948660327</v>
      </c>
      <c r="G32" s="24">
        <f>'Data Sheet (2)'!F59/'Data Sheet (2)'!F$61</f>
        <v>0.34731477877468786</v>
      </c>
      <c r="H32" s="24">
        <f>'Data Sheet (2)'!G59/'Data Sheet (2)'!G$61</f>
        <v>0.38974288757311953</v>
      </c>
      <c r="I32" s="24">
        <f>'Data Sheet (2)'!H59/'Data Sheet (2)'!H$61</f>
        <v>0.41610975041683274</v>
      </c>
      <c r="J32" s="24">
        <f>'Data Sheet (2)'!I59/'Data Sheet (2)'!I$61</f>
        <v>0.445050649956031</v>
      </c>
      <c r="K32" s="24">
        <f>'Data Sheet (2)'!J59/'Data Sheet (2)'!J$61</f>
        <v>0.40072807474416255</v>
      </c>
      <c r="L32" s="24">
        <f>'Data Sheet (2)'!K59/'Data Sheet (2)'!K$61</f>
        <v>0.29027474272679948</v>
      </c>
    </row>
    <row r="33" spans="2:13">
      <c r="B33" s="73" t="str">
        <f>'Data Sheet (2)'!A60</f>
        <v>Other Liabilities</v>
      </c>
      <c r="C33" s="24">
        <f>'Data Sheet (2)'!B60/'Data Sheet (2)'!B$61</f>
        <v>0.45274245233514521</v>
      </c>
      <c r="D33" s="24">
        <f>'Data Sheet (2)'!C60/'Data Sheet (2)'!C$61</f>
        <v>0.43646915323006569</v>
      </c>
      <c r="E33" s="24">
        <f>'Data Sheet (2)'!D60/'Data Sheet (2)'!D$61</f>
        <v>0.4986217275521978</v>
      </c>
      <c r="F33" s="24">
        <f>'Data Sheet (2)'!E60/'Data Sheet (2)'!E$61</f>
        <v>0.43648228847781978</v>
      </c>
      <c r="G33" s="24">
        <f>'Data Sheet (2)'!F60/'Data Sheet (2)'!F$61</f>
        <v>0.45582924159616234</v>
      </c>
      <c r="H33" s="24">
        <f>'Data Sheet (2)'!G60/'Data Sheet (2)'!G$61</f>
        <v>0.41595656734807318</v>
      </c>
      <c r="I33" s="24">
        <f>'Data Sheet (2)'!H60/'Data Sheet (2)'!H$61</f>
        <v>0.42214672832276123</v>
      </c>
      <c r="J33" s="24">
        <f>'Data Sheet (2)'!I60/'Data Sheet (2)'!I$61</f>
        <v>0.41953016136892834</v>
      </c>
      <c r="K33" s="24">
        <f>'Data Sheet (2)'!J60/'Data Sheet (2)'!J$61</f>
        <v>0.46385139133575282</v>
      </c>
      <c r="L33" s="24">
        <f>'Data Sheet (2)'!K60/'Data Sheet (2)'!K$61</f>
        <v>0.47991934739445252</v>
      </c>
    </row>
    <row r="34" spans="2:13">
      <c r="B34" s="88" t="s">
        <v>81</v>
      </c>
      <c r="C34" s="89">
        <f>'Data Sheet (2)'!B61/'Data Sheet (2)'!B$61</f>
        <v>1</v>
      </c>
      <c r="D34" s="89">
        <f>'Data Sheet (2)'!C61/'Data Sheet (2)'!C$61</f>
        <v>1</v>
      </c>
      <c r="E34" s="89">
        <f>'Data Sheet (2)'!D61/'Data Sheet (2)'!D$61</f>
        <v>1</v>
      </c>
      <c r="F34" s="89">
        <f>'Data Sheet (2)'!E61/'Data Sheet (2)'!E$61</f>
        <v>1</v>
      </c>
      <c r="G34" s="89">
        <f>'Data Sheet (2)'!F61/'Data Sheet (2)'!F$61</f>
        <v>1</v>
      </c>
      <c r="H34" s="89">
        <f>'Data Sheet (2)'!G61/'Data Sheet (2)'!G$61</f>
        <v>1</v>
      </c>
      <c r="I34" s="89">
        <f>'Data Sheet (2)'!H61/'Data Sheet (2)'!H$61</f>
        <v>1</v>
      </c>
      <c r="J34" s="89">
        <f>'Data Sheet (2)'!I61/'Data Sheet (2)'!I$61</f>
        <v>1</v>
      </c>
      <c r="K34" s="89">
        <f>'Data Sheet (2)'!J61/'Data Sheet (2)'!J$61</f>
        <v>1</v>
      </c>
      <c r="L34" s="89">
        <f>'Data Sheet (2)'!K61/'Data Sheet (2)'!K$61</f>
        <v>1</v>
      </c>
    </row>
    <row r="35" spans="2:13">
      <c r="B35" s="73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3">
      <c r="B36" s="73" t="str">
        <f>'Data Sheet (2)'!A62</f>
        <v>Net Block</v>
      </c>
      <c r="C36" s="24">
        <f>'Data Sheet (2)'!B62/HistoricalFS!C$64</f>
        <v>0.37283597031605159</v>
      </c>
      <c r="D36" s="24">
        <f>'Data Sheet (2)'!C62/HistoricalFS!D$64</f>
        <v>0.40744008415097382</v>
      </c>
      <c r="E36" s="24">
        <f>'Data Sheet (2)'!D62/HistoricalFS!E$64</f>
        <v>0.35198456704657666</v>
      </c>
      <c r="F36" s="24">
        <f>'Data Sheet (2)'!E62/HistoricalFS!F$64</f>
        <v>0.37107854258332446</v>
      </c>
      <c r="G36" s="24">
        <f>'Data Sheet (2)'!F62/HistoricalFS!G$64</f>
        <v>0.36386391925064382</v>
      </c>
      <c r="H36" s="24">
        <f>'Data Sheet (2)'!G62/HistoricalFS!H$64</f>
        <v>0.39698726392101624</v>
      </c>
      <c r="I36" s="24">
        <f>'Data Sheet (2)'!H62/HistoricalFS!I$64</f>
        <v>0.40608849298230043</v>
      </c>
      <c r="J36" s="24">
        <f>'Data Sheet (2)'!I62/HistoricalFS!J$64</f>
        <v>0.42197417266906562</v>
      </c>
      <c r="K36" s="24">
        <f>'Data Sheet (2)'!J62/HistoricalFS!K$64</f>
        <v>0.39465148263642374</v>
      </c>
      <c r="L36" s="24">
        <f>'Data Sheet (2)'!K62/HistoricalFS!L$64</f>
        <v>0.32822380326769868</v>
      </c>
    </row>
    <row r="37" spans="2:13">
      <c r="B37" s="73" t="str">
        <f>'Data Sheet (2)'!A63</f>
        <v>Capital Work in Progress</v>
      </c>
      <c r="C37" s="24">
        <f>'Data Sheet (2)'!B63/HistoricalFS!C$64</f>
        <v>0.12068396579918177</v>
      </c>
      <c r="D37" s="24">
        <f>'Data Sheet (2)'!C63/HistoricalFS!D$64</f>
        <v>9.8482157662096018E-2</v>
      </c>
      <c r="E37" s="24">
        <f>'Data Sheet (2)'!D63/HistoricalFS!E$64</f>
        <v>0.12362900980833688</v>
      </c>
      <c r="F37" s="24">
        <f>'Data Sheet (2)'!E63/HistoricalFS!F$64</f>
        <v>0.12235483522646853</v>
      </c>
      <c r="G37" s="24">
        <f>'Data Sheet (2)'!F63/HistoricalFS!G$64</f>
        <v>0.1042966176146697</v>
      </c>
      <c r="H37" s="24">
        <f>'Data Sheet (2)'!G63/HistoricalFS!H$64</f>
        <v>0.11125728611076434</v>
      </c>
      <c r="I37" s="24">
        <f>'Data Sheet (2)'!H63/HistoricalFS!I$64</f>
        <v>6.137522476731045E-2</v>
      </c>
      <c r="J37" s="24">
        <f>'Data Sheet (2)'!I63/HistoricalFS!J$64</f>
        <v>3.1152505873598278E-2</v>
      </c>
      <c r="K37" s="24">
        <f>'Data Sheet (2)'!J63/HistoricalFS!K$64</f>
        <v>4.2651899041106903E-2</v>
      </c>
      <c r="L37" s="24">
        <f>'Data Sheet (2)'!K63/HistoricalFS!L$64</f>
        <v>9.6607412506706999E-2</v>
      </c>
    </row>
    <row r="38" spans="2:13">
      <c r="B38" s="73" t="str">
        <f>'Data Sheet (2)'!A64</f>
        <v>Investments</v>
      </c>
      <c r="C38" s="24">
        <f>'Data Sheet (2)'!B64/HistoricalFS!C$64</f>
        <v>6.4626144877021785E-2</v>
      </c>
      <c r="D38" s="24">
        <f>'Data Sheet (2)'!C64/HistoricalFS!D$64</f>
        <v>9.0305676497502971E-2</v>
      </c>
      <c r="E38" s="24">
        <f>'Data Sheet (2)'!D64/HistoricalFS!E$64</f>
        <v>7.4612565630187005E-2</v>
      </c>
      <c r="F38" s="24">
        <f>'Data Sheet (2)'!E64/HistoricalFS!F$64</f>
        <v>6.3610241344366172E-2</v>
      </c>
      <c r="G38" s="24">
        <f>'Data Sheet (2)'!F64/HistoricalFS!G$64</f>
        <v>5.1588289031309388E-2</v>
      </c>
      <c r="H38" s="24">
        <f>'Data Sheet (2)'!G64/HistoricalFS!H$64</f>
        <v>5.0935445907370862E-2</v>
      </c>
      <c r="I38" s="24">
        <f>'Data Sheet (2)'!H64/HistoricalFS!I$64</f>
        <v>7.207976838475029E-2</v>
      </c>
      <c r="J38" s="24">
        <f>'Data Sheet (2)'!I64/HistoricalFS!J$64</f>
        <v>8.928279635517361E-2</v>
      </c>
      <c r="K38" s="24">
        <f>'Data Sheet (2)'!J64/HistoricalFS!K$64</f>
        <v>7.8820362822460022E-2</v>
      </c>
      <c r="L38" s="24">
        <f>'Data Sheet (2)'!K64/HistoricalFS!L$64</f>
        <v>6.216451634456871E-2</v>
      </c>
    </row>
    <row r="39" spans="2:13">
      <c r="B39" s="73" t="str">
        <f>'Data Sheet (2)'!A65</f>
        <v>Other Assets</v>
      </c>
      <c r="C39" s="24">
        <f>'Data Sheet (2)'!B65/HistoricalFS!C$64</f>
        <v>0.44185391900774501</v>
      </c>
      <c r="D39" s="24">
        <f>'Data Sheet (2)'!C65/HistoricalFS!D$64</f>
        <v>0.40377208168942713</v>
      </c>
      <c r="E39" s="24">
        <f>'Data Sheet (2)'!D65/HistoricalFS!E$64</f>
        <v>0.44977385751489951</v>
      </c>
      <c r="F39" s="24">
        <f>'Data Sheet (2)'!E65/HistoricalFS!F$64</f>
        <v>0.44295638084584088</v>
      </c>
      <c r="G39" s="24">
        <f>'Data Sheet (2)'!F65/HistoricalFS!G$64</f>
        <v>0.48025117410337709</v>
      </c>
      <c r="H39" s="24">
        <f>'Data Sheet (2)'!G65/HistoricalFS!H$64</f>
        <v>0.44082000406084854</v>
      </c>
      <c r="I39" s="24">
        <f>'Data Sheet (2)'!H65/HistoricalFS!I$64</f>
        <v>0.46045651386563885</v>
      </c>
      <c r="J39" s="24">
        <f>'Data Sheet (2)'!I65/HistoricalFS!J$64</f>
        <v>0.45759052510216258</v>
      </c>
      <c r="K39" s="24">
        <f>'Data Sheet (2)'!J65/HistoricalFS!K$64</f>
        <v>0.4838762555000094</v>
      </c>
      <c r="L39" s="24">
        <f>'Data Sheet (2)'!K65/HistoricalFS!L$64</f>
        <v>0.5130042678810256</v>
      </c>
    </row>
    <row r="40" spans="2:13">
      <c r="B40" s="73" t="str">
        <f>'Data Sheet (2)'!A67</f>
        <v>Receivables</v>
      </c>
      <c r="C40" s="24">
        <f>'Data Sheet (2)'!B67/HistoricalFS!C$64</f>
        <v>5.3006388687363321E-2</v>
      </c>
      <c r="D40" s="24">
        <f>'Data Sheet (2)'!C67/HistoricalFS!D$64</f>
        <v>5.1564319306195219E-2</v>
      </c>
      <c r="E40" s="24">
        <f>'Data Sheet (2)'!D67/HistoricalFS!E$64</f>
        <v>5.1638166447501938E-2</v>
      </c>
      <c r="F40" s="24">
        <f>'Data Sheet (2)'!E67/HistoricalFS!F$64</f>
        <v>6.0800115993123419E-2</v>
      </c>
      <c r="G40" s="24">
        <f>'Data Sheet (2)'!F67/HistoricalFS!G$64</f>
        <v>6.2139198999658127E-2</v>
      </c>
      <c r="H40" s="24">
        <f>'Data Sheet (2)'!G67/HistoricalFS!H$64</f>
        <v>3.4895094278241959E-2</v>
      </c>
      <c r="I40" s="24">
        <f>'Data Sheet (2)'!H67/HistoricalFS!I$64</f>
        <v>3.7120014464974392E-2</v>
      </c>
      <c r="J40" s="24">
        <f>'Data Sheet (2)'!I67/HistoricalFS!J$64</f>
        <v>3.7810927070195913E-2</v>
      </c>
      <c r="K40" s="24">
        <f>'Data Sheet (2)'!J67/HistoricalFS!K$64</f>
        <v>4.7024715930643397E-2</v>
      </c>
      <c r="L40" s="24">
        <f>'Data Sheet (2)'!K67/HistoricalFS!L$64</f>
        <v>4.5875140766843833E-2</v>
      </c>
    </row>
    <row r="41" spans="2:13">
      <c r="B41" s="73" t="str">
        <f>'Data Sheet (2)'!A68</f>
        <v>Inventory</v>
      </c>
      <c r="C41" s="24">
        <f>'Data Sheet (2)'!B68/HistoricalFS!C$64</f>
        <v>0.12334814867627932</v>
      </c>
      <c r="D41" s="24">
        <f>'Data Sheet (2)'!C68/HistoricalFS!D$64</f>
        <v>0.12407940874244236</v>
      </c>
      <c r="E41" s="24">
        <f>'Data Sheet (2)'!D68/HistoricalFS!E$64</f>
        <v>0.12871547311772571</v>
      </c>
      <c r="F41" s="24">
        <f>'Data Sheet (2)'!E68/HistoricalFS!F$64</f>
        <v>0.12878571135383859</v>
      </c>
      <c r="G41" s="24">
        <f>'Data Sheet (2)'!F68/HistoricalFS!G$64</f>
        <v>0.12761951131143451</v>
      </c>
      <c r="H41" s="24">
        <f>'Data Sheet (2)'!G68/HistoricalFS!H$64</f>
        <v>0.11698716772494318</v>
      </c>
      <c r="I41" s="24">
        <f>'Data Sheet (2)'!H68/HistoricalFS!I$64</f>
        <v>0.1056550619461767</v>
      </c>
      <c r="J41" s="24">
        <f>'Data Sheet (2)'!I68/HistoricalFS!J$64</f>
        <v>0.1070934797019244</v>
      </c>
      <c r="K41" s="24">
        <f>'Data Sheet (2)'!J68/HistoricalFS!K$64</f>
        <v>0.12177622891596469</v>
      </c>
      <c r="L41" s="24">
        <f>'Data Sheet (2)'!K68/HistoricalFS!L$64</f>
        <v>0.12932510043215181</v>
      </c>
    </row>
    <row r="42" spans="2:13">
      <c r="B42" s="73" t="str">
        <f>'Data Sheet (2)'!A69</f>
        <v>Cash &amp; Bank</v>
      </c>
      <c r="C42" s="24">
        <f>'Data Sheet (2)'!B69/HistoricalFS!C$64</f>
        <v>0.13532978707311077</v>
      </c>
      <c r="D42" s="24">
        <f>'Data Sheet (2)'!C69/HistoricalFS!D$64</f>
        <v>0.11573798601526566</v>
      </c>
      <c r="E42" s="24">
        <f>'Data Sheet (2)'!D69/HistoricalFS!E$64</f>
        <v>0.13235685799226327</v>
      </c>
      <c r="F42" s="24">
        <f>'Data Sheet (2)'!E69/HistoricalFS!F$64</f>
        <v>0.10579088150158772</v>
      </c>
      <c r="G42" s="24">
        <f>'Data Sheet (2)'!F69/HistoricalFS!G$64</f>
        <v>0.10679897700873484</v>
      </c>
      <c r="H42" s="24">
        <f>'Data Sheet (2)'!G69/HistoricalFS!H$64</f>
        <v>0.10533772957715985</v>
      </c>
      <c r="I42" s="24">
        <f>'Data Sheet (2)'!H69/HistoricalFS!I$64</f>
        <v>0.13699233635656022</v>
      </c>
      <c r="J42" s="24">
        <f>'Data Sheet (2)'!I69/HistoricalFS!J$64</f>
        <v>0.12359146006419652</v>
      </c>
      <c r="K42" s="24">
        <f>'Data Sheet (2)'!J69/HistoricalFS!K$64</f>
        <v>0.11060169729728082</v>
      </c>
      <c r="L42" s="24">
        <f>'Data Sheet (2)'!K69/HistoricalFS!L$64</f>
        <v>0.1239624766802588</v>
      </c>
    </row>
    <row r="43" spans="2:13">
      <c r="B43" s="88" t="s">
        <v>85</v>
      </c>
      <c r="C43" s="89">
        <f>HistoricalFS!C64/HistoricalFS!C$64</f>
        <v>1</v>
      </c>
      <c r="D43" s="89">
        <f>HistoricalFS!D64/HistoricalFS!D$64</f>
        <v>1</v>
      </c>
      <c r="E43" s="89">
        <f>HistoricalFS!E64/HistoricalFS!E$64</f>
        <v>1</v>
      </c>
      <c r="F43" s="89">
        <f>HistoricalFS!F64/HistoricalFS!F$64</f>
        <v>1</v>
      </c>
      <c r="G43" s="89">
        <f>HistoricalFS!G64/HistoricalFS!G$64</f>
        <v>1</v>
      </c>
      <c r="H43" s="89">
        <f>HistoricalFS!H64/HistoricalFS!H$64</f>
        <v>1</v>
      </c>
      <c r="I43" s="89">
        <f>HistoricalFS!I64/HistoricalFS!I$64</f>
        <v>1</v>
      </c>
      <c r="J43" s="89">
        <f>HistoricalFS!J64/HistoricalFS!J$64</f>
        <v>1</v>
      </c>
      <c r="K43" s="89">
        <f>HistoricalFS!K64/HistoricalFS!K$64</f>
        <v>1</v>
      </c>
      <c r="L43" s="89">
        <f>HistoricalFS!L64/HistoricalFS!L$64</f>
        <v>1</v>
      </c>
      <c r="M43" s="74"/>
    </row>
    <row r="44" spans="2:13">
      <c r="B44" s="73"/>
    </row>
    <row r="45" spans="2:13">
      <c r="B45" s="73"/>
    </row>
    <row r="46" spans="2:13">
      <c r="B46" s="73"/>
    </row>
    <row r="47" spans="2:13">
      <c r="B47" s="73"/>
    </row>
  </sheetData>
  <mergeCells count="3">
    <mergeCell ref="B4:L4"/>
    <mergeCell ref="B26:L26"/>
    <mergeCell ref="B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3"/>
  <sheetViews>
    <sheetView zoomScale="70" zoomScaleNormal="70" zoomScalePageLayoutView="120" workbookViewId="0">
      <pane xSplit="1" ySplit="1" topLeftCell="B18" activePane="bottomRight" state="frozen"/>
      <selection activeCell="C4" sqref="C4"/>
      <selection pane="topRight" activeCell="C4" sqref="C4"/>
      <selection pane="bottomLeft" activeCell="C4" sqref="C4"/>
      <selection pane="bottomRight" activeCell="N28" sqref="N28"/>
    </sheetView>
  </sheetViews>
  <sheetFormatPr defaultColWidth="8.85546875" defaultRowHeight="1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>
      <c r="A1" s="1" t="s">
        <v>0</v>
      </c>
      <c r="B1" s="1" t="s">
        <v>35</v>
      </c>
      <c r="E1" s="80" t="str">
        <f>IF(B2&lt;&gt;B3, "A NEW VERSION OF THE WORKSHEET IS AVAILABLE", "")</f>
        <v/>
      </c>
      <c r="F1" s="80"/>
      <c r="G1" s="80"/>
      <c r="H1" s="80"/>
      <c r="I1" s="80"/>
      <c r="J1" s="80"/>
      <c r="K1" s="80"/>
    </row>
    <row r="2" spans="1:11">
      <c r="A2" s="1" t="s">
        <v>33</v>
      </c>
      <c r="B2" s="2">
        <v>2.1</v>
      </c>
      <c r="E2" s="81" t="s">
        <v>22</v>
      </c>
      <c r="F2" s="81"/>
      <c r="G2" s="81"/>
      <c r="H2" s="81"/>
      <c r="I2" s="81"/>
      <c r="J2" s="81"/>
      <c r="K2" s="81"/>
    </row>
    <row r="3" spans="1:11">
      <c r="A3" s="1" t="s">
        <v>34</v>
      </c>
      <c r="B3" s="2">
        <v>2.1</v>
      </c>
    </row>
    <row r="4" spans="1:11">
      <c r="A4" s="1"/>
    </row>
    <row r="5" spans="1:11">
      <c r="A5" s="1" t="s">
        <v>36</v>
      </c>
    </row>
    <row r="6" spans="1:11">
      <c r="A6" s="2" t="s">
        <v>28</v>
      </c>
      <c r="B6" s="2">
        <f>IF(B9&gt;0, B9/B8, 0)</f>
        <v>366.60948258506141</v>
      </c>
    </row>
    <row r="7" spans="1:11">
      <c r="A7" s="2" t="s">
        <v>17</v>
      </c>
      <c r="B7">
        <v>2</v>
      </c>
    </row>
    <row r="8" spans="1:11">
      <c r="A8" s="2" t="s">
        <v>29</v>
      </c>
      <c r="B8">
        <v>993.4</v>
      </c>
    </row>
    <row r="9" spans="1:11">
      <c r="A9" s="2" t="s">
        <v>46</v>
      </c>
      <c r="B9">
        <v>364189.86</v>
      </c>
    </row>
    <row r="15" spans="1:11">
      <c r="A15" s="1" t="s">
        <v>23</v>
      </c>
    </row>
    <row r="16" spans="1:11" s="8" customFormat="1">
      <c r="A16" s="7" t="s">
        <v>24</v>
      </c>
      <c r="B16" s="6">
        <v>42094</v>
      </c>
      <c r="C16" s="6">
        <v>42460</v>
      </c>
      <c r="D16" s="6">
        <v>42825</v>
      </c>
      <c r="E16" s="6">
        <v>43190</v>
      </c>
      <c r="F16" s="6">
        <v>43555</v>
      </c>
      <c r="G16" s="6">
        <v>43921</v>
      </c>
      <c r="H16" s="6">
        <v>44286</v>
      </c>
      <c r="I16" s="6">
        <v>44651</v>
      </c>
      <c r="J16" s="6">
        <v>45016</v>
      </c>
      <c r="K16" s="6">
        <v>45382</v>
      </c>
    </row>
    <row r="17" spans="1:11" s="4" customFormat="1">
      <c r="A17" s="4" t="s">
        <v>1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4" customFormat="1">
      <c r="A18" s="2" t="s">
        <v>47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4" customFormat="1">
      <c r="A19" s="2" t="s">
        <v>48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4" customFormat="1">
      <c r="A20" s="2" t="s">
        <v>49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4" customFormat="1">
      <c r="A21" s="2" t="s">
        <v>50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4" customFormat="1">
      <c r="A22" s="2" t="s">
        <v>51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4" customFormat="1">
      <c r="A23" s="2" t="s">
        <v>52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4" customFormat="1">
      <c r="A24" s="2" t="s">
        <v>53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4" customFormat="1">
      <c r="A25" s="4" t="s">
        <v>4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4" customFormat="1">
      <c r="A26" s="4" t="s">
        <v>5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4" customFormat="1">
      <c r="A27" s="4" t="s">
        <v>6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4" customFormat="1">
      <c r="A28" s="4" t="s">
        <v>7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4" customFormat="1">
      <c r="A29" s="4" t="s">
        <v>8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4" customFormat="1">
      <c r="A30" s="4" t="s">
        <v>9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4" customFormat="1">
      <c r="A31" s="4" t="s">
        <v>37</v>
      </c>
      <c r="C31">
        <v>67.92</v>
      </c>
      <c r="J31">
        <v>766.02</v>
      </c>
      <c r="K31">
        <v>4675.6499999999996</v>
      </c>
    </row>
    <row r="32" spans="1:11" s="4" customFormat="1"/>
    <row r="33" spans="1:11">
      <c r="A33" s="4"/>
    </row>
    <row r="34" spans="1:11">
      <c r="A34" s="4"/>
    </row>
    <row r="35" spans="1:11">
      <c r="A35" s="4"/>
    </row>
    <row r="36" spans="1:11">
      <c r="A36" s="4"/>
    </row>
    <row r="37" spans="1:11">
      <c r="A37" s="4"/>
    </row>
    <row r="38" spans="1:11">
      <c r="A38" s="4"/>
    </row>
    <row r="39" spans="1:11">
      <c r="A39" s="4"/>
    </row>
    <row r="40" spans="1:11">
      <c r="A40" s="1" t="s">
        <v>25</v>
      </c>
    </row>
    <row r="41" spans="1:11" s="8" customFormat="1">
      <c r="A41" s="7" t="s">
        <v>24</v>
      </c>
      <c r="B41" s="6">
        <v>44561</v>
      </c>
      <c r="C41" s="6">
        <v>44651</v>
      </c>
      <c r="D41" s="6">
        <v>44742</v>
      </c>
      <c r="E41" s="6">
        <v>44834</v>
      </c>
      <c r="F41" s="6">
        <v>44926</v>
      </c>
      <c r="G41" s="6">
        <v>45016</v>
      </c>
      <c r="H41" s="6">
        <v>45107</v>
      </c>
      <c r="I41" s="6">
        <v>45199</v>
      </c>
      <c r="J41" s="6">
        <v>45291</v>
      </c>
      <c r="K41" s="6">
        <v>45382</v>
      </c>
    </row>
    <row r="42" spans="1:11" s="4" customFormat="1">
      <c r="A42" s="4" t="s">
        <v>1</v>
      </c>
      <c r="B42">
        <v>72229.289999999994</v>
      </c>
      <c r="C42">
        <v>78439.06</v>
      </c>
      <c r="D42">
        <v>71934.66</v>
      </c>
      <c r="E42">
        <v>79611.37</v>
      </c>
      <c r="F42">
        <v>88488.59</v>
      </c>
      <c r="G42">
        <v>105932.35</v>
      </c>
      <c r="H42">
        <v>102236.08</v>
      </c>
      <c r="I42">
        <v>105128.24</v>
      </c>
      <c r="J42">
        <v>110577.14</v>
      </c>
      <c r="K42">
        <v>119986.31</v>
      </c>
    </row>
    <row r="43" spans="1:11" s="4" customFormat="1">
      <c r="A43" s="4" t="s">
        <v>2</v>
      </c>
      <c r="B43">
        <v>65151.27</v>
      </c>
      <c r="C43">
        <v>70156.27</v>
      </c>
      <c r="D43">
        <v>69521.929999999993</v>
      </c>
      <c r="E43">
        <v>74039.06</v>
      </c>
      <c r="F43">
        <v>77668.350000000006</v>
      </c>
      <c r="G43">
        <v>92817.95</v>
      </c>
      <c r="H43">
        <v>89018.36</v>
      </c>
      <c r="I43">
        <v>91361.3</v>
      </c>
      <c r="J43">
        <v>95158.77</v>
      </c>
      <c r="K43">
        <v>102851</v>
      </c>
    </row>
    <row r="44" spans="1:11" s="4" customFormat="1">
      <c r="A44" s="4" t="s">
        <v>4</v>
      </c>
      <c r="B44">
        <v>788.73</v>
      </c>
      <c r="C44">
        <v>188.74</v>
      </c>
      <c r="D44">
        <v>2380.98</v>
      </c>
      <c r="E44">
        <v>1351.14</v>
      </c>
      <c r="F44">
        <v>1129.98</v>
      </c>
      <c r="G44">
        <v>1452.86</v>
      </c>
      <c r="H44">
        <v>683.56</v>
      </c>
      <c r="I44">
        <v>1507.05</v>
      </c>
      <c r="J44">
        <v>1603.76</v>
      </c>
      <c r="K44">
        <v>1618.3</v>
      </c>
    </row>
    <row r="45" spans="1:11" s="4" customFormat="1">
      <c r="A45" s="4" t="s">
        <v>5</v>
      </c>
      <c r="B45">
        <v>6078.13</v>
      </c>
      <c r="C45">
        <v>6432.11</v>
      </c>
      <c r="D45">
        <v>5841.04</v>
      </c>
      <c r="E45">
        <v>5897.34</v>
      </c>
      <c r="F45">
        <v>6071.78</v>
      </c>
      <c r="G45">
        <v>7050.2</v>
      </c>
      <c r="H45">
        <v>6633.18</v>
      </c>
      <c r="I45">
        <v>6636.42</v>
      </c>
      <c r="J45">
        <v>6850</v>
      </c>
      <c r="K45">
        <v>7150.53</v>
      </c>
    </row>
    <row r="46" spans="1:11" s="4" customFormat="1">
      <c r="A46" s="4" t="s">
        <v>6</v>
      </c>
      <c r="B46">
        <v>2400.7399999999998</v>
      </c>
      <c r="C46">
        <v>2380.52</v>
      </c>
      <c r="D46">
        <v>2420.7199999999998</v>
      </c>
      <c r="E46">
        <v>2487.2600000000002</v>
      </c>
      <c r="F46">
        <v>2675.83</v>
      </c>
      <c r="G46">
        <v>2641.67</v>
      </c>
      <c r="H46">
        <v>2615.39</v>
      </c>
      <c r="I46">
        <v>2651.69</v>
      </c>
      <c r="J46">
        <v>2484.91</v>
      </c>
      <c r="K46">
        <v>2233.77</v>
      </c>
    </row>
    <row r="47" spans="1:11" s="4" customFormat="1">
      <c r="A47" s="4" t="s">
        <v>7</v>
      </c>
      <c r="B47">
        <v>-612.12</v>
      </c>
      <c r="C47">
        <v>-341.1</v>
      </c>
      <c r="D47">
        <v>-3468.05</v>
      </c>
      <c r="E47">
        <v>-1461.15</v>
      </c>
      <c r="F47">
        <v>3202.61</v>
      </c>
      <c r="G47">
        <v>4875.3900000000003</v>
      </c>
      <c r="H47">
        <v>4652.71</v>
      </c>
      <c r="I47">
        <v>5985.88</v>
      </c>
      <c r="J47">
        <v>7687.22</v>
      </c>
      <c r="K47">
        <v>9369.31</v>
      </c>
    </row>
    <row r="48" spans="1:11" s="4" customFormat="1">
      <c r="A48" s="4" t="s">
        <v>8</v>
      </c>
      <c r="B48">
        <v>726.05</v>
      </c>
      <c r="C48">
        <v>758.22</v>
      </c>
      <c r="D48">
        <v>1518.96</v>
      </c>
      <c r="E48">
        <v>-457.08</v>
      </c>
      <c r="F48">
        <v>262.83</v>
      </c>
      <c r="G48">
        <v>-620.65</v>
      </c>
      <c r="H48">
        <v>1563.01</v>
      </c>
      <c r="I48">
        <v>2202.84</v>
      </c>
      <c r="J48">
        <v>541.79</v>
      </c>
      <c r="K48">
        <v>-8159.28</v>
      </c>
    </row>
    <row r="49" spans="1:11" s="4" customFormat="1">
      <c r="A49" s="4" t="s">
        <v>9</v>
      </c>
      <c r="B49">
        <v>-1516.14</v>
      </c>
      <c r="C49">
        <v>-1032.8399999999999</v>
      </c>
      <c r="D49">
        <v>-5006.6000000000004</v>
      </c>
      <c r="E49">
        <v>-944.61</v>
      </c>
      <c r="F49">
        <v>2957.71</v>
      </c>
      <c r="G49">
        <v>5407.79</v>
      </c>
      <c r="H49">
        <v>3202.8</v>
      </c>
      <c r="I49">
        <v>3764</v>
      </c>
      <c r="J49">
        <v>7025.11</v>
      </c>
      <c r="K49">
        <v>17407.18</v>
      </c>
    </row>
    <row r="50" spans="1:11">
      <c r="A50" s="4" t="s">
        <v>3</v>
      </c>
      <c r="B50">
        <v>7078.02</v>
      </c>
      <c r="C50">
        <v>8282.7900000000009</v>
      </c>
      <c r="D50">
        <v>2412.73</v>
      </c>
      <c r="E50">
        <v>5572.31</v>
      </c>
      <c r="F50">
        <v>10820.24</v>
      </c>
      <c r="G50">
        <v>13114.4</v>
      </c>
      <c r="H50">
        <v>13217.72</v>
      </c>
      <c r="I50">
        <v>13766.94</v>
      </c>
      <c r="J50">
        <v>15418.37</v>
      </c>
      <c r="K50">
        <v>17135.310000000001</v>
      </c>
    </row>
    <row r="51" spans="1:11">
      <c r="A51" s="4"/>
    </row>
    <row r="52" spans="1:11">
      <c r="A52" s="4"/>
    </row>
    <row r="53" spans="1:11">
      <c r="A53" s="4"/>
    </row>
    <row r="54" spans="1:11">
      <c r="A54" s="4"/>
    </row>
    <row r="55" spans="1:11">
      <c r="A55" s="1" t="s">
        <v>26</v>
      </c>
    </row>
    <row r="56" spans="1:11" s="8" customFormat="1">
      <c r="A56" s="7" t="s">
        <v>24</v>
      </c>
      <c r="B56" s="6">
        <v>42094</v>
      </c>
      <c r="C56" s="6">
        <v>42460</v>
      </c>
      <c r="D56" s="6">
        <v>42825</v>
      </c>
      <c r="E56" s="6">
        <v>43190</v>
      </c>
      <c r="F56" s="6">
        <v>43555</v>
      </c>
      <c r="G56" s="6">
        <v>43921</v>
      </c>
      <c r="H56" s="6">
        <v>44286</v>
      </c>
      <c r="I56" s="6">
        <v>44651</v>
      </c>
      <c r="J56" s="6">
        <v>45016</v>
      </c>
      <c r="K56" s="6">
        <v>45382</v>
      </c>
    </row>
    <row r="57" spans="1:11">
      <c r="A57" s="4" t="s">
        <v>11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>
      <c r="A58" s="4" t="s">
        <v>12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>
      <c r="A59" s="4" t="s">
        <v>38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>
      <c r="A60" s="4" t="s">
        <v>39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>
      <c r="A61" s="1" t="s">
        <v>13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>
      <c r="A62" s="4" t="s">
        <v>14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>
      <c r="A63" s="4" t="s">
        <v>15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>
      <c r="A64" s="4" t="s">
        <v>16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>
      <c r="A65" s="4" t="s">
        <v>40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>
      <c r="A66" s="1" t="s">
        <v>13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4" customFormat="1">
      <c r="A67" s="4" t="s">
        <v>45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>
      <c r="A68" s="4" t="s">
        <v>30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>
      <c r="A69" s="2" t="s">
        <v>54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>
      <c r="A70" s="2" t="s">
        <v>41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>
      <c r="A71" s="2" t="s">
        <v>42</v>
      </c>
    </row>
    <row r="72" spans="1:11">
      <c r="A72" s="2" t="s">
        <v>55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4"/>
    </row>
    <row r="75" spans="1:11">
      <c r="A75" s="4"/>
    </row>
    <row r="76" spans="1:11">
      <c r="A76" s="4"/>
    </row>
    <row r="77" spans="1:11">
      <c r="A77" s="4"/>
    </row>
    <row r="78" spans="1:11">
      <c r="A78" s="4"/>
    </row>
    <row r="79" spans="1:11">
      <c r="A79" s="4"/>
    </row>
    <row r="80" spans="1:11">
      <c r="A80" s="1" t="s">
        <v>27</v>
      </c>
    </row>
    <row r="81" spans="1:11" s="8" customFormat="1">
      <c r="A81" s="7" t="s">
        <v>24</v>
      </c>
      <c r="B81" s="6">
        <v>42094</v>
      </c>
      <c r="C81" s="6">
        <v>42460</v>
      </c>
      <c r="D81" s="6">
        <v>42825</v>
      </c>
      <c r="E81" s="6">
        <v>43190</v>
      </c>
      <c r="F81" s="6">
        <v>43555</v>
      </c>
      <c r="G81" s="6">
        <v>43921</v>
      </c>
      <c r="H81" s="6">
        <v>44286</v>
      </c>
      <c r="I81" s="6">
        <v>44651</v>
      </c>
      <c r="J81" s="6">
        <v>45016</v>
      </c>
      <c r="K81" s="6">
        <v>45382</v>
      </c>
    </row>
    <row r="82" spans="1:11" s="1" customFormat="1">
      <c r="A82" s="4" t="s">
        <v>18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4" customFormat="1">
      <c r="A83" s="4" t="s">
        <v>19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4" customFormat="1">
      <c r="A84" s="4" t="s">
        <v>20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>
      <c r="A85" s="4" t="s">
        <v>21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>
      <c r="A86" s="4"/>
    </row>
    <row r="87" spans="1:11">
      <c r="A87" s="4"/>
    </row>
    <row r="88" spans="1:11">
      <c r="A88" s="4"/>
    </row>
    <row r="89" spans="1:11">
      <c r="A89" s="4"/>
    </row>
    <row r="90" spans="1:11" s="1" customFormat="1">
      <c r="A90" s="1" t="s">
        <v>44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>
      <c r="A92" s="1" t="s">
        <v>43</v>
      </c>
    </row>
    <row r="93" spans="1:11">
      <c r="A93" s="2" t="s">
        <v>56</v>
      </c>
      <c r="B93" s="9">
        <v>288.74</v>
      </c>
      <c r="C93" s="9">
        <v>288.72000000000003</v>
      </c>
      <c r="D93" s="9">
        <v>288.73</v>
      </c>
      <c r="E93" s="9">
        <v>288.73</v>
      </c>
      <c r="F93" s="9">
        <v>288.73</v>
      </c>
      <c r="G93" s="9">
        <v>308.89999999999998</v>
      </c>
      <c r="H93" s="9">
        <v>332.03</v>
      </c>
      <c r="I93" s="9">
        <v>332.07</v>
      </c>
      <c r="J93" s="9">
        <v>332.13</v>
      </c>
      <c r="K93" s="9">
        <v>332.37</v>
      </c>
    </row>
  </sheetData>
  <mergeCells count="2">
    <mergeCell ref="E1:K1"/>
    <mergeCell ref="E2:K2"/>
  </mergeCells>
  <conditionalFormatting sqref="E1:K1">
    <cfRule type="cellIs" dxfId="1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zoomScaleNormal="10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H10" sqref="H10"/>
    </sheetView>
  </sheetViews>
  <sheetFormatPr defaultColWidth="8.85546875" defaultRowHeight="1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>
      <c r="A1" s="1" t="s">
        <v>0</v>
      </c>
      <c r="B1" s="1" t="s">
        <v>35</v>
      </c>
      <c r="E1" s="80" t="str">
        <f>IF(B2&lt;&gt;B3, "A NEW VERSION OF THE WORKSHEET IS AVAILABLE", "")</f>
        <v/>
      </c>
      <c r="F1" s="80"/>
      <c r="G1" s="80"/>
      <c r="H1" s="80"/>
      <c r="I1" s="80"/>
      <c r="J1" s="80"/>
      <c r="K1" s="80"/>
    </row>
    <row r="2" spans="1:11">
      <c r="A2" s="1" t="s">
        <v>33</v>
      </c>
      <c r="B2" s="2">
        <v>2.1</v>
      </c>
      <c r="E2" s="81" t="s">
        <v>22</v>
      </c>
      <c r="F2" s="81"/>
      <c r="G2" s="81"/>
      <c r="H2" s="81"/>
      <c r="I2" s="81"/>
      <c r="J2" s="81"/>
      <c r="K2" s="81"/>
    </row>
    <row r="3" spans="1:11">
      <c r="A3" s="1" t="s">
        <v>34</v>
      </c>
      <c r="B3" s="2">
        <v>2.1</v>
      </c>
    </row>
    <row r="4" spans="1:11">
      <c r="A4" s="1"/>
    </row>
    <row r="5" spans="1:11">
      <c r="A5" s="1" t="s">
        <v>36</v>
      </c>
    </row>
    <row r="6" spans="1:11">
      <c r="A6" s="2" t="s">
        <v>28</v>
      </c>
      <c r="B6" s="2">
        <f>IF(B9&gt;0, B9/B8, 0)</f>
        <v>366.60948258506141</v>
      </c>
    </row>
    <row r="7" spans="1:11">
      <c r="A7" s="2" t="s">
        <v>17</v>
      </c>
      <c r="B7">
        <v>2</v>
      </c>
    </row>
    <row r="8" spans="1:11">
      <c r="A8" s="2" t="s">
        <v>29</v>
      </c>
      <c r="B8">
        <v>993.4</v>
      </c>
    </row>
    <row r="9" spans="1:11">
      <c r="A9" s="2" t="s">
        <v>46</v>
      </c>
      <c r="B9">
        <v>364189.86</v>
      </c>
    </row>
    <row r="15" spans="1:11">
      <c r="A15" s="1" t="s">
        <v>23</v>
      </c>
    </row>
    <row r="16" spans="1:11" s="8" customFormat="1">
      <c r="A16" s="7" t="s">
        <v>24</v>
      </c>
      <c r="B16" s="6">
        <v>42094</v>
      </c>
      <c r="C16" s="6">
        <v>42460</v>
      </c>
      <c r="D16" s="6">
        <v>42825</v>
      </c>
      <c r="E16" s="6">
        <v>43190</v>
      </c>
      <c r="F16" s="6">
        <v>43555</v>
      </c>
      <c r="G16" s="6">
        <v>43921</v>
      </c>
      <c r="H16" s="6">
        <v>44286</v>
      </c>
      <c r="I16" s="6">
        <v>44651</v>
      </c>
      <c r="J16" s="6">
        <v>45016</v>
      </c>
      <c r="K16" s="6">
        <v>45382</v>
      </c>
    </row>
    <row r="17" spans="1:11" s="4" customFormat="1">
      <c r="A17" s="4" t="s">
        <v>1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4" customFormat="1">
      <c r="A18" s="2" t="s">
        <v>47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4" customFormat="1">
      <c r="A19" s="2" t="s">
        <v>48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4" customFormat="1">
      <c r="A20" s="2" t="s">
        <v>49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4" customFormat="1">
      <c r="A21" s="2" t="s">
        <v>50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4" customFormat="1">
      <c r="A22" s="2" t="s">
        <v>51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4" customFormat="1">
      <c r="A23" s="2" t="s">
        <v>52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4" customFormat="1">
      <c r="A24" s="2" t="s">
        <v>53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4" customFormat="1">
      <c r="A25" s="4" t="s">
        <v>4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4" customFormat="1">
      <c r="A26" s="4" t="s">
        <v>5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4" customFormat="1">
      <c r="A27" s="4" t="s">
        <v>6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4" customFormat="1">
      <c r="A28" s="4" t="s">
        <v>7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4" customFormat="1">
      <c r="A29" s="4" t="s">
        <v>8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4" customFormat="1">
      <c r="A30" s="4" t="s">
        <v>9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4" customFormat="1">
      <c r="A31" s="4" t="s">
        <v>37</v>
      </c>
      <c r="C31">
        <v>67.92</v>
      </c>
      <c r="J31">
        <v>766.02</v>
      </c>
      <c r="K31">
        <v>4675.6499999999996</v>
      </c>
    </row>
    <row r="32" spans="1:11" s="4" customFormat="1"/>
    <row r="33" spans="1:11">
      <c r="A33" s="4"/>
    </row>
    <row r="34" spans="1:11">
      <c r="A34" s="4"/>
    </row>
    <row r="35" spans="1:11">
      <c r="A35" s="4"/>
    </row>
    <row r="36" spans="1:11">
      <c r="A36" s="4"/>
    </row>
    <row r="37" spans="1:11">
      <c r="A37" s="4"/>
    </row>
    <row r="38" spans="1:11">
      <c r="A38" s="4"/>
    </row>
    <row r="39" spans="1:11">
      <c r="A39" s="4"/>
    </row>
    <row r="40" spans="1:11">
      <c r="A40" s="1" t="s">
        <v>25</v>
      </c>
    </row>
    <row r="41" spans="1:11" s="8" customFormat="1">
      <c r="A41" s="7" t="s">
        <v>24</v>
      </c>
      <c r="B41" s="6">
        <v>44561</v>
      </c>
      <c r="C41" s="6">
        <v>44651</v>
      </c>
      <c r="D41" s="6">
        <v>44742</v>
      </c>
      <c r="E41" s="6">
        <v>44834</v>
      </c>
      <c r="F41" s="6">
        <v>44926</v>
      </c>
      <c r="G41" s="6">
        <v>45016</v>
      </c>
      <c r="H41" s="6">
        <v>45107</v>
      </c>
      <c r="I41" s="6">
        <v>45199</v>
      </c>
      <c r="J41" s="6">
        <v>45291</v>
      </c>
      <c r="K41" s="6">
        <v>45382</v>
      </c>
    </row>
    <row r="42" spans="1:11" s="4" customFormat="1">
      <c r="A42" s="4" t="s">
        <v>1</v>
      </c>
      <c r="B42">
        <v>72229.289999999994</v>
      </c>
      <c r="C42">
        <v>78439.06</v>
      </c>
      <c r="D42">
        <v>71934.66</v>
      </c>
      <c r="E42">
        <v>79611.37</v>
      </c>
      <c r="F42">
        <v>88488.59</v>
      </c>
      <c r="G42">
        <v>105932.35</v>
      </c>
      <c r="H42">
        <v>102236.08</v>
      </c>
      <c r="I42">
        <v>105128.24</v>
      </c>
      <c r="J42">
        <v>110577.14</v>
      </c>
      <c r="K42">
        <v>119986.31</v>
      </c>
    </row>
    <row r="43" spans="1:11" s="4" customFormat="1">
      <c r="A43" s="4" t="s">
        <v>2</v>
      </c>
      <c r="B43">
        <v>65151.27</v>
      </c>
      <c r="C43">
        <v>70156.27</v>
      </c>
      <c r="D43">
        <v>69521.929999999993</v>
      </c>
      <c r="E43">
        <v>74039.06</v>
      </c>
      <c r="F43">
        <v>77668.350000000006</v>
      </c>
      <c r="G43">
        <v>92817.95</v>
      </c>
      <c r="H43">
        <v>89018.36</v>
      </c>
      <c r="I43">
        <v>91361.3</v>
      </c>
      <c r="J43">
        <v>95158.77</v>
      </c>
      <c r="K43">
        <v>102851</v>
      </c>
    </row>
    <row r="44" spans="1:11" s="4" customFormat="1">
      <c r="A44" s="4" t="s">
        <v>4</v>
      </c>
      <c r="B44">
        <v>788.73</v>
      </c>
      <c r="C44">
        <v>188.74</v>
      </c>
      <c r="D44">
        <v>2380.98</v>
      </c>
      <c r="E44">
        <v>1351.14</v>
      </c>
      <c r="F44">
        <v>1129.98</v>
      </c>
      <c r="G44">
        <v>1452.86</v>
      </c>
      <c r="H44">
        <v>683.56</v>
      </c>
      <c r="I44">
        <v>1507.05</v>
      </c>
      <c r="J44">
        <v>1603.76</v>
      </c>
      <c r="K44">
        <v>1618.3</v>
      </c>
    </row>
    <row r="45" spans="1:11" s="4" customFormat="1">
      <c r="A45" s="4" t="s">
        <v>5</v>
      </c>
      <c r="B45">
        <v>6078.13</v>
      </c>
      <c r="C45">
        <v>6432.11</v>
      </c>
      <c r="D45">
        <v>5841.04</v>
      </c>
      <c r="E45">
        <v>5897.34</v>
      </c>
      <c r="F45">
        <v>6071.78</v>
      </c>
      <c r="G45">
        <v>7050.2</v>
      </c>
      <c r="H45">
        <v>6633.18</v>
      </c>
      <c r="I45">
        <v>6636.42</v>
      </c>
      <c r="J45">
        <v>6850</v>
      </c>
      <c r="K45">
        <v>7150.53</v>
      </c>
    </row>
    <row r="46" spans="1:11" s="4" customFormat="1">
      <c r="A46" s="4" t="s">
        <v>6</v>
      </c>
      <c r="B46">
        <v>2400.7399999999998</v>
      </c>
      <c r="C46">
        <v>2380.52</v>
      </c>
      <c r="D46">
        <v>2420.7199999999998</v>
      </c>
      <c r="E46">
        <v>2487.2600000000002</v>
      </c>
      <c r="F46">
        <v>2675.83</v>
      </c>
      <c r="G46">
        <v>2641.67</v>
      </c>
      <c r="H46">
        <v>2615.39</v>
      </c>
      <c r="I46">
        <v>2651.69</v>
      </c>
      <c r="J46">
        <v>2484.91</v>
      </c>
      <c r="K46">
        <v>2233.77</v>
      </c>
    </row>
    <row r="47" spans="1:11" s="4" customFormat="1">
      <c r="A47" s="4" t="s">
        <v>7</v>
      </c>
      <c r="B47">
        <v>-612.12</v>
      </c>
      <c r="C47">
        <v>-341.1</v>
      </c>
      <c r="D47">
        <v>-3468.05</v>
      </c>
      <c r="E47">
        <v>-1461.15</v>
      </c>
      <c r="F47">
        <v>3202.61</v>
      </c>
      <c r="G47">
        <v>4875.3900000000003</v>
      </c>
      <c r="H47">
        <v>4652.71</v>
      </c>
      <c r="I47">
        <v>5985.88</v>
      </c>
      <c r="J47">
        <v>7687.22</v>
      </c>
      <c r="K47">
        <v>9369.31</v>
      </c>
    </row>
    <row r="48" spans="1:11" s="4" customFormat="1">
      <c r="A48" s="4" t="s">
        <v>8</v>
      </c>
      <c r="B48">
        <v>726.05</v>
      </c>
      <c r="C48">
        <v>758.22</v>
      </c>
      <c r="D48">
        <v>1518.96</v>
      </c>
      <c r="E48">
        <v>-457.08</v>
      </c>
      <c r="F48">
        <v>262.83</v>
      </c>
      <c r="G48">
        <v>-620.65</v>
      </c>
      <c r="H48">
        <v>1563.01</v>
      </c>
      <c r="I48">
        <v>2202.84</v>
      </c>
      <c r="J48">
        <v>541.79</v>
      </c>
      <c r="K48">
        <v>-8159.28</v>
      </c>
    </row>
    <row r="49" spans="1:11" s="4" customFormat="1">
      <c r="A49" s="4" t="s">
        <v>9</v>
      </c>
      <c r="B49">
        <v>-1516.14</v>
      </c>
      <c r="C49">
        <v>-1032.8399999999999</v>
      </c>
      <c r="D49">
        <v>-5006.6000000000004</v>
      </c>
      <c r="E49">
        <v>-944.61</v>
      </c>
      <c r="F49">
        <v>2957.71</v>
      </c>
      <c r="G49">
        <v>5407.79</v>
      </c>
      <c r="H49">
        <v>3202.8</v>
      </c>
      <c r="I49">
        <v>3764</v>
      </c>
      <c r="J49">
        <v>7025.11</v>
      </c>
      <c r="K49">
        <v>17407.18</v>
      </c>
    </row>
    <row r="50" spans="1:11">
      <c r="A50" s="4" t="s">
        <v>3</v>
      </c>
      <c r="B50">
        <v>7078.02</v>
      </c>
      <c r="C50">
        <v>8282.7900000000009</v>
      </c>
      <c r="D50">
        <v>2412.73</v>
      </c>
      <c r="E50">
        <v>5572.31</v>
      </c>
      <c r="F50">
        <v>10820.24</v>
      </c>
      <c r="G50">
        <v>13114.4</v>
      </c>
      <c r="H50">
        <v>13217.72</v>
      </c>
      <c r="I50">
        <v>13766.94</v>
      </c>
      <c r="J50">
        <v>15418.37</v>
      </c>
      <c r="K50">
        <v>17135.310000000001</v>
      </c>
    </row>
    <row r="51" spans="1:11">
      <c r="A51" s="4"/>
    </row>
    <row r="52" spans="1:11">
      <c r="A52" s="4"/>
    </row>
    <row r="53" spans="1:11">
      <c r="A53" s="4"/>
    </row>
    <row r="54" spans="1:11">
      <c r="A54" s="4"/>
    </row>
    <row r="55" spans="1:11">
      <c r="A55" s="1" t="s">
        <v>26</v>
      </c>
    </row>
    <row r="56" spans="1:11" s="8" customFormat="1">
      <c r="A56" s="7" t="s">
        <v>24</v>
      </c>
      <c r="B56" s="6">
        <v>42094</v>
      </c>
      <c r="C56" s="6">
        <v>42460</v>
      </c>
      <c r="D56" s="6">
        <v>42825</v>
      </c>
      <c r="E56" s="6">
        <v>43190</v>
      </c>
      <c r="F56" s="6">
        <v>43555</v>
      </c>
      <c r="G56" s="6">
        <v>43921</v>
      </c>
      <c r="H56" s="6">
        <v>44286</v>
      </c>
      <c r="I56" s="6">
        <v>44651</v>
      </c>
      <c r="J56" s="6">
        <v>45016</v>
      </c>
      <c r="K56" s="6">
        <v>45382</v>
      </c>
    </row>
    <row r="57" spans="1:11">
      <c r="A57" s="4" t="s">
        <v>11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>
      <c r="A58" s="4" t="s">
        <v>12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>
      <c r="A59" s="4" t="s">
        <v>38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>
      <c r="A60" s="4" t="s">
        <v>39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>
      <c r="A61" s="1" t="s">
        <v>13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>
      <c r="A62" s="4" t="s">
        <v>14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>
      <c r="A63" s="4" t="s">
        <v>15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>
      <c r="A64" s="4" t="s">
        <v>16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>
      <c r="A65" s="4" t="s">
        <v>40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>
      <c r="A66" s="1" t="s">
        <v>13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4" customFormat="1">
      <c r="A67" s="4" t="s">
        <v>45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>
      <c r="A68" s="4" t="s">
        <v>30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>
      <c r="A69" s="2" t="s">
        <v>54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>
      <c r="A70" s="2" t="s">
        <v>41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>
      <c r="A71" s="2" t="s">
        <v>42</v>
      </c>
    </row>
    <row r="72" spans="1:11">
      <c r="A72" s="2" t="s">
        <v>55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>
      <c r="A74" s="4"/>
    </row>
    <row r="75" spans="1:11">
      <c r="A75" s="4"/>
    </row>
    <row r="76" spans="1:11">
      <c r="A76" s="4"/>
    </row>
    <row r="77" spans="1:11">
      <c r="A77" s="4"/>
    </row>
    <row r="78" spans="1:11">
      <c r="A78" s="4"/>
    </row>
    <row r="79" spans="1:11">
      <c r="A79" s="4"/>
    </row>
    <row r="80" spans="1:11">
      <c r="A80" s="1" t="s">
        <v>27</v>
      </c>
    </row>
    <row r="81" spans="1:11" s="8" customFormat="1">
      <c r="A81" s="7" t="s">
        <v>24</v>
      </c>
      <c r="B81" s="6">
        <v>42094</v>
      </c>
      <c r="C81" s="6">
        <v>42460</v>
      </c>
      <c r="D81" s="6">
        <v>42825</v>
      </c>
      <c r="E81" s="6">
        <v>43190</v>
      </c>
      <c r="F81" s="6">
        <v>43555</v>
      </c>
      <c r="G81" s="6">
        <v>43921</v>
      </c>
      <c r="H81" s="6">
        <v>44286</v>
      </c>
      <c r="I81" s="6">
        <v>44651</v>
      </c>
      <c r="J81" s="6">
        <v>45016</v>
      </c>
      <c r="K81" s="6">
        <v>45382</v>
      </c>
    </row>
    <row r="82" spans="1:11" s="1" customFormat="1">
      <c r="A82" s="4" t="s">
        <v>18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4" customFormat="1">
      <c r="A83" s="4" t="s">
        <v>19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4" customFormat="1">
      <c r="A84" s="4" t="s">
        <v>20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>
      <c r="A85" s="4" t="s">
        <v>21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>
      <c r="A86" s="4"/>
    </row>
    <row r="87" spans="1:11">
      <c r="A87" s="4"/>
    </row>
    <row r="88" spans="1:11">
      <c r="A88" s="4"/>
    </row>
    <row r="89" spans="1:11">
      <c r="A89" s="4"/>
    </row>
    <row r="90" spans="1:11" s="1" customFormat="1">
      <c r="A90" s="1" t="s">
        <v>44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>
      <c r="A92" s="1" t="s">
        <v>43</v>
      </c>
    </row>
    <row r="93" spans="1:11">
      <c r="A93" s="2" t="s">
        <v>56</v>
      </c>
      <c r="B93" s="9">
        <v>288.74</v>
      </c>
      <c r="C93" s="9">
        <v>288.72000000000003</v>
      </c>
      <c r="D93" s="9">
        <v>288.73</v>
      </c>
      <c r="E93" s="9">
        <v>288.73</v>
      </c>
      <c r="F93" s="9">
        <v>288.73</v>
      </c>
      <c r="G93" s="9">
        <v>308.89999999999998</v>
      </c>
      <c r="H93" s="9">
        <v>332.03</v>
      </c>
      <c r="I93" s="9">
        <v>332.07</v>
      </c>
      <c r="J93" s="9">
        <v>332.13</v>
      </c>
      <c r="K93" s="9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B1:N32"/>
  <sheetViews>
    <sheetView workbookViewId="0">
      <selection activeCell="G1" sqref="G1"/>
    </sheetView>
  </sheetViews>
  <sheetFormatPr defaultRowHeight="15"/>
  <cols>
    <col min="2" max="2" width="28" bestFit="1" customWidth="1"/>
  </cols>
  <sheetData>
    <row r="1" spans="2:14">
      <c r="C1" s="29">
        <v>41334</v>
      </c>
      <c r="D1" s="29">
        <v>41699</v>
      </c>
      <c r="E1" s="29">
        <v>42064</v>
      </c>
      <c r="F1" s="29">
        <v>42430</v>
      </c>
      <c r="G1" s="29">
        <v>42795</v>
      </c>
      <c r="H1" s="29">
        <v>43160</v>
      </c>
      <c r="I1" s="29">
        <v>43525</v>
      </c>
      <c r="J1" s="29">
        <v>43891</v>
      </c>
      <c r="K1" s="29">
        <v>44256</v>
      </c>
      <c r="L1" s="29">
        <v>44621</v>
      </c>
      <c r="M1" s="29">
        <v>44986</v>
      </c>
      <c r="N1" s="29">
        <v>45352</v>
      </c>
    </row>
    <row r="2" spans="2:14">
      <c r="B2" t="s">
        <v>87</v>
      </c>
      <c r="C2" s="30">
        <v>22163</v>
      </c>
      <c r="D2" s="30">
        <v>36151</v>
      </c>
      <c r="E2" s="30">
        <v>35531</v>
      </c>
      <c r="F2" s="30">
        <v>37900</v>
      </c>
      <c r="G2" s="30">
        <v>30199</v>
      </c>
      <c r="H2" s="30">
        <v>23857</v>
      </c>
      <c r="I2" s="30">
        <v>18891</v>
      </c>
      <c r="J2" s="30">
        <v>26633</v>
      </c>
      <c r="K2" s="30">
        <v>29001</v>
      </c>
      <c r="L2" s="30">
        <v>14283</v>
      </c>
      <c r="M2" s="30">
        <v>35388</v>
      </c>
      <c r="N2" s="30">
        <v>67915</v>
      </c>
    </row>
    <row r="3" spans="2:14">
      <c r="B3" t="s">
        <v>88</v>
      </c>
      <c r="C3" s="30">
        <v>24406</v>
      </c>
      <c r="D3" s="30">
        <v>36303</v>
      </c>
      <c r="E3" s="30">
        <v>43397</v>
      </c>
      <c r="F3" s="30">
        <v>38626</v>
      </c>
      <c r="G3" s="30">
        <v>28840</v>
      </c>
      <c r="H3" s="30">
        <v>33312</v>
      </c>
      <c r="I3" s="30">
        <v>28771</v>
      </c>
      <c r="J3" s="30">
        <v>23352</v>
      </c>
      <c r="K3" s="30">
        <v>31198</v>
      </c>
      <c r="L3" s="30">
        <v>26943</v>
      </c>
      <c r="M3" s="30">
        <v>41694</v>
      </c>
      <c r="N3" s="30">
        <v>65106</v>
      </c>
    </row>
    <row r="4" spans="2:14">
      <c r="B4" t="s">
        <v>45</v>
      </c>
      <c r="C4" s="30">
        <v>-5177</v>
      </c>
      <c r="D4">
        <v>445</v>
      </c>
      <c r="E4" s="30">
        <v>-3179</v>
      </c>
      <c r="F4" s="30">
        <v>-2223</v>
      </c>
      <c r="G4" s="30">
        <v>-4152</v>
      </c>
      <c r="H4" s="30">
        <v>-10688</v>
      </c>
      <c r="I4" s="30">
        <v>-9109</v>
      </c>
      <c r="J4" s="30">
        <v>9950</v>
      </c>
      <c r="K4" s="30">
        <v>-5505</v>
      </c>
      <c r="L4">
        <v>185</v>
      </c>
      <c r="M4" s="30">
        <v>-2213</v>
      </c>
      <c r="N4" s="30">
        <v>-1875</v>
      </c>
    </row>
    <row r="5" spans="2:14">
      <c r="B5" t="s">
        <v>30</v>
      </c>
      <c r="C5" s="30">
        <v>-2656</v>
      </c>
      <c r="D5" s="30">
        <v>-2853</v>
      </c>
      <c r="E5" s="30">
        <v>-3692</v>
      </c>
      <c r="F5" s="30">
        <v>-5743</v>
      </c>
      <c r="G5" s="30">
        <v>-6621</v>
      </c>
      <c r="H5" s="30">
        <v>-3560</v>
      </c>
      <c r="I5" s="30">
        <v>2069</v>
      </c>
      <c r="J5" s="30">
        <v>2326</v>
      </c>
      <c r="K5" s="30">
        <v>3814</v>
      </c>
      <c r="L5">
        <v>472</v>
      </c>
      <c r="M5" s="30">
        <v>-5665</v>
      </c>
      <c r="N5" s="30">
        <v>-7265</v>
      </c>
    </row>
    <row r="6" spans="2:14">
      <c r="B6" t="s">
        <v>89</v>
      </c>
      <c r="C6" s="30">
        <v>8132</v>
      </c>
      <c r="D6" s="30">
        <v>4694</v>
      </c>
      <c r="E6" s="30">
        <v>3598</v>
      </c>
      <c r="F6" s="30">
        <v>3947</v>
      </c>
      <c r="G6" s="30">
        <v>9301</v>
      </c>
      <c r="H6" s="30">
        <v>7320</v>
      </c>
      <c r="I6" s="30">
        <v>-4692</v>
      </c>
      <c r="J6" s="30">
        <v>-8085</v>
      </c>
      <c r="K6" s="30">
        <v>5748</v>
      </c>
      <c r="L6" s="30">
        <v>-7012</v>
      </c>
      <c r="M6" s="30">
        <v>6945</v>
      </c>
      <c r="N6" s="30">
        <v>13706</v>
      </c>
    </row>
    <row r="7" spans="2:14">
      <c r="B7" t="s">
        <v>90</v>
      </c>
      <c r="C7">
        <v>0</v>
      </c>
      <c r="D7">
        <v>0</v>
      </c>
      <c r="E7">
        <v>0</v>
      </c>
      <c r="F7">
        <v>-520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>
      <c r="B8" t="s">
        <v>91</v>
      </c>
      <c r="C8">
        <v>-303</v>
      </c>
      <c r="D8" s="30">
        <v>1870</v>
      </c>
      <c r="E8">
        <v>-398</v>
      </c>
      <c r="F8" s="30">
        <v>5852</v>
      </c>
      <c r="G8" s="30">
        <v>4727</v>
      </c>
      <c r="H8">
        <v>494</v>
      </c>
      <c r="I8" s="30">
        <v>4512</v>
      </c>
      <c r="J8">
        <v>875</v>
      </c>
      <c r="K8" s="30">
        <v>-4150</v>
      </c>
      <c r="L8" s="30">
        <v>-4396</v>
      </c>
      <c r="M8" s="30">
        <v>-2194</v>
      </c>
      <c r="N8" s="30">
        <v>2760</v>
      </c>
    </row>
    <row r="9" spans="2:14">
      <c r="B9" t="s">
        <v>92</v>
      </c>
      <c r="C9">
        <v>-3</v>
      </c>
      <c r="D9" s="30">
        <v>4157</v>
      </c>
      <c r="E9" s="30">
        <v>-3672</v>
      </c>
      <c r="F9" s="30">
        <v>1313</v>
      </c>
      <c r="G9" s="30">
        <v>3254</v>
      </c>
      <c r="H9" s="30">
        <v>-6434</v>
      </c>
      <c r="I9" s="30">
        <v>-7221</v>
      </c>
      <c r="J9" s="30">
        <v>5065</v>
      </c>
      <c r="K9">
        <v>-93</v>
      </c>
      <c r="L9" s="30">
        <v>-10750</v>
      </c>
      <c r="M9" s="30">
        <v>-3127</v>
      </c>
      <c r="N9" s="30">
        <v>7325</v>
      </c>
    </row>
    <row r="10" spans="2:14">
      <c r="B10" t="s">
        <v>93</v>
      </c>
      <c r="C10" s="30">
        <v>-2240</v>
      </c>
      <c r="D10" s="30">
        <v>-4308</v>
      </c>
      <c r="E10" s="30">
        <v>-4194</v>
      </c>
      <c r="F10" s="30">
        <v>-2040</v>
      </c>
      <c r="G10" s="30">
        <v>-1895</v>
      </c>
      <c r="H10" s="30">
        <v>-3021</v>
      </c>
      <c r="I10" s="30">
        <v>-2659</v>
      </c>
      <c r="J10" s="30">
        <v>-1785</v>
      </c>
      <c r="K10" s="30">
        <v>-2105</v>
      </c>
      <c r="L10" s="30">
        <v>-1910</v>
      </c>
      <c r="M10" s="30">
        <v>-3179</v>
      </c>
      <c r="N10" s="30">
        <v>-4516</v>
      </c>
    </row>
    <row r="11" spans="2:14">
      <c r="B11" t="s">
        <v>94</v>
      </c>
      <c r="C11" s="30">
        <v>-22969</v>
      </c>
      <c r="D11" s="30">
        <v>-27991</v>
      </c>
      <c r="E11" s="30">
        <v>-36232</v>
      </c>
      <c r="F11" s="30">
        <v>-36694</v>
      </c>
      <c r="G11" s="30">
        <v>-39571</v>
      </c>
      <c r="H11" s="30">
        <v>-25139</v>
      </c>
      <c r="I11" s="30">
        <v>-20878</v>
      </c>
      <c r="J11" s="30">
        <v>-33115</v>
      </c>
      <c r="K11" s="30">
        <v>-25672</v>
      </c>
      <c r="L11" s="30">
        <v>-4444</v>
      </c>
      <c r="M11" s="30">
        <v>-15417</v>
      </c>
      <c r="N11" s="30">
        <v>-22782</v>
      </c>
    </row>
    <row r="12" spans="2:14">
      <c r="B12" t="s">
        <v>95</v>
      </c>
      <c r="C12" s="30">
        <v>-18863</v>
      </c>
      <c r="D12" s="30">
        <v>-26975</v>
      </c>
      <c r="E12" s="30">
        <v>-31962</v>
      </c>
      <c r="F12" s="30">
        <v>-31503</v>
      </c>
      <c r="G12" s="30">
        <v>-16072</v>
      </c>
      <c r="H12" s="30">
        <v>-35079</v>
      </c>
      <c r="I12" s="30">
        <v>-35304</v>
      </c>
      <c r="J12" s="30">
        <v>-29702</v>
      </c>
      <c r="K12" s="30">
        <v>-20205</v>
      </c>
      <c r="L12" s="30">
        <v>-15168</v>
      </c>
      <c r="M12" s="30">
        <v>-19230</v>
      </c>
      <c r="N12" s="30">
        <v>-31414</v>
      </c>
    </row>
    <row r="13" spans="2:14">
      <c r="B13" t="s">
        <v>96</v>
      </c>
      <c r="C13">
        <v>37</v>
      </c>
      <c r="D13">
        <v>50</v>
      </c>
      <c r="E13">
        <v>74</v>
      </c>
      <c r="F13">
        <v>59</v>
      </c>
      <c r="G13">
        <v>53</v>
      </c>
      <c r="H13">
        <v>30</v>
      </c>
      <c r="I13">
        <v>67</v>
      </c>
      <c r="J13">
        <v>171</v>
      </c>
      <c r="K13">
        <v>351</v>
      </c>
      <c r="L13">
        <v>230</v>
      </c>
      <c r="M13">
        <v>285</v>
      </c>
      <c r="N13">
        <v>231</v>
      </c>
    </row>
    <row r="14" spans="2:14">
      <c r="B14" t="s">
        <v>97</v>
      </c>
      <c r="C14">
        <v>73</v>
      </c>
      <c r="D14">
        <v>-429</v>
      </c>
      <c r="E14" s="30">
        <v>-5461</v>
      </c>
      <c r="F14" s="30">
        <v>-4728</v>
      </c>
      <c r="G14">
        <v>-6</v>
      </c>
      <c r="H14">
        <v>-329</v>
      </c>
      <c r="I14">
        <v>-130</v>
      </c>
      <c r="J14" s="30">
        <v>-1439</v>
      </c>
      <c r="K14" s="30">
        <v>-7530</v>
      </c>
      <c r="L14" s="30">
        <v>-3008</v>
      </c>
      <c r="M14">
        <v>-50</v>
      </c>
      <c r="N14">
        <v>-74</v>
      </c>
    </row>
    <row r="15" spans="2:14">
      <c r="B15" t="s">
        <v>98</v>
      </c>
      <c r="C15">
        <v>34</v>
      </c>
      <c r="D15">
        <v>4</v>
      </c>
      <c r="E15">
        <v>42</v>
      </c>
      <c r="F15">
        <v>89</v>
      </c>
      <c r="G15" s="30">
        <v>1965</v>
      </c>
      <c r="H15" s="30">
        <v>2381</v>
      </c>
      <c r="I15" s="30">
        <v>5644</v>
      </c>
      <c r="J15">
        <v>21</v>
      </c>
      <c r="K15">
        <v>226</v>
      </c>
      <c r="L15">
        <v>104</v>
      </c>
      <c r="M15" s="30">
        <v>6895</v>
      </c>
      <c r="N15" s="30">
        <v>10820</v>
      </c>
    </row>
    <row r="16" spans="2:14">
      <c r="B16" t="s">
        <v>99</v>
      </c>
      <c r="C16">
        <v>713</v>
      </c>
      <c r="D16">
        <v>653</v>
      </c>
      <c r="E16">
        <v>698</v>
      </c>
      <c r="F16">
        <v>731</v>
      </c>
      <c r="G16">
        <v>638</v>
      </c>
      <c r="H16">
        <v>690</v>
      </c>
      <c r="I16">
        <v>761</v>
      </c>
      <c r="J16" s="30">
        <v>1104</v>
      </c>
      <c r="K16">
        <v>428</v>
      </c>
      <c r="L16">
        <v>653</v>
      </c>
      <c r="M16">
        <v>973</v>
      </c>
      <c r="N16" s="30">
        <v>2493</v>
      </c>
    </row>
    <row r="17" spans="2:14">
      <c r="B17" t="s">
        <v>100</v>
      </c>
      <c r="C17">
        <v>95</v>
      </c>
      <c r="D17">
        <v>40</v>
      </c>
      <c r="E17">
        <v>80</v>
      </c>
      <c r="F17">
        <v>58</v>
      </c>
      <c r="G17">
        <v>620</v>
      </c>
      <c r="H17" s="30">
        <v>1797</v>
      </c>
      <c r="I17">
        <v>232</v>
      </c>
      <c r="J17">
        <v>21</v>
      </c>
      <c r="K17">
        <v>18</v>
      </c>
      <c r="L17">
        <v>32</v>
      </c>
      <c r="M17">
        <v>46</v>
      </c>
      <c r="N17">
        <v>47</v>
      </c>
    </row>
    <row r="18" spans="2:14">
      <c r="B18" t="s">
        <v>101</v>
      </c>
      <c r="C18">
        <v>0</v>
      </c>
      <c r="D18">
        <v>0</v>
      </c>
      <c r="E18">
        <v>-160</v>
      </c>
      <c r="F18">
        <v>0</v>
      </c>
      <c r="G18">
        <v>-107</v>
      </c>
      <c r="H18">
        <v>-4</v>
      </c>
      <c r="I18">
        <v>-9</v>
      </c>
      <c r="J18">
        <v>-606</v>
      </c>
      <c r="K18">
        <v>-10</v>
      </c>
      <c r="L18">
        <v>0</v>
      </c>
      <c r="M18">
        <v>0</v>
      </c>
      <c r="N18">
        <v>-150</v>
      </c>
    </row>
    <row r="19" spans="2:14">
      <c r="B19" t="s">
        <v>102</v>
      </c>
      <c r="C19">
        <v>0</v>
      </c>
      <c r="D19">
        <v>0</v>
      </c>
      <c r="E19">
        <v>0</v>
      </c>
      <c r="F19">
        <v>0</v>
      </c>
      <c r="G19">
        <v>0</v>
      </c>
      <c r="H19">
        <v>14</v>
      </c>
      <c r="I19">
        <v>533</v>
      </c>
      <c r="J19">
        <v>0</v>
      </c>
      <c r="K19">
        <v>0</v>
      </c>
      <c r="L19">
        <v>0</v>
      </c>
      <c r="M19">
        <v>19</v>
      </c>
      <c r="N19">
        <v>108</v>
      </c>
    </row>
    <row r="20" spans="2:14">
      <c r="B20" t="s">
        <v>103</v>
      </c>
      <c r="C20">
        <v>0</v>
      </c>
      <c r="D20">
        <v>-185</v>
      </c>
      <c r="E20">
        <v>0</v>
      </c>
      <c r="F20">
        <v>-111</v>
      </c>
      <c r="G20">
        <v>0</v>
      </c>
      <c r="H20">
        <v>0</v>
      </c>
      <c r="I20">
        <v>-8</v>
      </c>
      <c r="J20">
        <v>-27</v>
      </c>
      <c r="K20">
        <v>0</v>
      </c>
      <c r="L20">
        <v>-98</v>
      </c>
      <c r="M20">
        <v>0</v>
      </c>
      <c r="N20">
        <v>0</v>
      </c>
    </row>
    <row r="21" spans="2:14">
      <c r="B21" t="s">
        <v>104</v>
      </c>
      <c r="C21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-24</v>
      </c>
    </row>
    <row r="22" spans="2:14">
      <c r="B22" t="s">
        <v>105</v>
      </c>
      <c r="C22" s="30">
        <v>-5103</v>
      </c>
      <c r="D22" s="30">
        <v>-1149</v>
      </c>
      <c r="E22">
        <v>456</v>
      </c>
      <c r="F22" s="30">
        <v>-1289</v>
      </c>
      <c r="G22" s="30">
        <v>-26663</v>
      </c>
      <c r="H22" s="30">
        <v>5360</v>
      </c>
      <c r="I22" s="30">
        <v>7335</v>
      </c>
      <c r="J22" s="30">
        <v>-2659</v>
      </c>
      <c r="K22" s="30">
        <v>1051</v>
      </c>
      <c r="L22" s="30">
        <v>12813</v>
      </c>
      <c r="M22" s="30">
        <v>-4357</v>
      </c>
      <c r="N22" s="30">
        <v>-4817</v>
      </c>
    </row>
    <row r="23" spans="2:14">
      <c r="B23" t="s">
        <v>106</v>
      </c>
      <c r="C23" s="30">
        <v>-1692</v>
      </c>
      <c r="D23" s="30">
        <v>-3883</v>
      </c>
      <c r="E23" s="30">
        <v>5201</v>
      </c>
      <c r="F23" s="30">
        <v>-3795</v>
      </c>
      <c r="G23" s="30">
        <v>6205</v>
      </c>
      <c r="H23" s="30">
        <v>2012</v>
      </c>
      <c r="I23" s="30">
        <v>8830</v>
      </c>
      <c r="J23" s="30">
        <v>3390</v>
      </c>
      <c r="K23" s="30">
        <v>9904</v>
      </c>
      <c r="L23" s="30">
        <v>-3380</v>
      </c>
      <c r="M23" s="30">
        <v>-26243</v>
      </c>
      <c r="N23" s="30">
        <v>-37006</v>
      </c>
    </row>
    <row r="24" spans="2:14">
      <c r="B24" t="s">
        <v>107</v>
      </c>
      <c r="C24">
        <v>1</v>
      </c>
      <c r="D24">
        <v>0</v>
      </c>
      <c r="E24">
        <v>0</v>
      </c>
      <c r="F24" s="30">
        <v>7433</v>
      </c>
      <c r="G24">
        <v>5</v>
      </c>
      <c r="H24">
        <v>0</v>
      </c>
      <c r="I24">
        <v>0</v>
      </c>
      <c r="J24" s="30">
        <v>3889</v>
      </c>
      <c r="K24" s="30">
        <v>2603</v>
      </c>
      <c r="L24">
        <v>19</v>
      </c>
      <c r="M24">
        <v>20</v>
      </c>
      <c r="N24">
        <v>82</v>
      </c>
    </row>
    <row r="25" spans="2:14">
      <c r="B25" t="s">
        <v>108</v>
      </c>
      <c r="C25">
        <v>-97</v>
      </c>
      <c r="D25">
        <v>-658</v>
      </c>
      <c r="E25">
        <v>-744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>
      <c r="B26" t="s">
        <v>109</v>
      </c>
      <c r="C26" s="30">
        <v>27863</v>
      </c>
      <c r="D26" s="30">
        <v>33258</v>
      </c>
      <c r="E26" s="30">
        <v>36363</v>
      </c>
      <c r="F26" s="30">
        <v>19519</v>
      </c>
      <c r="G26" s="30">
        <v>33390</v>
      </c>
      <c r="H26" s="30">
        <v>37482</v>
      </c>
      <c r="I26" s="30">
        <v>51128</v>
      </c>
      <c r="J26" s="30">
        <v>38297</v>
      </c>
      <c r="K26" s="30">
        <v>46641</v>
      </c>
      <c r="L26" s="30">
        <v>46578</v>
      </c>
      <c r="M26" s="30">
        <v>43934</v>
      </c>
      <c r="N26" s="30">
        <v>18747</v>
      </c>
    </row>
    <row r="27" spans="2:14">
      <c r="B27" t="s">
        <v>110</v>
      </c>
      <c r="C27" s="30">
        <v>-20395</v>
      </c>
      <c r="D27" s="30">
        <v>-29141</v>
      </c>
      <c r="E27" s="30">
        <v>-23332</v>
      </c>
      <c r="F27" s="30">
        <v>-24924</v>
      </c>
      <c r="G27" s="30">
        <v>-21732</v>
      </c>
      <c r="H27" s="30">
        <v>-29964</v>
      </c>
      <c r="I27" s="30">
        <v>-35198</v>
      </c>
      <c r="J27" s="30">
        <v>-29847</v>
      </c>
      <c r="K27" s="30">
        <v>-29709</v>
      </c>
      <c r="L27" s="30">
        <v>-42816</v>
      </c>
      <c r="M27" s="30">
        <v>-62557</v>
      </c>
      <c r="N27" s="30">
        <v>-47332</v>
      </c>
    </row>
    <row r="28" spans="2:14">
      <c r="B28" t="s">
        <v>111</v>
      </c>
      <c r="C28" s="30">
        <v>-4666</v>
      </c>
      <c r="D28" s="30">
        <v>-6171</v>
      </c>
      <c r="E28" s="30">
        <v>-6307</v>
      </c>
      <c r="F28" s="30">
        <v>-5716</v>
      </c>
      <c r="G28" s="30">
        <v>-5336</v>
      </c>
      <c r="H28" s="30">
        <v>-5411</v>
      </c>
      <c r="I28" s="30">
        <v>-7005</v>
      </c>
      <c r="J28" s="30">
        <v>-7518</v>
      </c>
      <c r="K28" s="30">
        <v>-8123</v>
      </c>
      <c r="L28" s="30">
        <v>-9251</v>
      </c>
      <c r="M28" s="30">
        <v>-9336</v>
      </c>
      <c r="N28" s="30">
        <v>-9332</v>
      </c>
    </row>
    <row r="29" spans="2:14">
      <c r="B29" t="s">
        <v>112</v>
      </c>
      <c r="C29" s="30">
        <v>-1551</v>
      </c>
      <c r="D29">
        <v>-722</v>
      </c>
      <c r="E29">
        <v>-720</v>
      </c>
      <c r="F29">
        <v>-108</v>
      </c>
      <c r="G29">
        <v>-121</v>
      </c>
      <c r="H29">
        <v>-96</v>
      </c>
      <c r="I29">
        <v>-95</v>
      </c>
      <c r="J29">
        <v>-57</v>
      </c>
      <c r="K29">
        <v>-30</v>
      </c>
      <c r="L29">
        <v>-100</v>
      </c>
      <c r="M29">
        <v>-141</v>
      </c>
      <c r="N29" s="30">
        <v>-1059</v>
      </c>
    </row>
    <row r="30" spans="2:14"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0">
        <v>-1346</v>
      </c>
      <c r="K30" s="30">
        <v>-1477</v>
      </c>
      <c r="L30" s="30">
        <v>-1559</v>
      </c>
      <c r="M30" s="30">
        <v>-1517</v>
      </c>
      <c r="N30" s="30">
        <v>-1924</v>
      </c>
    </row>
    <row r="31" spans="2:14">
      <c r="B31" t="s">
        <v>114</v>
      </c>
      <c r="C31" s="30">
        <v>-2849</v>
      </c>
      <c r="D31">
        <v>-450</v>
      </c>
      <c r="E31">
        <v>-57</v>
      </c>
      <c r="F31">
        <v>0</v>
      </c>
      <c r="G31">
        <v>0</v>
      </c>
      <c r="H31">
        <v>0</v>
      </c>
      <c r="I31">
        <v>0</v>
      </c>
      <c r="J31">
        <v>-29</v>
      </c>
      <c r="K31">
        <v>0</v>
      </c>
      <c r="L31" s="30">
        <v>3750</v>
      </c>
      <c r="M31" s="30">
        <v>3355</v>
      </c>
      <c r="N31" s="30">
        <v>3812</v>
      </c>
    </row>
    <row r="32" spans="2:14">
      <c r="B32" t="s">
        <v>21</v>
      </c>
      <c r="C32" s="30">
        <v>-2499</v>
      </c>
      <c r="D32" s="30">
        <v>4277</v>
      </c>
      <c r="E32" s="30">
        <v>4500</v>
      </c>
      <c r="F32" s="30">
        <v>-2589</v>
      </c>
      <c r="G32" s="30">
        <v>-3167</v>
      </c>
      <c r="H32">
        <v>730</v>
      </c>
      <c r="I32" s="30">
        <v>6843</v>
      </c>
      <c r="J32" s="30">
        <v>-3092</v>
      </c>
      <c r="K32" s="30">
        <v>13232</v>
      </c>
      <c r="L32" s="30">
        <v>6459</v>
      </c>
      <c r="M32" s="30">
        <v>-6272</v>
      </c>
      <c r="N32" s="30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HistoricalFS</vt:lpstr>
      <vt:lpstr>Ratio Analysis</vt:lpstr>
      <vt:lpstr>Forcasting</vt:lpstr>
      <vt:lpstr>CommonSiize Statement</vt:lpstr>
      <vt:lpstr>Data Sheet</vt:lpstr>
      <vt:lpstr>Data Sheet (2)</vt:lpstr>
      <vt:lpstr>Cashflow Data</vt:lpstr>
      <vt:lpstr>'Data Sheet (2)'!UPDATE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Jayasree</cp:lastModifiedBy>
  <cp:lastPrinted>2012-12-06T18:14:13Z</cp:lastPrinted>
  <dcterms:created xsi:type="dcterms:W3CDTF">2012-08-17T09:55:37Z</dcterms:created>
  <dcterms:modified xsi:type="dcterms:W3CDTF">2024-07-17T09:38:19Z</dcterms:modified>
</cp:coreProperties>
</file>