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4.xml.rels" ContentType="application/vnd.openxmlformats-package.relationships+xml"/>
  <Override PartName="/xl/worksheets/_rels/sheet5.xml.rels" ContentType="application/vnd.openxmlformats-package.relationships+xml"/>
  <Override PartName="/xl/worksheets/_rels/sheet45.xml.rels" ContentType="application/vnd.openxmlformats-package.relationships+xml"/>
  <Override PartName="/xl/worksheets/_rels/sheet2.xml.rels" ContentType="application/vnd.openxmlformats-package.relationships+xml"/>
  <Override PartName="/xl/worksheets/_rels/sheet49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1.xml.rels" ContentType="application/vnd.openxmlformats-package.relationships+xml"/>
  <Override PartName="/xl/worksheets/_rels/sheet22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8.xml.rels" ContentType="application/vnd.openxmlformats-package.relationships+xml"/>
  <Override PartName="/xl/worksheets/_rels/sheet39.xml.rels" ContentType="application/vnd.openxmlformats-package.relationships+xml"/>
  <Override PartName="/xl/worksheets/_rels/sheet40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50.xml.rels" ContentType="application/vnd.openxmlformats-package.relationships+xml"/>
  <Override PartName="/xl/worksheets/_rels/sheet51.xml.rels" ContentType="application/vnd.openxmlformats-package.relationships+xml"/>
  <Override PartName="/xl/worksheets/_rels/sheet52.xml.rels" ContentType="application/vnd.openxmlformats-package.relationships+xml"/>
  <Override PartName="/xl/worksheets/_rels/sheet53.xml.rels" ContentType="application/vnd.openxmlformats-package.relationships+xml"/>
  <Override PartName="/xl/worksheets/_rels/sheet55.xml.rels" ContentType="application/vnd.openxmlformats-package.relationships+xml"/>
  <Override PartName="/xl/worksheets/_rels/sheet5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23.xml.rels" ContentType="application/vnd.openxmlformats-package.relationships+xml"/>
  <Override PartName="/xl/drawings/_rels/drawing7.xml.rels" ContentType="application/vnd.openxmlformats-package.relationships+xml"/>
  <Override PartName="/xl/drawings/_rels/drawing24.xml.rels" ContentType="application/vnd.openxmlformats-package.relationships+xml"/>
  <Override PartName="/xl/drawings/_rels/drawing8.xml.rels" ContentType="application/vnd.openxmlformats-package.relationships+xml"/>
  <Override PartName="/xl/drawings/_rels/drawing25.xml.rels" ContentType="application/vnd.openxmlformats-package.relationships+xml"/>
  <Override PartName="/xl/drawings/_rels/drawing9.xml.rels" ContentType="application/vnd.openxmlformats-package.relationships+xml"/>
  <Override PartName="/xl/drawings/_rels/drawing26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_rels/drawing27.xml.rels" ContentType="application/vnd.openxmlformats-package.relationships+xml"/>
  <Override PartName="/xl/drawings/_rels/drawing28.xml.rels" ContentType="application/vnd.openxmlformats-package.relationships+xml"/>
  <Override PartName="/xl/drawings/_rels/drawing29.xml.rels" ContentType="application/vnd.openxmlformats-package.relationships+xml"/>
  <Override PartName="/xl/drawings/_rels/drawing30.xml.rels" ContentType="application/vnd.openxmlformats-package.relationships+xml"/>
  <Override PartName="/xl/drawings/_rels/drawing31.xml.rels" ContentType="application/vnd.openxmlformats-package.relationships+xml"/>
  <Override PartName="/xl/drawings/_rels/drawing32.xml.rels" ContentType="application/vnd.openxmlformats-package.relationships+xml"/>
  <Override PartName="/xl/drawings/_rels/drawing33.xml.rels" ContentType="application/vnd.openxmlformats-package.relationships+xml"/>
  <Override PartName="/xl/drawings/_rels/drawing34.xml.rels" ContentType="application/vnd.openxmlformats-package.relationships+xml"/>
  <Override PartName="/xl/drawings/_rels/drawing35.xml.rels" ContentType="application/vnd.openxmlformats-package.relationships+xml"/>
  <Override PartName="/xl/drawings/_rels/drawing36.xml.rels" ContentType="application/vnd.openxmlformats-package.relationships+xml"/>
  <Override PartName="/xl/drawings/_rels/drawing37.xml.rels" ContentType="application/vnd.openxmlformats-package.relationships+xml"/>
  <Override PartName="/xl/drawings/_rels/drawing38.xml.rels" ContentType="application/vnd.openxmlformats-package.relationships+xml"/>
  <Override PartName="/xl/drawings/_rels/drawing39.xml.rels" ContentType="application/vnd.openxmlformats-package.relationships+xml"/>
  <Override PartName="/xl/drawings/_rels/drawing41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imple earnings example" sheetId="1" state="visible" r:id="rId2"/>
    <sheet name="Ex 4-2" sheetId="2" state="visible" r:id="rId3"/>
    <sheet name="Ex 4-3" sheetId="3" state="visible" r:id="rId4"/>
    <sheet name="Ex 4-4" sheetId="4" state="visible" r:id="rId5"/>
    <sheet name="Ex 4-4 revisioned" sheetId="5" state="visible" r:id="rId6"/>
    <sheet name="Ch4 ppt ex 1" sheetId="6" state="visible" r:id="rId7"/>
    <sheet name="Ch4 ppt ex 2" sheetId="7" state="visible" r:id="rId8"/>
    <sheet name="Ex 4-5" sheetId="8" state="visible" r:id="rId9"/>
    <sheet name="Ex 4-6" sheetId="9" state="visible" r:id="rId10"/>
    <sheet name="Ex 4-7" sheetId="10" state="visible" r:id="rId11"/>
    <sheet name="Ex 4-8" sheetId="11" state="visible" r:id="rId12"/>
    <sheet name="Ex 4-9" sheetId="12" state="visible" r:id="rId13"/>
    <sheet name="Ex 4-10" sheetId="13" state="visible" r:id="rId14"/>
    <sheet name="Ex 4-12" sheetId="14" state="visible" r:id="rId15"/>
    <sheet name="Ex 4-13" sheetId="15" state="visible" r:id="rId16"/>
    <sheet name="Ex 4-14" sheetId="16" state="visible" r:id="rId17"/>
    <sheet name="Ex 5-1" sheetId="17" state="visible" r:id="rId18"/>
    <sheet name="Ex 5-2" sheetId="18" state="visible" r:id="rId19"/>
    <sheet name="Ex 5-3" sheetId="19" state="visible" r:id="rId20"/>
    <sheet name="Ex 5-4" sheetId="20" state="visible" r:id="rId21"/>
    <sheet name="Ex 5-6" sheetId="21" state="visible" r:id="rId22"/>
    <sheet name="Ch5 ppt ex 2" sheetId="22" state="visible" r:id="rId23"/>
    <sheet name="Ex 5-7" sheetId="23" state="visible" r:id="rId24"/>
    <sheet name="Ex 5-9" sheetId="24" state="visible" r:id="rId25"/>
    <sheet name="Ex 5-9 (2)" sheetId="25" state="visible" r:id="rId26"/>
    <sheet name="formulas" sheetId="26" state="visible" r:id="rId27"/>
    <sheet name="Ex 5-10" sheetId="27" state="visible" r:id="rId28"/>
    <sheet name="Ex 6-1" sheetId="28" state="visible" r:id="rId29"/>
    <sheet name="Ex 6-2" sheetId="29" state="visible" r:id="rId30"/>
    <sheet name="Ex 6-3" sheetId="30" state="visible" r:id="rId31"/>
    <sheet name="Ch6 ppt ex 1" sheetId="31" state="visible" r:id="rId32"/>
    <sheet name="Ch6 ppt ex 2" sheetId="32" state="visible" r:id="rId33"/>
    <sheet name="Ex 6-5 and 6-6" sheetId="33" state="visible" r:id="rId34"/>
    <sheet name="Ex 6-7" sheetId="34" state="visible" r:id="rId35"/>
    <sheet name="Ex 6-9" sheetId="35" state="visible" r:id="rId36"/>
    <sheet name="mortgage ex 0 fixed pymt" sheetId="36" state="visible" r:id="rId37"/>
    <sheet name="mortgage ex 1" sheetId="37" state="visible" r:id="rId38"/>
    <sheet name="mortgage ex 1-1 (15yr)" sheetId="38" state="visible" r:id="rId39"/>
    <sheet name="mortgage ex 2" sheetId="39" state="visible" r:id="rId40"/>
    <sheet name="mortgage ex 3" sheetId="40" state="visible" r:id="rId41"/>
    <sheet name="mortgage - monthly v annual" sheetId="41" state="visible" r:id="rId42"/>
    <sheet name="Ch7 ppt ex 1" sheetId="42" state="visible" r:id="rId43"/>
    <sheet name="Ch7 ppt ex 2" sheetId="43" state="visible" r:id="rId44"/>
    <sheet name="Ch7 ppt ex 3" sheetId="44" state="visible" r:id="rId45"/>
    <sheet name="Ex 7-2" sheetId="45" state="visible" r:id="rId46"/>
    <sheet name="Ex 7-5" sheetId="46" state="visible" r:id="rId47"/>
    <sheet name="Ex7-7" sheetId="47" state="visible" r:id="rId48"/>
    <sheet name="Ex 7-10" sheetId="48" state="visible" r:id="rId49"/>
    <sheet name="Ex 7-11" sheetId="49" state="visible" r:id="rId50"/>
    <sheet name="Ex 7-12" sheetId="50" state="visible" r:id="rId51"/>
    <sheet name="Ex 7-IRR limitations" sheetId="51" state="visible" r:id="rId52"/>
    <sheet name="Ch8 ppt ex 1" sheetId="52" state="visible" r:id="rId53"/>
    <sheet name="Ch8 ppt ex 2" sheetId="53" state="visible" r:id="rId54"/>
    <sheet name="Ex 8-2" sheetId="54" state="visible" r:id="rId55"/>
    <sheet name="Ch4 ppt ex 4" sheetId="55" state="visible" r:id="rId56"/>
    <sheet name="Ex 8-6" sheetId="56" state="visible" r:id="rId57"/>
    <sheet name="Ex 8-7" sheetId="57" state="visible" r:id="rId58"/>
    <sheet name="Ex 9-3" sheetId="58" state="visible" r:id="rId5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<sst xmlns="http://schemas.openxmlformats.org/spreadsheetml/2006/main" count="1413" uniqueCount="664">
  <si>
    <t xml:space="preserve">interest rate</t>
  </si>
  <si>
    <t xml:space="preserve">Initial deposit</t>
  </si>
  <si>
    <t xml:space="preserve">Year</t>
  </si>
  <si>
    <t xml:space="preserve">Beginning of year acct balance</t>
  </si>
  <si>
    <t xml:space="preserve">interest earned</t>
  </si>
  <si>
    <t xml:space="preserve">Example 4-2</t>
  </si>
  <si>
    <t xml:space="preserve">done manually and done by Excel formula</t>
  </si>
  <si>
    <t xml:space="preserve">A. Formula in textbook</t>
  </si>
  <si>
    <t xml:space="preserve">B. Manual setup (goal seek)</t>
  </si>
  <si>
    <t xml:space="preserve">nominal annual interest rate</t>
  </si>
  <si>
    <t xml:space="preserve">n</t>
  </si>
  <si>
    <t xml:space="preserve">i</t>
  </si>
  <si>
    <t xml:space="preserve">month</t>
  </si>
  <si>
    <t xml:space="preserve">Future saved</t>
  </si>
  <si>
    <t xml:space="preserve">future value</t>
  </si>
  <si>
    <t xml:space="preserve">F to A factor</t>
  </si>
  <si>
    <t xml:space="preserve">F future value)</t>
  </si>
  <si>
    <t xml:space="preserve">reqd savings per period</t>
  </si>
  <si>
    <t xml:space="preserve">Example 4-3</t>
  </si>
  <si>
    <t xml:space="preserve">B. Manual setup (loan plus interest): Plan 2, Table 3-1</t>
  </si>
  <si>
    <t xml:space="preserve">C. Manual setup (goal seek)</t>
  </si>
  <si>
    <t xml:space="preserve">D. Loan equivalent (including PMT formula)</t>
  </si>
  <si>
    <t xml:space="preserve">Date</t>
  </si>
  <si>
    <t xml:space="preserve">Amount owed</t>
  </si>
  <si>
    <t xml:space="preserve">Interest paid</t>
  </si>
  <si>
    <t xml:space="preserve">Principal paid</t>
  </si>
  <si>
    <t xml:space="preserve">Adjusted amount owed</t>
  </si>
  <si>
    <t xml:space="preserve">Cumulative principal to date</t>
  </si>
  <si>
    <t xml:space="preserve">Cumulative interest to date</t>
  </si>
  <si>
    <t xml:space="preserve">discount rate</t>
  </si>
  <si>
    <t xml:space="preserve">annual effective interest rate</t>
  </si>
  <si>
    <t xml:space="preserve">number of periods</t>
  </si>
  <si>
    <t xml:space="preserve">uniform series capital recovery factor</t>
  </si>
  <si>
    <t xml:space="preserve">year</t>
  </si>
  <si>
    <t xml:space="preserve">interest on loan</t>
  </si>
  <si>
    <t xml:space="preserve">principal repayment</t>
  </si>
  <si>
    <t xml:space="preserve">total</t>
  </si>
  <si>
    <t xml:space="preserve">discounted saved (present value)</t>
  </si>
  <si>
    <t xml:space="preserve">Initial amount owed</t>
  </si>
  <si>
    <t xml:space="preserve">fixed monthly payment, by PMT formula</t>
  </si>
  <si>
    <t xml:space="preserve">P (present value)</t>
  </si>
  <si>
    <t xml:space="preserve">reqd savings per year</t>
  </si>
  <si>
    <t xml:space="preserve">BUT this doesn't give us steady payments</t>
  </si>
  <si>
    <t xml:space="preserve">Formula in textbook</t>
  </si>
  <si>
    <t xml:space="preserve">Manual setup (discounted future values)</t>
  </si>
  <si>
    <t xml:space="preserve">Manual setup (alternatives)</t>
  </si>
  <si>
    <t xml:space="preserve">Alt 1: buy series of payments</t>
  </si>
  <si>
    <t xml:space="preserve">Alt 2: non-compounding interest on same investment</t>
  </si>
  <si>
    <t xml:space="preserve">Alt 3: compounding interest on same investment</t>
  </si>
  <si>
    <t xml:space="preserve">Number of periods</t>
  </si>
  <si>
    <t xml:space="preserve">income</t>
  </si>
  <si>
    <t xml:space="preserve">discounted income</t>
  </si>
  <si>
    <t xml:space="preserve">income or paymt</t>
  </si>
  <si>
    <t xml:space="preserve">discounted (present value)</t>
  </si>
  <si>
    <t xml:space="preserve">discounted</t>
  </si>
  <si>
    <t xml:space="preserve">uniform series present worth factor</t>
  </si>
  <si>
    <t xml:space="preserve">A (regular payment amt)</t>
  </si>
  <si>
    <t xml:space="preserve">present value of stream of future income</t>
  </si>
  <si>
    <t xml:space="preserve">Sum</t>
  </si>
  <si>
    <t xml:space="preserve">Alt 2 earns more than Alt 1.</t>
  </si>
  <si>
    <t xml:space="preserve">Alt 3 earns more than Alt 1.</t>
  </si>
  <si>
    <t xml:space="preserve">Mortgage example</t>
  </si>
  <si>
    <t xml:space="preserve">Extra payment</t>
  </si>
  <si>
    <t xml:space="preserve">(5 yrs later)</t>
  </si>
  <si>
    <t xml:space="preserve">Chapter 4 PPT Problem 1</t>
  </si>
  <si>
    <t xml:space="preserve">Manual setup</t>
  </si>
  <si>
    <t xml:space="preserve">initial deposit</t>
  </si>
  <si>
    <t xml:space="preserve">deposits</t>
  </si>
  <si>
    <t xml:space="preserve">interest</t>
  </si>
  <si>
    <t xml:space="preserve">ending balance</t>
  </si>
  <si>
    <t xml:space="preserve">Chapter 4 PPT Problem 2</t>
  </si>
  <si>
    <t xml:space="preserve">Textbook formula:</t>
  </si>
  <si>
    <t xml:space="preserve">Note that PMT formula matches this.</t>
  </si>
  <si>
    <t xml:space="preserve">loan</t>
  </si>
  <si>
    <t xml:space="preserve">P</t>
  </si>
  <si>
    <t xml:space="preserve">payments</t>
  </si>
  <si>
    <t xml:space="preserve">(rounded to nearest dollar)</t>
  </si>
  <si>
    <t xml:space="preserve">period</t>
  </si>
  <si>
    <t xml:space="preserve">owed</t>
  </si>
  <si>
    <t xml:space="preserve">principal</t>
  </si>
  <si>
    <t xml:space="preserve">remaining owed</t>
  </si>
  <si>
    <t xml:space="preserve">Manual setup (discounted future values: goal seek)</t>
  </si>
  <si>
    <t xml:space="preserve">Formula in textbook (goal seek)</t>
  </si>
  <si>
    <t xml:space="preserve">income / payments</t>
  </si>
  <si>
    <t xml:space="preserve">show how goal seek works</t>
  </si>
  <si>
    <t xml:space="preserve">Ex 4-8</t>
  </si>
  <si>
    <t xml:space="preserve">Using formulas:</t>
  </si>
  <si>
    <t xml:space="preserve">Using spreadsheet (present value calculations):</t>
  </si>
  <si>
    <t xml:space="preserve">n (years)</t>
  </si>
  <si>
    <t xml:space="preserve">present value (how much money to set aside now)</t>
  </si>
  <si>
    <t xml:space="preserve">A (increasing amount)</t>
  </si>
  <si>
    <t xml:space="preserve">(P/A, 5%, 5)</t>
  </si>
  <si>
    <t xml:space="preserve">(P/G, 5%, 5)</t>
  </si>
  <si>
    <t xml:space="preserve">P''</t>
  </si>
  <si>
    <t xml:space="preserve">P + P'' =</t>
  </si>
  <si>
    <t xml:space="preserve">Ex 4-9</t>
  </si>
  <si>
    <t xml:space="preserve">Using textbook formulas</t>
  </si>
  <si>
    <t xml:space="preserve">Manual setup (present value calculations)</t>
  </si>
  <si>
    <t xml:space="preserve">Uniform alternative (using goal seek)</t>
  </si>
  <si>
    <t xml:space="preserve">A original</t>
  </si>
  <si>
    <t xml:space="preserve">G</t>
  </si>
  <si>
    <t xml:space="preserve">A'</t>
  </si>
  <si>
    <t xml:space="preserve">A/G</t>
  </si>
  <si>
    <t xml:space="preserve">A''</t>
  </si>
  <si>
    <t xml:space="preserve">A total</t>
  </si>
  <si>
    <t xml:space="preserve">For reference:</t>
  </si>
  <si>
    <t xml:space="preserve">P'</t>
  </si>
  <si>
    <t xml:space="preserve">PV total</t>
  </si>
  <si>
    <t xml:space="preserve">Show how goal seek gives equivalent sum of present value</t>
  </si>
  <si>
    <t xml:space="preserve">Can achieve this by trial and error, but goal seek is quicker.</t>
  </si>
  <si>
    <t xml:space="preserve">Ex 4-12</t>
  </si>
  <si>
    <t xml:space="preserve">Notice these two numbers may be entirely unrelated.</t>
  </si>
  <si>
    <t xml:space="preserve">A</t>
  </si>
  <si>
    <t xml:space="preserve">maintenance cost inflation</t>
  </si>
  <si>
    <t xml:space="preserve">g</t>
  </si>
  <si>
    <t xml:space="preserve">future, inflated maintenance costs</t>
  </si>
  <si>
    <t xml:space="preserve">present value</t>
  </si>
  <si>
    <t xml:space="preserve">Present value sum (P):</t>
  </si>
  <si>
    <t xml:space="preserve">Ex 4-13</t>
  </si>
  <si>
    <t xml:space="preserve">Manual setup (goal seek)</t>
  </si>
  <si>
    <t xml:space="preserve">nominal i</t>
  </si>
  <si>
    <t xml:space="preserve">quarter</t>
  </si>
  <si>
    <t xml:space="preserve">initial balance</t>
  </si>
  <si>
    <t xml:space="preserve">withdrawal</t>
  </si>
  <si>
    <t xml:space="preserve">Each W includes 4 'A's, so now n = 4.</t>
  </si>
  <si>
    <t xml:space="preserve">F</t>
  </si>
  <si>
    <t xml:space="preserve">(which is W in this case)</t>
  </si>
  <si>
    <t xml:space="preserve">Goal seek: Set cell K26 to 0 by changing cell J10.</t>
  </si>
  <si>
    <t xml:space="preserve">Can alternatively reach solution by trial and error by testing values for J10.</t>
  </si>
  <si>
    <t xml:space="preserve">Ex 4-14</t>
  </si>
  <si>
    <t xml:space="preserve">Using textbook formula</t>
  </si>
  <si>
    <t xml:space="preserve">Ex 5-1</t>
  </si>
  <si>
    <t xml:space="preserve">Using simple Excel setup (with formulas as well)</t>
  </si>
  <si>
    <t xml:space="preserve">Option A</t>
  </si>
  <si>
    <t xml:space="preserve">Option B</t>
  </si>
  <si>
    <t xml:space="preserve">future costs</t>
  </si>
  <si>
    <t xml:space="preserve">present worth</t>
  </si>
  <si>
    <t xml:space="preserve">F1</t>
  </si>
  <si>
    <t xml:space="preserve">F2</t>
  </si>
  <si>
    <t xml:space="preserve">n1</t>
  </si>
  <si>
    <t xml:space="preserve">n2</t>
  </si>
  <si>
    <t xml:space="preserve">PW1</t>
  </si>
  <si>
    <t xml:space="preserve">PW2</t>
  </si>
  <si>
    <t xml:space="preserve">Sum of PW</t>
  </si>
  <si>
    <t xml:space="preserve">Ex 5-2</t>
  </si>
  <si>
    <t xml:space="preserve">Using simple Excel setup </t>
  </si>
  <si>
    <t xml:space="preserve">Option A (uniform series)</t>
  </si>
  <si>
    <t xml:space="preserve">Option B (arithmetric series)</t>
  </si>
  <si>
    <t xml:space="preserve">costs and savings</t>
  </si>
  <si>
    <t xml:space="preserve">cost</t>
  </si>
  <si>
    <t xml:space="preserve">P"</t>
  </si>
  <si>
    <t xml:space="preserve">P'+P''</t>
  </si>
  <si>
    <t xml:space="preserve">Sum of discounted savings</t>
  </si>
  <si>
    <t xml:space="preserve">Ex 5-3</t>
  </si>
  <si>
    <t xml:space="preserve">F0</t>
  </si>
  <si>
    <t xml:space="preserve">net F5</t>
  </si>
  <si>
    <t xml:space="preserve">F10</t>
  </si>
  <si>
    <t xml:space="preserve">n5</t>
  </si>
  <si>
    <t xml:space="preserve">n10</t>
  </si>
  <si>
    <t xml:space="preserve">P0</t>
  </si>
  <si>
    <t xml:space="preserve">P5</t>
  </si>
  <si>
    <t xml:space="preserve">P10</t>
  </si>
  <si>
    <t xml:space="preserve">Ex 5-4</t>
  </si>
  <si>
    <t xml:space="preserve">Using simple Excel setup: with unequal time frames</t>
  </si>
  <si>
    <t xml:space="preserve">Approximating same time frame</t>
  </si>
  <si>
    <t xml:space="preserve">applies to each separate estimate</t>
  </si>
  <si>
    <t xml:space="preserve">missing an estimate of what Option A would be worth at end of yr 13</t>
  </si>
  <si>
    <t xml:space="preserve">Ex 5-6</t>
  </si>
  <si>
    <t xml:space="preserve">For one pipeline, 70 year life:</t>
  </si>
  <si>
    <t xml:space="preserve">Initial capital cost</t>
  </si>
  <si>
    <t xml:space="preserve">Capitalized cost</t>
  </si>
  <si>
    <t xml:space="preserve">Total capitalized cost</t>
  </si>
  <si>
    <t xml:space="preserve">…</t>
  </si>
  <si>
    <t xml:space="preserve">Notice how small this gets. </t>
  </si>
  <si>
    <t xml:space="preserve">They just ignored further future costs.</t>
  </si>
  <si>
    <t xml:space="preserve">Ex 5-7</t>
  </si>
  <si>
    <t xml:space="preserve">B</t>
  </si>
  <si>
    <t xml:space="preserve">Yr</t>
  </si>
  <si>
    <t xml:space="preserve">init balance</t>
  </si>
  <si>
    <t xml:space="preserve">end of yr interset</t>
  </si>
  <si>
    <t xml:space="preserve">end of year deposit</t>
  </si>
  <si>
    <t xml:space="preserve">init bal</t>
  </si>
  <si>
    <t xml:space="preserve">withd</t>
  </si>
  <si>
    <t xml:space="preserve">end of yr bal</t>
  </si>
  <si>
    <t xml:space="preserve">C</t>
  </si>
  <si>
    <t xml:space="preserve">Frequency of renovation</t>
  </si>
  <si>
    <t xml:space="preserve">Each renovation cost</t>
  </si>
  <si>
    <t xml:space="preserve">(A/F, i, n)</t>
  </si>
  <si>
    <t xml:space="preserve">Annual equivalent of each renovation cost </t>
  </si>
  <si>
    <t xml:space="preserve">  (using A=F/A,i,n)</t>
  </si>
  <si>
    <t xml:space="preserve">Capitalized cost of infinite renovations</t>
  </si>
  <si>
    <t xml:space="preserve">Note error in textbook slides: $200,000 renovation cost is a future cost (F), not a present cost (P),</t>
  </si>
  <si>
    <t xml:space="preserve">which needs to be converted to an annual equivalent (A), then capitalized.</t>
  </si>
  <si>
    <t xml:space="preserve">So we need to use A = (F/A, i, n) for this conversion, rather than A = (P/A, i, n) .</t>
  </si>
  <si>
    <t xml:space="preserve">Using Excel setup</t>
  </si>
  <si>
    <t xml:space="preserve">Option C</t>
  </si>
  <si>
    <t xml:space="preserve">Option D</t>
  </si>
  <si>
    <t xml:space="preserve">PW</t>
  </si>
  <si>
    <t xml:space="preserve">Ex 5-9</t>
  </si>
  <si>
    <t xml:space="preserve">Option A (old bond)</t>
  </si>
  <si>
    <t xml:space="preserve">Option B (new bond at current market rate)</t>
  </si>
  <si>
    <t xml:space="preserve">coupon cost</t>
  </si>
  <si>
    <t xml:space="preserve">coupon rate</t>
  </si>
  <si>
    <t xml:space="preserve">semi-annual coupon rate</t>
  </si>
  <si>
    <t xml:space="preserve">market interest rate</t>
  </si>
  <si>
    <t xml:space="preserve">semi-annual discount rate (current interest rate)</t>
  </si>
  <si>
    <t xml:space="preserve">semi-annual interest rate</t>
  </si>
  <si>
    <t xml:space="preserve">Applicable formula: (1+ia)^(1/2)-1</t>
  </si>
  <si>
    <t xml:space="preserve">half-year</t>
  </si>
  <si>
    <t xml:space="preserve">earnings</t>
  </si>
  <si>
    <t xml:space="preserve">B is worth more than A.</t>
  </si>
  <si>
    <t xml:space="preserve">Assumption is that discount rate equals current interest rate.</t>
  </si>
  <si>
    <t xml:space="preserve">(1+ia)^(1/2)-1</t>
  </si>
  <si>
    <t xml:space="preserve">Core formulas:</t>
  </si>
  <si>
    <t xml:space="preserve">Other formulas:</t>
  </si>
  <si>
    <t xml:space="preserve">from:</t>
  </si>
  <si>
    <t xml:space="preserve">to:</t>
  </si>
  <si>
    <t xml:space="preserve">P = P' + P''</t>
  </si>
  <si>
    <t xml:space="preserve">F </t>
  </si>
  <si>
    <t xml:space="preserve">i&lt;&gt;g:</t>
  </si>
  <si>
    <t xml:space="preserve">i=g:</t>
  </si>
  <si>
    <r>
      <rPr>
        <i val="true"/>
        <sz val="17"/>
        <color rgb="FF000000"/>
        <rFont val="Garamond"/>
        <family val="1"/>
        <charset val="1"/>
      </rPr>
      <t xml:space="preserve">i</t>
    </r>
    <r>
      <rPr>
        <sz val="17"/>
        <color rgb="FF000000"/>
        <rFont val="Garamond"/>
        <family val="1"/>
        <charset val="1"/>
      </rPr>
      <t xml:space="preserve"> = </t>
    </r>
    <r>
      <rPr>
        <i val="true"/>
        <sz val="17"/>
        <color rgb="FF000000"/>
        <rFont val="Garamond"/>
        <family val="1"/>
        <charset val="1"/>
      </rPr>
      <t xml:space="preserve">i′</t>
    </r>
    <r>
      <rPr>
        <sz val="17"/>
        <color rgb="FF000000"/>
        <rFont val="Garamond"/>
        <family val="1"/>
        <charset val="1"/>
      </rPr>
      <t xml:space="preserve"> + </t>
    </r>
    <r>
      <rPr>
        <i val="true"/>
        <sz val="17"/>
        <color rgb="FF000000"/>
        <rFont val="Garamond"/>
        <family val="1"/>
        <charset val="1"/>
      </rPr>
      <t xml:space="preserve">f</t>
    </r>
    <r>
      <rPr>
        <sz val="17"/>
        <color rgb="FF000000"/>
        <rFont val="Garamond"/>
        <family val="1"/>
        <charset val="1"/>
      </rPr>
      <t xml:space="preserve"> + </t>
    </r>
    <r>
      <rPr>
        <i val="true"/>
        <sz val="17"/>
        <color rgb="FF000000"/>
        <rFont val="Garamond"/>
        <family val="1"/>
        <charset val="1"/>
      </rPr>
      <t xml:space="preserve">i′f</t>
    </r>
  </si>
  <si>
    <r>
      <rPr>
        <i val="true"/>
        <sz val="21.8"/>
        <color rgb="FF000000"/>
        <rFont val="Garamond"/>
        <family val="1"/>
        <charset val="1"/>
      </rPr>
      <t xml:space="preserve">i’ = (i-f)/(1+f)</t>
    </r>
    <r>
      <rPr>
        <sz val="21.8"/>
        <color rgb="FF000000"/>
        <rFont val="Garamond"/>
        <family val="1"/>
        <charset val="1"/>
      </rPr>
      <t xml:space="preserve"> </t>
    </r>
  </si>
  <si>
    <t xml:space="preserve">i = f + i' * (1+f)</t>
  </si>
  <si>
    <t xml:space="preserve">f</t>
  </si>
  <si>
    <t xml:space="preserve">i -f = i' * (1+f)</t>
  </si>
  <si>
    <t xml:space="preserve">i'</t>
  </si>
  <si>
    <t xml:space="preserve">(i -f)/(1+f) = i' </t>
  </si>
  <si>
    <t xml:space="preserve">Ex 5-10</t>
  </si>
  <si>
    <t xml:space="preserve">Formula application:</t>
  </si>
  <si>
    <t xml:space="preserve">Ron's age</t>
  </si>
  <si>
    <t xml:space="preserve">(difference from ppt is due to rounding)</t>
  </si>
  <si>
    <t xml:space="preserve">Alternatives to discuss in class:</t>
  </si>
  <si>
    <t xml:space="preserve">What if the interest compounded every month instead?</t>
  </si>
  <si>
    <t xml:space="preserve">More future value, due to more frequent compounding.</t>
  </si>
  <si>
    <t xml:space="preserve">If the compounding were monthly, and he wanted to save</t>
  </si>
  <si>
    <t xml:space="preserve">the same amount as originally shown, how much lower </t>
  </si>
  <si>
    <t xml:space="preserve">could the interest rate be?</t>
  </si>
  <si>
    <t xml:space="preserve">Use goal seek to find interest rate that will match </t>
  </si>
  <si>
    <t xml:space="preserve">that Future value.</t>
  </si>
  <si>
    <t xml:space="preserve">Nominal annual equivalent:</t>
  </si>
  <si>
    <t xml:space="preserve">Ex 6-1</t>
  </si>
  <si>
    <t xml:space="preserve">Using goal seek as alternative method</t>
  </si>
  <si>
    <t xml:space="preserve">PMT formula in Excel</t>
  </si>
  <si>
    <t xml:space="preserve">discounted payments</t>
  </si>
  <si>
    <t xml:space="preserve">uniform series capital recovery factor:</t>
  </si>
  <si>
    <t xml:space="preserve">Ex 6-2</t>
  </si>
  <si>
    <t xml:space="preserve">Using Excel to parallel the formula technique (awkwardly)</t>
  </si>
  <si>
    <t xml:space="preserve">How I would personally solve the equivalent to this problem:</t>
  </si>
  <si>
    <t xml:space="preserve">1. Convert future salvage value to today's dollars (Present worth)</t>
  </si>
  <si>
    <t xml:space="preserve">If you invested $1000 in a machine that could make a valuable</t>
  </si>
  <si>
    <t xml:space="preserve">P=F/(1+i)^n</t>
  </si>
  <si>
    <t xml:space="preserve">product, and could sell it 10 years later for $200, how much revenue</t>
  </si>
  <si>
    <t xml:space="preserve">P (capital cost)</t>
  </si>
  <si>
    <t xml:space="preserve">would it need to earn to pay back the net cost?</t>
  </si>
  <si>
    <t xml:space="preserve">Salvage value S</t>
  </si>
  <si>
    <t xml:space="preserve">2. Add together the initial cost and salvage value (both in today's dollars now)</t>
  </si>
  <si>
    <t xml:space="preserve">= 1000-101.67 = </t>
  </si>
  <si>
    <t xml:space="preserve">Goal seek: sum of discounted values = 0, by changing annual revenue.</t>
  </si>
  <si>
    <t xml:space="preserve">3. Use Goal Seek to convert this PW sum to EUAC:</t>
  </si>
  <si>
    <t xml:space="preserve">cost and salvage</t>
  </si>
  <si>
    <t xml:space="preserve">revenues</t>
  </si>
  <si>
    <t xml:space="preserve">discounted values</t>
  </si>
  <si>
    <t xml:space="preserve">EUAC of P:</t>
  </si>
  <si>
    <t xml:space="preserve">PW of S = S / (1+i)^n</t>
  </si>
  <si>
    <t xml:space="preserve">PW of S:</t>
  </si>
  <si>
    <t xml:space="preserve">EUAC of S:</t>
  </si>
  <si>
    <t xml:space="preserve">EUAC of S</t>
  </si>
  <si>
    <t xml:space="preserve">EUAC total:</t>
  </si>
  <si>
    <t xml:space="preserve">Formulas in textbook</t>
  </si>
  <si>
    <t xml:space="preserve">Demonstrating that solution is equivalent</t>
  </si>
  <si>
    <t xml:space="preserve">2. uniform series capital recovery factor</t>
  </si>
  <si>
    <t xml:space="preserve">1. Sum</t>
  </si>
  <si>
    <t xml:space="preserve">Present value / present worth</t>
  </si>
  <si>
    <t xml:space="preserve">3. reqd equivalent payments per year</t>
  </si>
  <si>
    <t xml:space="preserve">5 payments @ $129.51 in past 5 yrs would have been equivalent </t>
  </si>
  <si>
    <t xml:space="preserve">to the shown set of 5 payments.</t>
  </si>
  <si>
    <t xml:space="preserve">These are past data: does that affect the F vs P calculations?</t>
  </si>
  <si>
    <t xml:space="preserve">No: if the cost pattern shown were to repeat in the next 5 years,</t>
  </si>
  <si>
    <t xml:space="preserve">then the same conclusion is true: 5 pymts @ $129.51</t>
  </si>
  <si>
    <t xml:space="preserve">would still be equivalent to that planned series.</t>
  </si>
  <si>
    <t xml:space="preserve">If, however, costs were expected to be higher in the future, then an adjustment would be needed.</t>
  </si>
  <si>
    <t xml:space="preserve">Example 1 in PPT for Lecture 6:</t>
  </si>
  <si>
    <t xml:space="preserve">Option 1</t>
  </si>
  <si>
    <t xml:space="preserve">Option 2</t>
  </si>
  <si>
    <t xml:space="preserve">Option 3</t>
  </si>
  <si>
    <t xml:space="preserve">Option 4</t>
  </si>
  <si>
    <t xml:space="preserve">EUAC is just another way to say let's calculate A (the uniform annual payment).</t>
  </si>
  <si>
    <t xml:space="preserve">Actual payments</t>
  </si>
  <si>
    <t xml:space="preserve">Discounted values</t>
  </si>
  <si>
    <t xml:space="preserve">EUAC calculations worked out (using Goal Seek for the green value, to get the same discounted sum)</t>
  </si>
  <si>
    <t xml:space="preserve">The EUAC isn't equal to the annual cost for Option 1, because you get the tires on Jan 1, but pay (plus interest on Dec 31).</t>
  </si>
  <si>
    <t xml:space="preserve">Each of the actual payments must reflect this (the numbers in red to the left are these).</t>
  </si>
  <si>
    <t xml:space="preserve">Example 2 in PPT for Lecture 6:</t>
  </si>
  <si>
    <t xml:space="preserve">EUAB</t>
  </si>
  <si>
    <t xml:space="preserve">Net benefits: Sum of EUAB and EUAC</t>
  </si>
  <si>
    <t xml:space="preserve">The first option appears to be an  option where someone will provide the initial equipment</t>
  </si>
  <si>
    <t xml:space="preserve">for free, but charge you $15 every year forever from then on.</t>
  </si>
  <si>
    <t xml:space="preserve">Similar to how internet TV and smart phones are often priced now.</t>
  </si>
  <si>
    <t xml:space="preserve">Ex 6-5</t>
  </si>
  <si>
    <t xml:space="preserve">Ex 6-6</t>
  </si>
  <si>
    <t xml:space="preserve">Option 2 6 yr : Excel layout</t>
  </si>
  <si>
    <t xml:space="preserve">Option 2 12 yr equivalent</t>
  </si>
  <si>
    <t xml:space="preserve">Initial cost P</t>
  </si>
  <si>
    <t xml:space="preserve">salvage</t>
  </si>
  <si>
    <t xml:space="preserve">uniform series capital factor</t>
  </si>
  <si>
    <t xml:space="preserve">EUAC</t>
  </si>
  <si>
    <t xml:space="preserve">This is a material change:</t>
  </si>
  <si>
    <t xml:space="preserve">Option 2 asset is now expected to last longer.</t>
  </si>
  <si>
    <t xml:space="preserve">….</t>
  </si>
  <si>
    <t xml:space="preserve">Sum:</t>
  </si>
  <si>
    <t xml:space="preserve">Alternatively,</t>
  </si>
  <si>
    <t xml:space="preserve">EUAC of (P-S):</t>
  </si>
  <si>
    <t xml:space="preserve">S * i</t>
  </si>
  <si>
    <t xml:space="preserve">Ex 6-7</t>
  </si>
  <si>
    <t xml:space="preserve">I've changed the capital cost of Option 1 to match that of 2, for learning purposes.</t>
  </si>
  <si>
    <t xml:space="preserve">Using formulas from textbook</t>
  </si>
  <si>
    <t xml:space="preserve">useful life</t>
  </si>
  <si>
    <t xml:space="preserve">permanent</t>
  </si>
  <si>
    <t xml:space="preserve">EUAC = P * i (for infinitely lived)</t>
  </si>
  <si>
    <t xml:space="preserve">Ex 6-9</t>
  </si>
  <si>
    <t xml:space="preserve">interest payment</t>
  </si>
  <si>
    <t xml:space="preserve">principal payment</t>
  </si>
  <si>
    <t xml:space="preserve">total payment</t>
  </si>
  <si>
    <t xml:space="preserve">annual nominal interest rate</t>
  </si>
  <si>
    <t xml:space="preserve">monthly interest rate</t>
  </si>
  <si>
    <t xml:space="preserve">monthly payments:</t>
  </si>
  <si>
    <t xml:space="preserve">(P to A formula)</t>
  </si>
  <si>
    <t xml:space="preserve">Note that, with a fixed payment amount, you pay ALL of the interest on the remaining balance each time you make a payment.</t>
  </si>
  <si>
    <t xml:space="preserve">The rest of the payment goes toward paying down the loan (so, "principal").</t>
  </si>
  <si>
    <t xml:space="preserve">As the balance drops, the interest drops, and the amount going toward paying down the loan increases.</t>
  </si>
  <si>
    <t xml:space="preserve">US Mortgage example</t>
  </si>
  <si>
    <t xml:space="preserve">Mortgage amount</t>
  </si>
  <si>
    <t xml:space="preserve">The fixed monthly payment amount is chosen to be an amount that will pay off the entire loan </t>
  </si>
  <si>
    <t xml:space="preserve">Number of monthly payments</t>
  </si>
  <si>
    <t xml:space="preserve">(30 years)</t>
  </si>
  <si>
    <t xml:space="preserve">at the end of the chosen length of time (in this case, 360 months).</t>
  </si>
  <si>
    <t xml:space="preserve">equivalent effective annual rate (for reference only)</t>
  </si>
  <si>
    <t xml:space="preserve">Fixed Principal paid</t>
  </si>
  <si>
    <t xml:space="preserve">Total payment</t>
  </si>
  <si>
    <t xml:space="preserve">(30 yrs later)</t>
  </si>
  <si>
    <t xml:space="preserve">Number of annual payments</t>
  </si>
  <si>
    <t xml:space="preserve">equivalent effective annual rate</t>
  </si>
  <si>
    <t xml:space="preserve">(15 years)</t>
  </si>
  <si>
    <t xml:space="preserve">Canadian semi-annual mortgage example</t>
  </si>
  <si>
    <t xml:space="preserve">(25 years)</t>
  </si>
  <si>
    <t xml:space="preserve">Semi-annual rate (by law)</t>
  </si>
  <si>
    <t xml:space="preserve">Annual effective rate</t>
  </si>
  <si>
    <t xml:space="preserve">Equivalent monthly interest rate</t>
  </si>
  <si>
    <t xml:space="preserve">r = (1+ i(a))^(1/12)</t>
  </si>
  <si>
    <t xml:space="preserve">(10 yrs later)</t>
  </si>
  <si>
    <t xml:space="preserve">(25 years later)</t>
  </si>
  <si>
    <t xml:space="preserve">Mortgage example 3a</t>
  </si>
  <si>
    <t xml:space="preserve">Mortgage example 3b</t>
  </si>
  <si>
    <t xml:space="preserve">Mortgage example 3c</t>
  </si>
  <si>
    <t xml:space="preserve">(1 year)</t>
  </si>
  <si>
    <t xml:space="preserve">Interest charged</t>
  </si>
  <si>
    <t xml:space="preserve">Payments are completed at same time, using equivalent effective annual rate.</t>
  </si>
  <si>
    <t xml:space="preserve">But interest paid isn't the same (since you are changing the amount owed every month in the previous example).</t>
  </si>
  <si>
    <t xml:space="preserve">Payments are completed in one year, using monthly rate.</t>
  </si>
  <si>
    <t xml:space="preserve">Payments are completed with same total interest as example 3b, using monthly rate.</t>
  </si>
  <si>
    <t xml:space="preserve">Total interest and completion of payments are the same as 3b, because principal isn't reduced.</t>
  </si>
  <si>
    <t xml:space="preserve">Interest rate:</t>
  </si>
  <si>
    <t xml:space="preserve">Mortgage interest rate per mo:</t>
  </si>
  <si>
    <t xml:space="preserve">Mortgage term (yrs):</t>
  </si>
  <si>
    <t xml:space="preserve">Number of payments n</t>
  </si>
  <si>
    <t xml:space="preserve">House cost:</t>
  </si>
  <si>
    <t xml:space="preserve">Net amt to borrow</t>
  </si>
  <si>
    <t xml:space="preserve">Mortgage payment:</t>
  </si>
  <si>
    <t xml:space="preserve">Discount rate:</t>
  </si>
  <si>
    <t xml:space="preserve">n3</t>
  </si>
  <si>
    <t xml:space="preserve">Mortgage 1a</t>
  </si>
  <si>
    <t xml:space="preserve">Mortgage 1b</t>
  </si>
  <si>
    <t xml:space="preserve">Mortgage 2a</t>
  </si>
  <si>
    <t xml:space="preserve">Mortgage 2b</t>
  </si>
  <si>
    <t xml:space="preserve">PW1a</t>
  </si>
  <si>
    <t xml:space="preserve">PW1b</t>
  </si>
  <si>
    <t xml:space="preserve">PW2a</t>
  </si>
  <si>
    <t xml:space="preserve">PW2b</t>
  </si>
  <si>
    <t xml:space="preserve">Total</t>
  </si>
  <si>
    <t xml:space="preserve">Implied interest rate: 6.87%</t>
  </si>
  <si>
    <t xml:space="preserve">The direction to move to annual sum of payments leads to an implicit slight reduction in the interest rate.</t>
  </si>
  <si>
    <t xml:space="preserve">Ch 7 ppt example 1</t>
  </si>
  <si>
    <t xml:space="preserve">Applying Present Worth and solving by goal seek :</t>
  </si>
  <si>
    <t xml:space="preserve">By Excel formula</t>
  </si>
  <si>
    <t xml:space="preserve">$6,549 payment: already in today's dollars</t>
  </si>
  <si>
    <t xml:space="preserve">IRR = interest rate (to solve for)</t>
  </si>
  <si>
    <t xml:space="preserve">IRR formula</t>
  </si>
  <si>
    <t xml:space="preserve">$4,000 revenue per year: uniform series present worth formula</t>
  </si>
  <si>
    <t xml:space="preserve">(applied to non-discounted series </t>
  </si>
  <si>
    <t xml:space="preserve">$800 costs per year: uniform series present worth formula</t>
  </si>
  <si>
    <t xml:space="preserve">payment</t>
  </si>
  <si>
    <t xml:space="preserve">sum</t>
  </si>
  <si>
    <t xml:space="preserve">present value (PV)</t>
  </si>
  <si>
    <t xml:space="preserve">    of net revenues)</t>
  </si>
  <si>
    <t xml:space="preserve">$5,100 cost in year 2: single payment compound amount formula</t>
  </si>
  <si>
    <t xml:space="preserve">How to solve for i?</t>
  </si>
  <si>
    <t xml:space="preserve">Can sometimes use tables and lots of math. Better, though, </t>
  </si>
  <si>
    <t xml:space="preserve">     to use Excel functions or techniques (like goal seek).</t>
  </si>
  <si>
    <t xml:space="preserve">sum of present worth (net present value)</t>
  </si>
  <si>
    <t xml:space="preserve">  defined as rate at which NPV=0</t>
  </si>
  <si>
    <t xml:space="preserve">  Can solve by goal seek or trial and error</t>
  </si>
  <si>
    <t xml:space="preserve">Ch 7 ppt example 2</t>
  </si>
  <si>
    <t xml:space="preserve">$1,517 annual payments: uniform series.</t>
  </si>
  <si>
    <t xml:space="preserve">Uniform series must have FUTURE value of $20,000.</t>
  </si>
  <si>
    <t xml:space="preserve">Using uniform series compound factor.</t>
  </si>
  <si>
    <t xml:space="preserve">payment / withdrawal</t>
  </si>
  <si>
    <t xml:space="preserve">F=20000</t>
  </si>
  <si>
    <t xml:space="preserve">A=1,517</t>
  </si>
  <si>
    <t xml:space="preserve">n=10</t>
  </si>
  <si>
    <t xml:space="preserve">Because this is a moderately simple function, might be able to solve for i.</t>
  </si>
  <si>
    <t xml:space="preserve">     Still better, though, to use Excel functions or techniques (like goal seek).</t>
  </si>
  <si>
    <t xml:space="preserve">Extra example: IRR vs PW</t>
  </si>
  <si>
    <t xml:space="preserve">PV</t>
  </si>
  <si>
    <t xml:space="preserve">present worth (net present value)</t>
  </si>
  <si>
    <t xml:space="preserve">linear</t>
  </si>
  <si>
    <t xml:space="preserve">Example 7-2</t>
  </si>
  <si>
    <t xml:space="preserve">By goal seek or trial and error</t>
  </si>
  <si>
    <t xml:space="preserve">income / payment</t>
  </si>
  <si>
    <t xml:space="preserve">value including interest</t>
  </si>
  <si>
    <t xml:space="preserve">present worth </t>
  </si>
  <si>
    <t xml:space="preserve">rate of return</t>
  </si>
  <si>
    <t xml:space="preserve">Putting your $700 in the bank and earning 6.9% interest would be just as good as</t>
  </si>
  <si>
    <t xml:space="preserve">making the investment that gives the payments listed in column B.</t>
  </si>
  <si>
    <t xml:space="preserve">The IRR is the equivalent rate of interest that those payments earn for you.</t>
  </si>
  <si>
    <t xml:space="preserve">ROI:</t>
  </si>
  <si>
    <t xml:space="preserve">Start with:</t>
  </si>
  <si>
    <t xml:space="preserve">End with:</t>
  </si>
  <si>
    <t xml:space="preserve">Gains of:</t>
  </si>
  <si>
    <t xml:space="preserve">Ex 7-4 and 7-5</t>
  </si>
  <si>
    <t xml:space="preserve">Ex 7-5</t>
  </si>
  <si>
    <t xml:space="preserve">Original investor's investment and return:</t>
  </si>
  <si>
    <t xml:space="preserve">Original investor's investment and return after sale:</t>
  </si>
  <si>
    <t xml:space="preserve">Second Investor's investment and return:</t>
  </si>
  <si>
    <t xml:space="preserve">For reference: By Excel formula</t>
  </si>
  <si>
    <t xml:space="preserve">Conversion to effective annual rate:</t>
  </si>
  <si>
    <t xml:space="preserve">IRR = semi-annual interest rate (to solve for)</t>
  </si>
  <si>
    <t xml:space="preserve">= (1+i)^n = (1.0441)^2</t>
  </si>
  <si>
    <t xml:space="preserve">= (1+i)^n = (1.0407)^2</t>
  </si>
  <si>
    <t xml:space="preserve">(Eq 3-8)</t>
  </si>
  <si>
    <t xml:space="preserve">costs</t>
  </si>
  <si>
    <t xml:space="preserve">= (1+r/m)^m - 1</t>
  </si>
  <si>
    <t xml:space="preserve">(Eq 3-7)</t>
  </si>
  <si>
    <t xml:space="preserve">Same result by version of the equation.</t>
  </si>
  <si>
    <t xml:space="preserve">IRR Formula</t>
  </si>
  <si>
    <t xml:space="preserve">Ex 7-7</t>
  </si>
  <si>
    <t xml:space="preserve">IRR</t>
  </si>
  <si>
    <t xml:space="preserve">Option 1 IRR looks better, right? Yes, but…</t>
  </si>
  <si>
    <r>
      <rPr>
        <sz val="11"/>
        <color rgb="FF000000"/>
        <rFont val="Calibri"/>
        <family val="2"/>
        <charset val="1"/>
      </rPr>
      <t xml:space="preserve">What's really happening? </t>
    </r>
    <r>
      <rPr>
        <b val="true"/>
        <sz val="11"/>
        <color rgb="FFFF0000"/>
        <rFont val="Calibri"/>
        <family val="2"/>
        <charset val="1"/>
      </rPr>
      <t xml:space="preserve">Scopes are different.</t>
    </r>
  </si>
  <si>
    <t xml:space="preserve">Option 1 invests 10 to earn 5, and holds 10 in your pocket (no return).</t>
  </si>
  <si>
    <t xml:space="preserve">Combined return is 25% return (5/20).</t>
  </si>
  <si>
    <t xml:space="preserve">Option 2 invests 20 to earn 8.</t>
  </si>
  <si>
    <t xml:space="preserve">Combined return is 40% return (8/20).</t>
  </si>
  <si>
    <t xml:space="preserve">Option 1 on its own looked better, only because we were making an uneven comparison.</t>
  </si>
  <si>
    <t xml:space="preserve">Ex 7-10</t>
  </si>
  <si>
    <t xml:space="preserve">Machine X</t>
  </si>
  <si>
    <t xml:space="preserve">Machine Y</t>
  </si>
  <si>
    <t xml:space="preserve">Difference</t>
  </si>
  <si>
    <t xml:space="preserve">MARR (applied</t>
  </si>
  <si>
    <t xml:space="preserve">initial cost</t>
  </si>
  <si>
    <t xml:space="preserve">as discount rate)</t>
  </si>
  <si>
    <t xml:space="preserve">uniform annual benefit</t>
  </si>
  <si>
    <t xml:space="preserve">salvage value</t>
  </si>
  <si>
    <t xml:space="preserve">useful life (in years)</t>
  </si>
  <si>
    <t xml:space="preserve">benefits</t>
  </si>
  <si>
    <t xml:space="preserve">delta cost</t>
  </si>
  <si>
    <t xml:space="preserve">delta benefits</t>
  </si>
  <si>
    <t xml:space="preserve">PV delta costs</t>
  </si>
  <si>
    <t xml:space="preserve">PV delta benefits</t>
  </si>
  <si>
    <t xml:space="preserve">B/C ratio</t>
  </si>
  <si>
    <t xml:space="preserve">&lt; MARR, so don't spend extra</t>
  </si>
  <si>
    <t xml:space="preserve">values in red are missing in the table in the textbook, but are included in the equations in the solution.</t>
  </si>
  <si>
    <t xml:space="preserve">Ex 7-11</t>
  </si>
  <si>
    <t xml:space="preserve">Option</t>
  </si>
  <si>
    <t xml:space="preserve">Brass</t>
  </si>
  <si>
    <t xml:space="preserve">Stainless Steel</t>
  </si>
  <si>
    <t xml:space="preserve">Titanium</t>
  </si>
  <si>
    <t xml:space="preserve">Cost</t>
  </si>
  <si>
    <t xml:space="preserve">Life, in years</t>
  </si>
  <si>
    <t xml:space="preserve">Summary</t>
  </si>
  <si>
    <t xml:space="preserve">EUAC at different interest rates</t>
  </si>
  <si>
    <t xml:space="preserve">Best project at this interest rate</t>
  </si>
  <si>
    <t xml:space="preserve">You can determine the exact break points either by trial and error, graphing, or (roughly) interpolation.</t>
  </si>
  <si>
    <t xml:space="preserve">Or (as we'll see in Ex 7-12) you can use Incremental Analysis.</t>
  </si>
  <si>
    <t xml:space="preserve">Ex 7-12</t>
  </si>
  <si>
    <t xml:space="preserve">Step 1:</t>
  </si>
  <si>
    <t xml:space="preserve">Step 2: Incremental analysis</t>
  </si>
  <si>
    <t xml:space="preserve">Project A</t>
  </si>
  <si>
    <t xml:space="preserve">Project B</t>
  </si>
  <si>
    <t xml:space="preserve">Project C</t>
  </si>
  <si>
    <t xml:space="preserve">Project D</t>
  </si>
  <si>
    <t xml:space="preserve">Project E</t>
  </si>
  <si>
    <t xml:space="preserve">Incremental vs B:</t>
  </si>
  <si>
    <t xml:space="preserve">Incremental vs A:</t>
  </si>
  <si>
    <t xml:space="preserve">Projects D and E ruled out.</t>
  </si>
  <si>
    <t xml:space="preserve">Incremental analysis for remaining options.</t>
  </si>
  <si>
    <t xml:space="preserve">income / paymt</t>
  </si>
  <si>
    <t xml:space="preserve">Net present value</t>
  </si>
  <si>
    <t xml:space="preserve">Incremental IRR</t>
  </si>
  <si>
    <t xml:space="preserve">IRR:</t>
  </si>
  <si>
    <t xml:space="preserve">Step 1: Assess the NPVs for each project at a variety of interest rates.</t>
  </si>
  <si>
    <t xml:space="preserve">Step 2: Use incremental analysis to determine exact breakpoints</t>
  </si>
  <si>
    <t xml:space="preserve">1. Compute rates of return (IRRs)</t>
  </si>
  <si>
    <t xml:space="preserve">Step 1 Summary</t>
  </si>
  <si>
    <t xml:space="preserve">2. Order by lowest cost. Select project with lowest cost as initial selection.</t>
  </si>
  <si>
    <t xml:space="preserve">NPV at different interest rates</t>
  </si>
  <si>
    <t xml:space="preserve">3. Determine differential rates of return of other options (vs selection)</t>
  </si>
  <si>
    <t xml:space="preserve">Project</t>
  </si>
  <si>
    <r>
      <rPr>
        <sz val="12"/>
        <color rgb="FF000000"/>
        <rFont val="Garamond"/>
        <family val="1"/>
        <charset val="1"/>
      </rPr>
      <t xml:space="preserve">Δ ROR</t>
    </r>
    <r>
      <rPr>
        <vertAlign val="subscript"/>
        <sz val="12"/>
        <color rgb="FF000000"/>
        <rFont val="Garamond"/>
        <family val="1"/>
        <charset val="1"/>
      </rPr>
      <t xml:space="preserve">A–B</t>
    </r>
    <r>
      <rPr>
        <sz val="12"/>
        <color rgb="FF000000"/>
        <rFont val="Garamond"/>
        <family val="1"/>
        <charset val="1"/>
      </rPr>
      <t xml:space="preserve"> = 9.63%</t>
    </r>
  </si>
  <si>
    <r>
      <rPr>
        <sz val="12"/>
        <color rgb="FF000000"/>
        <rFont val="Garamond"/>
        <family val="1"/>
        <charset val="1"/>
      </rPr>
      <t xml:space="preserve">Δ ROR</t>
    </r>
    <r>
      <rPr>
        <vertAlign val="subscript"/>
        <sz val="12"/>
        <color rgb="FF000000"/>
        <rFont val="Garamond"/>
        <family val="1"/>
        <charset val="1"/>
      </rPr>
      <t xml:space="preserve">C–B</t>
    </r>
    <r>
      <rPr>
        <sz val="12"/>
        <color rgb="FF000000"/>
        <rFont val="Garamond"/>
        <family val="1"/>
        <charset val="1"/>
      </rPr>
      <t xml:space="preserve"> = 6%</t>
    </r>
  </si>
  <si>
    <t xml:space="preserve">D</t>
  </si>
  <si>
    <r>
      <rPr>
        <sz val="12"/>
        <color rgb="FF000000"/>
        <rFont val="Garamond"/>
        <family val="1"/>
        <charset val="1"/>
      </rPr>
      <t xml:space="preserve">Δ ROR</t>
    </r>
    <r>
      <rPr>
        <vertAlign val="subscript"/>
        <sz val="12"/>
        <color rgb="FF000000"/>
        <rFont val="Garamond"/>
        <family val="1"/>
        <charset val="1"/>
      </rPr>
      <t xml:space="preserve">C–A</t>
    </r>
    <r>
      <rPr>
        <sz val="12"/>
        <color rgb="FF000000"/>
        <rFont val="Garamond"/>
        <family val="1"/>
        <charset val="1"/>
      </rPr>
      <t xml:space="preserve"> = 1.97%</t>
    </r>
  </si>
  <si>
    <t xml:space="preserve">E</t>
  </si>
  <si>
    <t xml:space="preserve">Do Nothing</t>
  </si>
  <si>
    <t xml:space="preserve">Choice table:</t>
  </si>
  <si>
    <t xml:space="preserve">If</t>
  </si>
  <si>
    <t xml:space="preserve">&lt; borrowing rate</t>
  </si>
  <si>
    <t xml:space="preserve">Select C</t>
  </si>
  <si>
    <t xml:space="preserve">Select A</t>
  </si>
  <si>
    <t xml:space="preserve">Results:</t>
  </si>
  <si>
    <t xml:space="preserve">≤ 19.96</t>
  </si>
  <si>
    <t xml:space="preserve">Select B</t>
  </si>
  <si>
    <t xml:space="preserve">  * No project has a positive return if interest rate is 20% or higher.</t>
  </si>
  <si>
    <t xml:space="preserve">If </t>
  </si>
  <si>
    <t xml:space="preserve">  * Neither D nor E are ever the best option. We can rule them out of further analysis.</t>
  </si>
  <si>
    <t xml:space="preserve">  * A, B and C are each best at different interest rates.</t>
  </si>
  <si>
    <t xml:space="preserve">Use incremental analysis to determine the exact interest rate breakpoints at which preferred option changes (Step 2)</t>
  </si>
  <si>
    <t xml:space="preserve">PV @ 5%</t>
  </si>
  <si>
    <t xml:space="preserve">payment / cost savings</t>
  </si>
  <si>
    <t xml:space="preserve">Project A's IRR can't be calculated. </t>
  </si>
  <si>
    <t xml:space="preserve">This often happens when series include a mix of costs and savings over time.</t>
  </si>
  <si>
    <t xml:space="preserve">Note though that the present worth (NPV) at, for example 10%, is still positive, indicating that the project pays for itself over time.</t>
  </si>
  <si>
    <t xml:space="preserve">Other measures (like NPV) must be used in these situations.</t>
  </si>
  <si>
    <t xml:space="preserve">Ch 8 ppt Example 1</t>
  </si>
  <si>
    <t xml:space="preserve">Using Excel:</t>
  </si>
  <si>
    <t xml:space="preserve">discount rate (interest rate)</t>
  </si>
  <si>
    <t xml:space="preserve">discounted costs</t>
  </si>
  <si>
    <t xml:space="preserve">discounted benefits</t>
  </si>
  <si>
    <t xml:space="preserve">future value of costs</t>
  </si>
  <si>
    <t xml:space="preserve">future benefits</t>
  </si>
  <si>
    <t xml:space="preserve">P(A)</t>
  </si>
  <si>
    <t xml:space="preserve">S</t>
  </si>
  <si>
    <t xml:space="preserve">P(S)</t>
  </si>
  <si>
    <t xml:space="preserve">P benefits total</t>
  </si>
  <si>
    <t xml:space="preserve">P costs</t>
  </si>
  <si>
    <t xml:space="preserve">B/C ratio:</t>
  </si>
  <si>
    <t xml:space="preserve">NPW (NPV):</t>
  </si>
  <si>
    <t xml:space="preserve">Note that anytime you have a "yes/no" decision, these methods will give you the same conclusion.</t>
  </si>
  <si>
    <t xml:space="preserve">Ch 8 ppt Example 2</t>
  </si>
  <si>
    <t xml:space="preserve">Benefits</t>
  </si>
  <si>
    <t xml:space="preserve">Costs</t>
  </si>
  <si>
    <t xml:space="preserve">  capital</t>
  </si>
  <si>
    <t xml:space="preserve">  maint/yr</t>
  </si>
  <si>
    <t xml:space="preserve">Traditional B/C:</t>
  </si>
  <si>
    <t xml:space="preserve">P costs total</t>
  </si>
  <si>
    <t xml:space="preserve">Modified B/C:</t>
  </si>
  <si>
    <t xml:space="preserve">B - maint C</t>
  </si>
  <si>
    <t xml:space="preserve">capital cost</t>
  </si>
  <si>
    <t xml:space="preserve">Ex 8-2</t>
  </si>
  <si>
    <t xml:space="preserve">Plan</t>
  </si>
  <si>
    <t xml:space="preserve">discounted sum of costs</t>
  </si>
  <si>
    <t xml:space="preserve">discounted sum of benefits</t>
  </si>
  <si>
    <t xml:space="preserve">% fish restored</t>
  </si>
  <si>
    <t xml:space="preserve">NPV</t>
  </si>
  <si>
    <t xml:space="preserve">1. Identify alternatives</t>
  </si>
  <si>
    <t xml:space="preserve">Plan I</t>
  </si>
  <si>
    <t xml:space="preserve">Plan II</t>
  </si>
  <si>
    <t xml:space="preserve">Plan III</t>
  </si>
  <si>
    <t xml:space="preserve">Plan IV</t>
  </si>
  <si>
    <t xml:space="preserve">cost or benefit</t>
  </si>
  <si>
    <t xml:space="preserve">savings util paymts</t>
  </si>
  <si>
    <t xml:space="preserve">rev overcapacity</t>
  </si>
  <si>
    <t xml:space="preserve">jobs created</t>
  </si>
  <si>
    <t xml:space="preserve">benefits sum</t>
  </si>
  <si>
    <t xml:space="preserve">yr</t>
  </si>
  <si>
    <t xml:space="preserve">2. Calculate B/C ratios</t>
  </si>
  <si>
    <t xml:space="preserve">3. Rank order by PW of costs:</t>
  </si>
  <si>
    <t xml:space="preserve">4. Select best option as anchor for incremental analysis.</t>
  </si>
  <si>
    <t xml:space="preserve">7. Iterate to examine other options.</t>
  </si>
  <si>
    <t xml:space="preserve">Differentials:</t>
  </si>
  <si>
    <t xml:space="preserve">Step 1</t>
  </si>
  <si>
    <t xml:space="preserve">Step 3</t>
  </si>
  <si>
    <t xml:space="preserve">Step 2</t>
  </si>
  <si>
    <t xml:space="preserve">Step 4</t>
  </si>
  <si>
    <t xml:space="preserve">PW of diff costs</t>
  </si>
  <si>
    <t xml:space="preserve">PW of diff benefits</t>
  </si>
  <si>
    <t xml:space="preserve">5. Calculate diff in B/C ratio</t>
  </si>
  <si>
    <t xml:space="preserve">6. Is increment justified?</t>
  </si>
  <si>
    <t xml:space="preserve">Y</t>
  </si>
  <si>
    <t xml:space="preserve">N</t>
  </si>
  <si>
    <t xml:space="preserve">8. Choose best alternative based on analysis.</t>
  </si>
  <si>
    <t xml:space="preserve">For reference / comparison:</t>
  </si>
  <si>
    <t xml:space="preserve">NPW (NPV)</t>
  </si>
  <si>
    <t xml:space="preserve">Note that simple B/C analysis gives a different preferred option to NPW analysis.</t>
  </si>
  <si>
    <t xml:space="preserve">Project 1</t>
  </si>
  <si>
    <t xml:space="preserve">Project 2</t>
  </si>
  <si>
    <t xml:space="preserve">Project 3</t>
  </si>
  <si>
    <t xml:space="preserve">Project 4</t>
  </si>
  <si>
    <t xml:space="preserve">Project 5</t>
  </si>
  <si>
    <t xml:space="preserve">Projects 2 + 3</t>
  </si>
  <si>
    <t xml:space="preserve">Projects 2 + 4</t>
  </si>
  <si>
    <t xml:space="preserve">Projects 3 + 5</t>
  </si>
  <si>
    <t xml:space="preserve">BAU</t>
  </si>
  <si>
    <t xml:space="preserve">Which option is best? Must consider:</t>
  </si>
  <si>
    <t xml:space="preserve">  Do we have a fixed budget to use for projects?</t>
  </si>
  <si>
    <t xml:space="preserve">  Can we do more than one? (Might only have enough $ or staff to accomplish one.)</t>
  </si>
  <si>
    <t xml:space="preserve">  How do they compare with the BAU?</t>
  </si>
  <si>
    <t xml:space="preserve">If can only do one: </t>
  </si>
  <si>
    <t xml:space="preserve">2 yields highest return. But 1 has the largest net yield.</t>
  </si>
  <si>
    <t xml:space="preserve">If can do more than one but budget is capped at $1,500: </t>
  </si>
  <si>
    <t xml:space="preserve">2 + 3 exceeds budget.</t>
  </si>
  <si>
    <t xml:space="preserve">B/C ratio may mislead you: says pick 2 first, but then can only fit in Project 4 with remaining budget. </t>
  </si>
  <si>
    <t xml:space="preserve">3 + 5 is better than 2 + 4.</t>
  </si>
  <si>
    <t xml:space="preserve">If can do more than one and no budget cap exists:</t>
  </si>
  <si>
    <t xml:space="preserve">    2 + 3 yield higher combined IRR than 1.</t>
  </si>
  <si>
    <t xml:space="preserve">    1 yields largest $ return (though not highest rate or ratio).</t>
  </si>
  <si>
    <t xml:space="preserve">    2 yields highest % return and highest ratio.</t>
  </si>
  <si>
    <t xml:space="preserve">    1, 2 or 3 are all better than BAU. 4 is worse.</t>
  </si>
  <si>
    <t xml:space="preserve">If can do more than one: </t>
  </si>
  <si>
    <t xml:space="preserve">    2 + 3 yield largest total $ return, and highest ratio and highest combined IRR.</t>
  </si>
  <si>
    <t xml:space="preserve">Ex 8-6</t>
  </si>
  <si>
    <t xml:space="preserve">Atlas</t>
  </si>
  <si>
    <t xml:space="preserve">Tom Thumb</t>
  </si>
  <si>
    <t xml:space="preserve">Atlas scale</t>
  </si>
  <si>
    <t xml:space="preserve">Tom Thumb scale</t>
  </si>
  <si>
    <t xml:space="preserve">Installed cost</t>
  </si>
  <si>
    <t xml:space="preserve">Annual benefit</t>
  </si>
  <si>
    <t xml:space="preserve">Salvage value</t>
  </si>
  <si>
    <t xml:space="preserve">cash flow</t>
  </si>
  <si>
    <t xml:space="preserve">discounted cash flow</t>
  </si>
  <si>
    <t xml:space="preserve">Payback period:</t>
  </si>
  <si>
    <t xml:space="preserve">NPW</t>
  </si>
  <si>
    <t xml:space="preserve">Payback period</t>
  </si>
  <si>
    <t xml:space="preserve">Payback period (yrs)</t>
  </si>
  <si>
    <t xml:space="preserve">Atlas pays back more quickly but has a worse NPW (NPV).</t>
  </si>
  <si>
    <t xml:space="preserve">So Payback Period isn't the best method: it's simple, but sometimes leads to poor economic decisions.</t>
  </si>
  <si>
    <t xml:space="preserve">Ex 8-7</t>
  </si>
  <si>
    <t xml:space="preserve">Tempo Machine</t>
  </si>
  <si>
    <t xml:space="preserve">Dura Machine</t>
  </si>
  <si>
    <t xml:space="preserve">Net annual benefit after all</t>
  </si>
  <si>
    <t xml:space="preserve">$12,000 the first year, declining</t>
  </si>
  <si>
    <t xml:space="preserve">$1,000 the first year, </t>
  </si>
  <si>
    <t xml:space="preserve">minimum attractive rate </t>
  </si>
  <si>
    <t xml:space="preserve">    annual expenses have been </t>
  </si>
  <si>
    <t xml:space="preserve">    $3,000  per year thereafter</t>
  </si>
  <si>
    <t xml:space="preserve">    increasing $3,000  per</t>
  </si>
  <si>
    <t xml:space="preserve">of return (interest rate)</t>
  </si>
  <si>
    <t xml:space="preserve">    deducted</t>
  </si>
  <si>
    <t xml:space="preserve">    year thereafter</t>
  </si>
  <si>
    <t xml:space="preserve">Useful life, in years</t>
  </si>
  <si>
    <t xml:space="preserve">cumulative cash flow</t>
  </si>
  <si>
    <t xml:space="preserve">Neither machine has any salvage value. Compute the payback period for each machine.</t>
  </si>
  <si>
    <t xml:space="preserve">Net Present Worth</t>
  </si>
  <si>
    <t xml:space="preserve">4 years</t>
  </si>
  <si>
    <t xml:space="preserve">5 years</t>
  </si>
  <si>
    <t xml:space="preserve">Tempo Machine pays back more quickly but has an inferior IRR and NPV.</t>
  </si>
  <si>
    <t xml:space="preserve">Ex 9-3</t>
  </si>
  <si>
    <t xml:space="preserve">Initial information:</t>
  </si>
  <si>
    <t xml:space="preserve">Sort by IRR:</t>
  </si>
  <si>
    <t xml:space="preserve">Rate of return</t>
  </si>
  <si>
    <t xml:space="preserve">Cumulative cost</t>
  </si>
  <si>
    <t xml:space="preserve">Apply $650,000 budget:</t>
  </si>
  <si>
    <t xml:space="preserve">Opportunity cost: value of next best project</t>
  </si>
  <si>
    <t xml:space="preserve">= project 9, with IRR of 14%.</t>
  </si>
</sst>
</file>

<file path=xl/styles.xml><?xml version="1.0" encoding="utf-8"?>
<styleSheet xmlns="http://schemas.openxmlformats.org/spreadsheetml/2006/main">
  <numFmts count="29">
    <numFmt numFmtId="164" formatCode="General"/>
    <numFmt numFmtId="165" formatCode="0.00"/>
    <numFmt numFmtId="166" formatCode="0%"/>
    <numFmt numFmtId="167" formatCode="0.0%"/>
    <numFmt numFmtId="168" formatCode="_(\$* #,##0.00_);_(\$* \(#,##0.00\);_(\$* \-??_);_(@_)"/>
    <numFmt numFmtId="169" formatCode="_(\$* #,##0_);_(\$* \(#,##0\);_(\$* \-??_);_(@_)"/>
    <numFmt numFmtId="170" formatCode="_(* #,##0.00_);_(* \(#,##0.00\);_(* \-??_);_(@_)"/>
    <numFmt numFmtId="171" formatCode="\$#,##0_);[RED]&quot;($&quot;#,##0\)"/>
    <numFmt numFmtId="172" formatCode="0.00%"/>
    <numFmt numFmtId="173" formatCode="0"/>
    <numFmt numFmtId="174" formatCode="\$#,##0.00_);[RED]&quot;($&quot;#,##0.00\)"/>
    <numFmt numFmtId="175" formatCode="dd/mmm/yy"/>
    <numFmt numFmtId="176" formatCode="_(* #,##0_);_(* \(#,##0\);_(* \-??_);_(@_)"/>
    <numFmt numFmtId="177" formatCode="0.0000%"/>
    <numFmt numFmtId="178" formatCode="0.000"/>
    <numFmt numFmtId="179" formatCode="0.0000"/>
    <numFmt numFmtId="180" formatCode="_(* #,##0.0000_);_(* \(#,##0.0000\);_(* \-??_);_(@_)"/>
    <numFmt numFmtId="181" formatCode="0.00000%"/>
    <numFmt numFmtId="182" formatCode="_(\$* #,##0.00_);_(\$* \(#,##0.00\);_(\$* \-?_);_(@_)"/>
    <numFmt numFmtId="183" formatCode="_(* #,##0.00000_);_(* \(#,##0.00000\);_(* \-??_);_(@_)"/>
    <numFmt numFmtId="184" formatCode="mmm/yy"/>
    <numFmt numFmtId="185" formatCode="0.000000"/>
    <numFmt numFmtId="186" formatCode="0.00000000"/>
    <numFmt numFmtId="187" formatCode="0.000%"/>
    <numFmt numFmtId="188" formatCode="General"/>
    <numFmt numFmtId="189" formatCode="\$#,##0"/>
    <numFmt numFmtId="190" formatCode="#,##0"/>
    <numFmt numFmtId="191" formatCode="0.0"/>
    <numFmt numFmtId="192" formatCode="_(* #,##0.0_);_(* \(#,##0.0\);_(* \-??_);_(@_)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i val="true"/>
      <sz val="17"/>
      <color rgb="FF000000"/>
      <name val="Garamond"/>
      <family val="1"/>
      <charset val="1"/>
    </font>
    <font>
      <sz val="17"/>
      <color rgb="FF000000"/>
      <name val="Garamond"/>
      <family val="1"/>
      <charset val="1"/>
    </font>
    <font>
      <i val="true"/>
      <sz val="21.8"/>
      <color rgb="FF000000"/>
      <name val="Garamond"/>
      <family val="1"/>
      <charset val="1"/>
    </font>
    <font>
      <sz val="21.8"/>
      <color rgb="FF000000"/>
      <name val="Garamond"/>
      <family val="1"/>
      <charset val="1"/>
    </font>
    <font>
      <sz val="11"/>
      <color rgb="FF00B05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sz val="11"/>
      <color rgb="FF843C0B"/>
      <name val="Calibri"/>
      <family val="2"/>
      <charset val="1"/>
    </font>
    <font>
      <b val="true"/>
      <sz val="14"/>
      <color rgb="FF843C0B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203864"/>
      <name val="Calibri"/>
      <family val="0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0"/>
    </font>
    <font>
      <sz val="11"/>
      <color rgb="FFF2F2F2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206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A6A6A6"/>
      <name val="Calibri"/>
      <family val="2"/>
      <charset val="1"/>
    </font>
    <font>
      <sz val="12"/>
      <color rgb="FF000000"/>
      <name val="Garamond"/>
      <family val="1"/>
      <charset val="1"/>
    </font>
    <font>
      <vertAlign val="subscript"/>
      <sz val="12"/>
      <color rgb="FF000000"/>
      <name val="Garamond"/>
      <family val="1"/>
      <charset val="1"/>
    </font>
    <font>
      <b val="true"/>
      <sz val="12"/>
      <color rgb="FF000000"/>
      <name val="Garamond"/>
      <family val="1"/>
      <charset val="1"/>
    </font>
    <font>
      <sz val="12"/>
      <name val="Garamond"/>
      <family val="1"/>
      <charset val="1"/>
    </font>
    <font>
      <b val="true"/>
      <sz val="12"/>
      <name val="Garamond"/>
      <family val="1"/>
      <charset val="1"/>
    </font>
    <font>
      <b val="true"/>
      <sz val="11"/>
      <name val="Calibri"/>
      <family val="2"/>
      <charset val="1"/>
    </font>
    <font>
      <sz val="11"/>
      <color rgb="FFFFFFFF"/>
      <name val="Calibri"/>
      <family val="0"/>
    </font>
    <font>
      <sz val="11"/>
      <color rgb="FF1F4E79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2CC"/>
        <bgColor rgb="FFF2F2F2"/>
      </patternFill>
    </fill>
    <fill>
      <patternFill patternType="solid">
        <fgColor rgb="FFFFE699"/>
        <bgColor rgb="FFFFF2CC"/>
      </patternFill>
    </fill>
    <fill>
      <patternFill patternType="solid">
        <fgColor rgb="FFA9D18E"/>
        <bgColor rgb="FF92D050"/>
      </patternFill>
    </fill>
    <fill>
      <patternFill patternType="solid">
        <fgColor rgb="FFD9D9D9"/>
        <bgColor rgb="FFF2F2F2"/>
      </patternFill>
    </fill>
    <fill>
      <patternFill patternType="solid">
        <fgColor rgb="FF002060"/>
        <bgColor rgb="FF203864"/>
      </patternFill>
    </fill>
    <fill>
      <patternFill patternType="solid">
        <fgColor rgb="FF385724"/>
        <bgColor rgb="FF595959"/>
      </patternFill>
    </fill>
    <fill>
      <patternFill patternType="solid">
        <fgColor rgb="FF70AD47"/>
        <bgColor rgb="FF92D05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 diagonalUp="false" diagonalDown="false">
      <left style="medium">
        <color rgb="FFFF0000"/>
      </left>
      <right style="medium">
        <color rgb="FFFF0000"/>
      </right>
      <top/>
      <bottom/>
      <diagonal/>
    </border>
    <border diagonalUp="false" diagonalDown="false"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8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11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1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0" xfId="19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76" fontId="13" fillId="0" borderId="0" xfId="0" applyFont="true" applyBorder="false" applyAlignment="true" applyProtection="true">
      <alignment horizontal="left" vertical="center" textRotation="0" wrapText="false" indent="0" shrinkToFit="false" readingOrder="1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 readingOrder="1"/>
      <protection locked="true" hidden="false"/>
    </xf>
    <xf numFmtId="18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9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5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32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91" fontId="32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91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3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8" fillId="1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11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8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0AD47"/>
      <rgbColor rgb="FF800080"/>
      <rgbColor rgb="FF008080"/>
      <rgbColor rgb="FFBFBFBF"/>
      <rgbColor rgb="FF808080"/>
      <rgbColor rgb="FF5B9BD5"/>
      <rgbColor rgb="FF7030A0"/>
      <rgbColor rgb="FFFFF2CC"/>
      <rgbColor rgb="FFF2F2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595959"/>
      <rgbColor rgb="FFA6A6A6"/>
      <rgbColor rgb="FF002060"/>
      <rgbColor rgb="FF00B050"/>
      <rgbColor rgb="FF003300"/>
      <rgbColor rgb="FF385724"/>
      <rgbColor rgb="FF843C0B"/>
      <rgbColor rgb="FF993366"/>
      <rgbColor rgb="FF1F4E7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Net present value as interest rate varies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'Ch7 ppt ex 3'!$F$20</c:f>
              <c:strCache>
                <c:ptCount val="1"/>
                <c:pt idx="0">
                  <c:v>present worth (net present value)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'Ch7 ppt ex 3'!$G$19:$Q$19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'Ch7 ppt ex 3'!$G$20:$Q$20</c:f>
              <c:numCache>
                <c:formatCode>General</c:formatCode>
                <c:ptCount val="11"/>
                <c:pt idx="0">
                  <c:v>10000</c:v>
                </c:pt>
                <c:pt idx="1">
                  <c:v>6947.75501872671</c:v>
                </c:pt>
                <c:pt idx="2">
                  <c:v>4332.68733806508</c:v>
                </c:pt>
                <c:pt idx="3">
                  <c:v>2080.26115424409</c:v>
                </c:pt>
                <c:pt idx="4">
                  <c:v>130.244196824326</c:v>
                </c:pt>
                <c:pt idx="5">
                  <c:v>-1566.29868288596</c:v>
                </c:pt>
                <c:pt idx="6">
                  <c:v>-3049.33091476741</c:v>
                </c:pt>
                <c:pt idx="7">
                  <c:v>-4351.65306111927</c:v>
                </c:pt>
                <c:pt idx="8">
                  <c:v>-5500.31756462758</c:v>
                </c:pt>
                <c:pt idx="9">
                  <c:v>-6517.74111522676</c:v>
                </c:pt>
                <c:pt idx="10">
                  <c:v>-7422.58374334768</c:v>
                </c:pt>
              </c:numCache>
            </c:numRef>
          </c:yVal>
          <c:smooth val="0"/>
        </c:ser>
        <c:axId val="61628556"/>
        <c:axId val="50869612"/>
      </c:scatterChart>
      <c:valAx>
        <c:axId val="61628556"/>
        <c:scaling>
          <c:orientation val="minMax"/>
          <c:max val="0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869612"/>
        <c:crosses val="autoZero"/>
        <c:crossBetween val="midCat"/>
      </c:valAx>
      <c:valAx>
        <c:axId val="50869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\$* #,##0_);_(\$* \(#,##0\);_(\$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285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'Ch7 ppt ex 3'!$F$20</c:f>
              <c:strCache>
                <c:ptCount val="1"/>
                <c:pt idx="0">
                  <c:v>present worth (net present value)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'Ch7 ppt ex 3'!$G$19:$Q$19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'Ch7 ppt ex 3'!$G$20:$Q$20</c:f>
              <c:numCache>
                <c:formatCode>General</c:formatCode>
                <c:ptCount val="11"/>
                <c:pt idx="0">
                  <c:v>10000</c:v>
                </c:pt>
                <c:pt idx="1">
                  <c:v>6947.75501872671</c:v>
                </c:pt>
                <c:pt idx="2">
                  <c:v>4332.68733806508</c:v>
                </c:pt>
                <c:pt idx="3">
                  <c:v>2080.26115424409</c:v>
                </c:pt>
                <c:pt idx="4">
                  <c:v>130.244196824326</c:v>
                </c:pt>
                <c:pt idx="5">
                  <c:v>-1566.29868288596</c:v>
                </c:pt>
                <c:pt idx="6">
                  <c:v>-3049.33091476741</c:v>
                </c:pt>
                <c:pt idx="7">
                  <c:v>-4351.65306111927</c:v>
                </c:pt>
                <c:pt idx="8">
                  <c:v>-5500.31756462758</c:v>
                </c:pt>
                <c:pt idx="9">
                  <c:v>-6517.74111522676</c:v>
                </c:pt>
                <c:pt idx="10">
                  <c:v>-7422.58374334768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'Ch7 ppt ex 3'!$F$21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'Ch7 ppt ex 3'!$G$19:$Q$19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'Ch7 ppt ex 3'!$G$21:$Q$21</c:f>
              <c:numCache>
                <c:formatCode>General</c:formatCode>
                <c:ptCount val="11"/>
                <c:pt idx="0">
                  <c:v>10000</c:v>
                </c:pt>
                <c:pt idx="1">
                  <c:v>8257.74162566523</c:v>
                </c:pt>
                <c:pt idx="2">
                  <c:v>6515.48325133046</c:v>
                </c:pt>
                <c:pt idx="3">
                  <c:v>4773.2248769957</c:v>
                </c:pt>
                <c:pt idx="4">
                  <c:v>3030.96650266093</c:v>
                </c:pt>
                <c:pt idx="5">
                  <c:v>1288.70812832616</c:v>
                </c:pt>
                <c:pt idx="6">
                  <c:v>-453.55024600861</c:v>
                </c:pt>
                <c:pt idx="7">
                  <c:v>-2195.80862034338</c:v>
                </c:pt>
                <c:pt idx="8">
                  <c:v>-3938.06699467815</c:v>
                </c:pt>
                <c:pt idx="9">
                  <c:v>-5680.32536901292</c:v>
                </c:pt>
                <c:pt idx="10">
                  <c:v>-7422.58374334768</c:v>
                </c:pt>
              </c:numCache>
            </c:numRef>
          </c:yVal>
          <c:smooth val="0"/>
        </c:ser>
        <c:axId val="35710958"/>
        <c:axId val="62537296"/>
      </c:scatterChart>
      <c:valAx>
        <c:axId val="357109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537296"/>
        <c:crosses val="autoZero"/>
        <c:crossBetween val="midCat"/>
      </c:valAx>
      <c:valAx>
        <c:axId val="625372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\$* #,##0_);_(\$* \(#,##0\);_(\$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71095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NPW at different interest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'Ex 7-12'!$C$38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0c0"/>
            </a:solidFill>
            <a:ln cap="rnd" w="2844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7-12'!$D$37:$I$37</c:f>
              <c:strCache>
                <c:ptCount val="6"/>
                <c:pt idx="0">
                  <c:v>0%</c:v>
                </c:pt>
                <c:pt idx="1">
                  <c:v>2%</c:v>
                </c:pt>
                <c:pt idx="2">
                  <c:v>5%</c:v>
                </c:pt>
                <c:pt idx="3">
                  <c:v>10%</c:v>
                </c:pt>
                <c:pt idx="4">
                  <c:v>15%</c:v>
                </c:pt>
                <c:pt idx="5">
                  <c:v>20%</c:v>
                </c:pt>
              </c:strCache>
            </c:strRef>
          </c:cat>
          <c:val>
            <c:numRef>
              <c:f>'Ex 7-12'!$D$38:$I$38</c:f>
              <c:numCache>
                <c:formatCode>General</c:formatCode>
                <c:ptCount val="6"/>
                <c:pt idx="0">
                  <c:v>8780</c:v>
                </c:pt>
                <c:pt idx="1">
                  <c:v>6448.56590719756</c:v>
                </c:pt>
                <c:pt idx="2">
                  <c:v>3963.35240888305</c:v>
                </c:pt>
                <c:pt idx="3">
                  <c:v>1440.16721692572</c:v>
                </c:pt>
                <c:pt idx="4">
                  <c:v>-0.287188286754251</c:v>
                </c:pt>
                <c:pt idx="5">
                  <c:v>-888.338550308161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 7-12'!$C$39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7-12'!$D$37:$I$37</c:f>
              <c:strCache>
                <c:ptCount val="6"/>
                <c:pt idx="0">
                  <c:v>0%</c:v>
                </c:pt>
                <c:pt idx="1">
                  <c:v>2%</c:v>
                </c:pt>
                <c:pt idx="2">
                  <c:v>5%</c:v>
                </c:pt>
                <c:pt idx="3">
                  <c:v>10%</c:v>
                </c:pt>
                <c:pt idx="4">
                  <c:v>15%</c:v>
                </c:pt>
                <c:pt idx="5">
                  <c:v>20%</c:v>
                </c:pt>
              </c:strCache>
            </c:strRef>
          </c:cat>
          <c:val>
            <c:numRef>
              <c:f>'Ex 7-12'!$D$39:$I$39</c:f>
              <c:numCache>
                <c:formatCode>General</c:formatCode>
                <c:ptCount val="6"/>
                <c:pt idx="0">
                  <c:v>6200</c:v>
                </c:pt>
                <c:pt idx="1">
                  <c:v>4704.08767128482</c:v>
                </c:pt>
                <c:pt idx="2">
                  <c:v>3109.50624044139</c:v>
                </c:pt>
                <c:pt idx="3">
                  <c:v>1490.56112510101</c:v>
                </c:pt>
                <c:pt idx="4">
                  <c:v>566.325904229156</c:v>
                </c:pt>
                <c:pt idx="5">
                  <c:v>-0.000156514541769681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 7-12'!$C$40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Pt>
            <c:idx val="0"/>
            <c:marker>
              <c:symbol val="circle"/>
              <c:size val="10"/>
              <c:spPr>
                <a:solidFill>
                  <a:srgbClr val="ff0000"/>
                </a:solidFill>
              </c:spPr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7-12'!$D$37:$I$37</c:f>
              <c:strCache>
                <c:ptCount val="6"/>
                <c:pt idx="0">
                  <c:v>0%</c:v>
                </c:pt>
                <c:pt idx="1">
                  <c:v>2%</c:v>
                </c:pt>
                <c:pt idx="2">
                  <c:v>5%</c:v>
                </c:pt>
                <c:pt idx="3">
                  <c:v>10%</c:v>
                </c:pt>
                <c:pt idx="4">
                  <c:v>15%</c:v>
                </c:pt>
                <c:pt idx="5">
                  <c:v>20%</c:v>
                </c:pt>
              </c:strCache>
            </c:strRef>
          </c:cat>
          <c:val>
            <c:numRef>
              <c:f>'Ex 7-12'!$D$40:$I$40</c:f>
              <c:numCache>
                <c:formatCode>General</c:formatCode>
                <c:ptCount val="6"/>
                <c:pt idx="0">
                  <c:v>9220</c:v>
                </c:pt>
                <c:pt idx="1">
                  <c:v>6443.4407752384</c:v>
                </c:pt>
                <c:pt idx="2">
                  <c:v>3483.74207067293</c:v>
                </c:pt>
                <c:pt idx="3">
                  <c:v>478.821990736263</c:v>
                </c:pt>
                <c:pt idx="4">
                  <c:v>-1236.64874849174</c:v>
                </c:pt>
                <c:pt idx="5">
                  <c:v>-2294.24982282396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 7-12'!$C$41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7-12'!$D$37:$I$37</c:f>
              <c:strCache>
                <c:ptCount val="6"/>
                <c:pt idx="0">
                  <c:v>0%</c:v>
                </c:pt>
                <c:pt idx="1">
                  <c:v>2%</c:v>
                </c:pt>
                <c:pt idx="2">
                  <c:v>5%</c:v>
                </c:pt>
                <c:pt idx="3">
                  <c:v>10%</c:v>
                </c:pt>
                <c:pt idx="4">
                  <c:v>15%</c:v>
                </c:pt>
                <c:pt idx="5">
                  <c:v>20%</c:v>
                </c:pt>
              </c:strCache>
            </c:strRef>
          </c:cat>
          <c:val>
            <c:numRef>
              <c:f>'Ex 7-12'!$D$41:$I$41</c:f>
              <c:numCache>
                <c:formatCode>General</c:formatCode>
                <c:ptCount val="6"/>
                <c:pt idx="0">
                  <c:v>1340</c:v>
                </c:pt>
                <c:pt idx="1">
                  <c:v>913.117701317862</c:v>
                </c:pt>
                <c:pt idx="2">
                  <c:v>458.078610077178</c:v>
                </c:pt>
                <c:pt idx="3">
                  <c:v>-3.91304478824872</c:v>
                </c:pt>
                <c:pt idx="4">
                  <c:v>-267.658217573631</c:v>
                </c:pt>
                <c:pt idx="5">
                  <c:v>-430.259171183184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 7-12'!$C$42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7-12'!$D$37:$I$37</c:f>
              <c:strCache>
                <c:ptCount val="6"/>
                <c:pt idx="0">
                  <c:v>0%</c:v>
                </c:pt>
                <c:pt idx="1">
                  <c:v>2%</c:v>
                </c:pt>
                <c:pt idx="2">
                  <c:v>5%</c:v>
                </c:pt>
                <c:pt idx="3">
                  <c:v>10%</c:v>
                </c:pt>
                <c:pt idx="4">
                  <c:v>15%</c:v>
                </c:pt>
                <c:pt idx="5">
                  <c:v>20%</c:v>
                </c:pt>
              </c:strCache>
            </c:strRef>
          </c:cat>
          <c:val>
            <c:numRef>
              <c:f>'Ex 7-12'!$D$42:$I$42</c:f>
              <c:numCache>
                <c:formatCode>General</c:formatCode>
                <c:ptCount val="6"/>
                <c:pt idx="0">
                  <c:v>6700</c:v>
                </c:pt>
                <c:pt idx="1">
                  <c:v>3835.87517550873</c:v>
                </c:pt>
                <c:pt idx="2">
                  <c:v>782.835118893886</c:v>
                </c:pt>
                <c:pt idx="3">
                  <c:v>-2316.85247998953</c:v>
                </c:pt>
                <c:pt idx="4">
                  <c:v>-4086.42479312223</c:v>
                </c:pt>
                <c:pt idx="5">
                  <c:v>-5177.37990922051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611216"/>
        <c:axId val="12323379"/>
      </c:lineChart>
      <c:catAx>
        <c:axId val="266112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23379"/>
        <c:crosses val="autoZero"/>
        <c:auto val="1"/>
        <c:lblAlgn val="ctr"/>
        <c:lblOffset val="100"/>
        <c:noMultiLvlLbl val="0"/>
      </c:catAx>
      <c:valAx>
        <c:axId val="12323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$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1121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'Ex 7-IRR limitations'!$B$6</c:f>
              <c:strCache>
                <c:ptCount val="1"/>
                <c:pt idx="0">
                  <c:v>payment / cost savings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'Ex 7-IRR limitations'!$B$7:$B$37</c:f>
              <c:numCache>
                <c:formatCode>General</c:formatCode>
                <c:ptCount val="31"/>
                <c:pt idx="0">
                  <c:v>-4000</c:v>
                </c:pt>
                <c:pt idx="1">
                  <c:v>639</c:v>
                </c:pt>
                <c:pt idx="2">
                  <c:v>639</c:v>
                </c:pt>
                <c:pt idx="3">
                  <c:v>639</c:v>
                </c:pt>
                <c:pt idx="4">
                  <c:v>639</c:v>
                </c:pt>
                <c:pt idx="5">
                  <c:v>-361</c:v>
                </c:pt>
                <c:pt idx="6">
                  <c:v>639</c:v>
                </c:pt>
                <c:pt idx="7">
                  <c:v>639</c:v>
                </c:pt>
                <c:pt idx="8">
                  <c:v>639</c:v>
                </c:pt>
                <c:pt idx="9">
                  <c:v>639</c:v>
                </c:pt>
                <c:pt idx="10">
                  <c:v>-361</c:v>
                </c:pt>
                <c:pt idx="11">
                  <c:v>639</c:v>
                </c:pt>
                <c:pt idx="12">
                  <c:v>639</c:v>
                </c:pt>
                <c:pt idx="13">
                  <c:v>639</c:v>
                </c:pt>
                <c:pt idx="14">
                  <c:v>639</c:v>
                </c:pt>
                <c:pt idx="15">
                  <c:v>-361</c:v>
                </c:pt>
                <c:pt idx="16">
                  <c:v>639</c:v>
                </c:pt>
                <c:pt idx="17">
                  <c:v>639</c:v>
                </c:pt>
                <c:pt idx="18">
                  <c:v>639</c:v>
                </c:pt>
                <c:pt idx="19">
                  <c:v>639</c:v>
                </c:pt>
                <c:pt idx="20">
                  <c:v>-361</c:v>
                </c:pt>
                <c:pt idx="21">
                  <c:v>639</c:v>
                </c:pt>
                <c:pt idx="22">
                  <c:v>639</c:v>
                </c:pt>
                <c:pt idx="23">
                  <c:v>639</c:v>
                </c:pt>
                <c:pt idx="24">
                  <c:v>639</c:v>
                </c:pt>
                <c:pt idx="25">
                  <c:v>-4361</c:v>
                </c:pt>
                <c:pt idx="26">
                  <c:v>639</c:v>
                </c:pt>
                <c:pt idx="27">
                  <c:v>639</c:v>
                </c:pt>
                <c:pt idx="28">
                  <c:v>639</c:v>
                </c:pt>
                <c:pt idx="29">
                  <c:v>639</c:v>
                </c:pt>
                <c:pt idx="30">
                  <c:v>-9361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 7-IRR limitations'!$D$3</c:f>
              <c:strCache>
                <c:ptCount val="1"/>
                <c:pt idx="0">
                  <c:v>PV @ 5%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'Ex 7-IRR limitations'!$D$7:$D$37</c:f>
              <c:numCache>
                <c:formatCode>General</c:formatCode>
                <c:ptCount val="31"/>
                <c:pt idx="0">
                  <c:v>-4000</c:v>
                </c:pt>
                <c:pt idx="1">
                  <c:v>608.571428571429</c:v>
                </c:pt>
                <c:pt idx="2">
                  <c:v>579.591836734694</c:v>
                </c:pt>
                <c:pt idx="3">
                  <c:v>551.992225461613</c:v>
                </c:pt>
                <c:pt idx="4">
                  <c:v>525.706881392013</c:v>
                </c:pt>
                <c:pt idx="5">
                  <c:v>-282.852946095114</c:v>
                </c:pt>
                <c:pt idx="6">
                  <c:v>476.831638450805</c:v>
                </c:pt>
                <c:pt idx="7">
                  <c:v>454.125369953148</c:v>
                </c:pt>
                <c:pt idx="8">
                  <c:v>432.500352336331</c:v>
                </c:pt>
                <c:pt idx="9">
                  <c:v>411.905097463172</c:v>
                </c:pt>
                <c:pt idx="10">
                  <c:v>-221.622684528214</c:v>
                </c:pt>
                <c:pt idx="11">
                  <c:v>373.610065726233</c:v>
                </c:pt>
                <c:pt idx="12">
                  <c:v>355.81911021546</c:v>
                </c:pt>
                <c:pt idx="13">
                  <c:v>338.875343062343</c:v>
                </c:pt>
                <c:pt idx="14">
                  <c:v>322.738421964136</c:v>
                </c:pt>
                <c:pt idx="15">
                  <c:v>-173.64717241084</c:v>
                </c:pt>
                <c:pt idx="16">
                  <c:v>292.733262552505</c:v>
                </c:pt>
                <c:pt idx="17">
                  <c:v>278.793583383338</c:v>
                </c:pt>
                <c:pt idx="18">
                  <c:v>265.517698460322</c:v>
                </c:pt>
                <c:pt idx="19">
                  <c:v>252.87399853364</c:v>
                </c:pt>
                <c:pt idx="20">
                  <c:v>-136.057103317153</c:v>
                </c:pt>
                <c:pt idx="21">
                  <c:v>229.364171005569</c:v>
                </c:pt>
                <c:pt idx="22">
                  <c:v>218.442067624351</c:v>
                </c:pt>
                <c:pt idx="23">
                  <c:v>208.040064404144</c:v>
                </c:pt>
                <c:pt idx="24">
                  <c:v>198.133394670613</c:v>
                </c:pt>
                <c:pt idx="25">
                  <c:v>-1287.81538737394</c:v>
                </c:pt>
                <c:pt idx="26">
                  <c:v>179.712829633209</c:v>
                </c:pt>
                <c:pt idx="27">
                  <c:v>171.155075841152</c:v>
                </c:pt>
                <c:pt idx="28">
                  <c:v>163.00483413443</c:v>
                </c:pt>
                <c:pt idx="29">
                  <c:v>155.242699175648</c:v>
                </c:pt>
                <c:pt idx="30">
                  <c:v>-2165.92429686749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141491"/>
        <c:axId val="3843626"/>
      </c:lineChart>
      <c:catAx>
        <c:axId val="411414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3626"/>
        <c:crosses val="autoZero"/>
        <c:auto val="1"/>
        <c:lblAlgn val="ctr"/>
        <c:lblOffset val="100"/>
        <c:noMultiLvlLbl val="0"/>
      </c:catAx>
      <c:valAx>
        <c:axId val="38436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414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5.png"/><Relationship Id="rId3" Type="http://schemas.openxmlformats.org/officeDocument/2006/relationships/image" Target="../media/image1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9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1.png"/><Relationship Id="rId6" Type="http://schemas.openxmlformats.org/officeDocument/2006/relationships/image" Target="../media/image13.png"/><Relationship Id="rId7" Type="http://schemas.openxmlformats.org/officeDocument/2006/relationships/image" Target="../media/image15.png"/><Relationship Id="rId8" Type="http://schemas.openxmlformats.org/officeDocument/2006/relationships/image" Target="../media/image12.png"/><Relationship Id="rId9" Type="http://schemas.openxmlformats.org/officeDocument/2006/relationships/image" Target="../media/image17.png"/><Relationship Id="rId10" Type="http://schemas.openxmlformats.org/officeDocument/2006/relationships/image" Target="../media/image16.png"/><Relationship Id="rId11" Type="http://schemas.openxmlformats.org/officeDocument/2006/relationships/image" Target="../media/image20.png"/><Relationship Id="rId12" Type="http://schemas.openxmlformats.org/officeDocument/2006/relationships/image" Target="../media/image21.png"/><Relationship Id="rId13" Type="http://schemas.openxmlformats.org/officeDocument/2006/relationships/image" Target="../media/image22.png"/><Relationship Id="rId14" Type="http://schemas.openxmlformats.org/officeDocument/2006/relationships/image" Target="../media/image23.png"/><Relationship Id="rId15" Type="http://schemas.openxmlformats.org/officeDocument/2006/relationships/image" Target="../media/image24.png"/><Relationship Id="rId16" Type="http://schemas.openxmlformats.org/officeDocument/2006/relationships/image" Target="../media/image10.png"/><Relationship Id="rId17" Type="http://schemas.openxmlformats.org/officeDocument/2006/relationships/image" Target="../media/image25.png"/><Relationship Id="rId18" Type="http://schemas.openxmlformats.org/officeDocument/2006/relationships/image" Target="../media/image26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0.png"/><Relationship Id="rId3" Type="http://schemas.openxmlformats.org/officeDocument/2006/relationships/image" Target="../media/image28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Relationship Id="rId3" Type="http://schemas.openxmlformats.org/officeDocument/2006/relationships/image" Target="../media/image29.pn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Relationship Id="rId3" Type="http://schemas.openxmlformats.org/officeDocument/2006/relationships/image" Target="../media/image22.pn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0.png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0.png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0.png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0.png"/><Relationship Id="rId3" Type="http://schemas.openxmlformats.org/officeDocument/2006/relationships/image" Target="../media/image4.png"/><Relationship Id="rId4" Type="http://schemas.openxmlformats.org/officeDocument/2006/relationships/image" Target="../media/image30.png"/>
</Relationships>
</file>

<file path=xl/drawings/_rels/drawing3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2.png"/>
</Relationships>
</file>

<file path=xl/drawings/_rels/drawing32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3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34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2.png"/>
</Relationships>
</file>

<file path=xl/drawings/_rels/drawing35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36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7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8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2.png"/>
</Relationships>
</file>

<file path=xl/drawings/_rels/drawing39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41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163440</xdr:colOff>
      <xdr:row>6</xdr:row>
      <xdr:rowOff>128880</xdr:rowOff>
    </xdr:from>
    <xdr:to>
      <xdr:col>6</xdr:col>
      <xdr:colOff>209160</xdr:colOff>
      <xdr:row>7</xdr:row>
      <xdr:rowOff>283320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3636720" y="1271880"/>
          <a:ext cx="1191600" cy="344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40680</xdr:rowOff>
    </xdr:from>
    <xdr:to>
      <xdr:col>5</xdr:col>
      <xdr:colOff>361800</xdr:colOff>
      <xdr:row>6</xdr:row>
      <xdr:rowOff>109080</xdr:rowOff>
    </xdr:to>
    <xdr:pic>
      <xdr:nvPicPr>
        <xdr:cNvPr id="14" name="Picture 3" descr=""/>
        <xdr:cNvPicPr/>
      </xdr:nvPicPr>
      <xdr:blipFill>
        <a:blip r:embed="rId1"/>
        <a:stretch/>
      </xdr:blipFill>
      <xdr:spPr>
        <a:xfrm>
          <a:off x="3290400" y="612360"/>
          <a:ext cx="2645280" cy="63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277200</xdr:colOff>
      <xdr:row>2</xdr:row>
      <xdr:rowOff>104040</xdr:rowOff>
    </xdr:from>
    <xdr:to>
      <xdr:col>9</xdr:col>
      <xdr:colOff>493200</xdr:colOff>
      <xdr:row>5</xdr:row>
      <xdr:rowOff>167400</xdr:rowOff>
    </xdr:to>
    <xdr:pic>
      <xdr:nvPicPr>
        <xdr:cNvPr id="15" name="Picture 2" descr=""/>
        <xdr:cNvPicPr/>
      </xdr:nvPicPr>
      <xdr:blipFill>
        <a:blip r:embed="rId1"/>
        <a:stretch/>
      </xdr:blipFill>
      <xdr:spPr>
        <a:xfrm>
          <a:off x="5200920" y="484920"/>
          <a:ext cx="2309040" cy="63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121320</xdr:colOff>
      <xdr:row>7</xdr:row>
      <xdr:rowOff>138600</xdr:rowOff>
    </xdr:from>
    <xdr:to>
      <xdr:col>9</xdr:col>
      <xdr:colOff>541440</xdr:colOff>
      <xdr:row>10</xdr:row>
      <xdr:rowOff>152640</xdr:rowOff>
    </xdr:to>
    <xdr:pic>
      <xdr:nvPicPr>
        <xdr:cNvPr id="16" name="Picture 3" descr=""/>
        <xdr:cNvPicPr/>
      </xdr:nvPicPr>
      <xdr:blipFill>
        <a:blip r:embed="rId2"/>
        <a:stretch/>
      </xdr:blipFill>
      <xdr:spPr>
        <a:xfrm>
          <a:off x="5045040" y="1662480"/>
          <a:ext cx="2513160" cy="585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257040</xdr:colOff>
      <xdr:row>14</xdr:row>
      <xdr:rowOff>123120</xdr:rowOff>
    </xdr:from>
    <xdr:to>
      <xdr:col>9</xdr:col>
      <xdr:colOff>174240</xdr:colOff>
      <xdr:row>18</xdr:row>
      <xdr:rowOff>74160</xdr:rowOff>
    </xdr:to>
    <xdr:pic>
      <xdr:nvPicPr>
        <xdr:cNvPr id="17" name="Picture 3" descr=""/>
        <xdr:cNvPicPr/>
      </xdr:nvPicPr>
      <xdr:blipFill>
        <a:blip r:embed="rId1"/>
        <a:stretch/>
      </xdr:blipFill>
      <xdr:spPr>
        <a:xfrm>
          <a:off x="5180760" y="2790000"/>
          <a:ext cx="2010240" cy="713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414720</xdr:colOff>
      <xdr:row>3</xdr:row>
      <xdr:rowOff>89640</xdr:rowOff>
    </xdr:from>
    <xdr:to>
      <xdr:col>2</xdr:col>
      <xdr:colOff>780120</xdr:colOff>
      <xdr:row>7</xdr:row>
      <xdr:rowOff>40680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918360" y="661320"/>
          <a:ext cx="1976400" cy="712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403560</xdr:colOff>
      <xdr:row>10</xdr:row>
      <xdr:rowOff>0</xdr:rowOff>
    </xdr:from>
    <xdr:to>
      <xdr:col>9</xdr:col>
      <xdr:colOff>69480</xdr:colOff>
      <xdr:row>12</xdr:row>
      <xdr:rowOff>180360</xdr:rowOff>
    </xdr:to>
    <xdr:pic>
      <xdr:nvPicPr>
        <xdr:cNvPr id="19" name="Picture 2" descr=""/>
        <xdr:cNvPicPr/>
      </xdr:nvPicPr>
      <xdr:blipFill>
        <a:blip r:embed="rId1"/>
        <a:srcRect l="10889" t="0" r="0" b="0"/>
        <a:stretch/>
      </xdr:blipFill>
      <xdr:spPr>
        <a:xfrm>
          <a:off x="3978000" y="1905120"/>
          <a:ext cx="3319560" cy="5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515520</xdr:colOff>
      <xdr:row>3</xdr:row>
      <xdr:rowOff>67320</xdr:rowOff>
    </xdr:from>
    <xdr:to>
      <xdr:col>8</xdr:col>
      <xdr:colOff>264240</xdr:colOff>
      <xdr:row>7</xdr:row>
      <xdr:rowOff>79200</xdr:rowOff>
    </xdr:to>
    <xdr:pic>
      <xdr:nvPicPr>
        <xdr:cNvPr id="20" name="Picture 3" descr=""/>
        <xdr:cNvPicPr/>
      </xdr:nvPicPr>
      <xdr:blipFill>
        <a:blip r:embed="rId2"/>
        <a:stretch/>
      </xdr:blipFill>
      <xdr:spPr>
        <a:xfrm>
          <a:off x="4089960" y="639000"/>
          <a:ext cx="2667960" cy="773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142920</xdr:colOff>
      <xdr:row>4</xdr:row>
      <xdr:rowOff>66240</xdr:rowOff>
    </xdr:from>
    <xdr:to>
      <xdr:col>8</xdr:col>
      <xdr:colOff>497880</xdr:colOff>
      <xdr:row>7</xdr:row>
      <xdr:rowOff>56160</xdr:rowOff>
    </xdr:to>
    <xdr:pic>
      <xdr:nvPicPr>
        <xdr:cNvPr id="21" name="Picture 3" descr=""/>
        <xdr:cNvPicPr/>
      </xdr:nvPicPr>
      <xdr:blipFill>
        <a:blip r:embed="rId1"/>
        <a:srcRect l="10889" t="0" r="0" b="0"/>
        <a:stretch/>
      </xdr:blipFill>
      <xdr:spPr>
        <a:xfrm>
          <a:off x="5348520" y="828360"/>
          <a:ext cx="3274200" cy="5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237960</xdr:colOff>
      <xdr:row>8</xdr:row>
      <xdr:rowOff>85680</xdr:rowOff>
    </xdr:from>
    <xdr:to>
      <xdr:col>8</xdr:col>
      <xdr:colOff>135720</xdr:colOff>
      <xdr:row>12</xdr:row>
      <xdr:rowOff>143280</xdr:rowOff>
    </xdr:to>
    <xdr:pic>
      <xdr:nvPicPr>
        <xdr:cNvPr id="22" name="Picture 6" descr=""/>
        <xdr:cNvPicPr/>
      </xdr:nvPicPr>
      <xdr:blipFill>
        <a:blip r:embed="rId2"/>
        <a:stretch/>
      </xdr:blipFill>
      <xdr:spPr>
        <a:xfrm>
          <a:off x="5443560" y="1609560"/>
          <a:ext cx="2817000" cy="81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561960</xdr:colOff>
      <xdr:row>14</xdr:row>
      <xdr:rowOff>0</xdr:rowOff>
    </xdr:from>
    <xdr:to>
      <xdr:col>6</xdr:col>
      <xdr:colOff>478800</xdr:colOff>
      <xdr:row>16</xdr:row>
      <xdr:rowOff>136800</xdr:rowOff>
    </xdr:to>
    <xdr:pic>
      <xdr:nvPicPr>
        <xdr:cNvPr id="23" name="Picture 1" descr=""/>
        <xdr:cNvPicPr/>
      </xdr:nvPicPr>
      <xdr:blipFill>
        <a:blip r:embed="rId3"/>
        <a:stretch/>
      </xdr:blipFill>
      <xdr:spPr>
        <a:xfrm>
          <a:off x="5767560" y="2666880"/>
          <a:ext cx="1789560" cy="51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596520</xdr:colOff>
      <xdr:row>12</xdr:row>
      <xdr:rowOff>149040</xdr:rowOff>
    </xdr:from>
    <xdr:to>
      <xdr:col>10</xdr:col>
      <xdr:colOff>220680</xdr:colOff>
      <xdr:row>15</xdr:row>
      <xdr:rowOff>132120</xdr:rowOff>
    </xdr:to>
    <xdr:pic>
      <xdr:nvPicPr>
        <xdr:cNvPr id="24" name="Picture 1" descr=""/>
        <xdr:cNvPicPr/>
      </xdr:nvPicPr>
      <xdr:blipFill>
        <a:blip r:embed="rId1"/>
        <a:stretch/>
      </xdr:blipFill>
      <xdr:spPr>
        <a:xfrm>
          <a:off x="8377200" y="2435040"/>
          <a:ext cx="1429920" cy="554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142920</xdr:colOff>
      <xdr:row>4</xdr:row>
      <xdr:rowOff>63360</xdr:rowOff>
    </xdr:from>
    <xdr:to>
      <xdr:col>4</xdr:col>
      <xdr:colOff>1994760</xdr:colOff>
      <xdr:row>4</xdr:row>
      <xdr:rowOff>610200</xdr:rowOff>
    </xdr:to>
    <xdr:pic>
      <xdr:nvPicPr>
        <xdr:cNvPr id="25" name="Picture 1" descr=""/>
        <xdr:cNvPicPr/>
      </xdr:nvPicPr>
      <xdr:blipFill>
        <a:blip r:embed="rId1"/>
        <a:stretch/>
      </xdr:blipFill>
      <xdr:spPr>
        <a:xfrm>
          <a:off x="5326560" y="920520"/>
          <a:ext cx="1851840" cy="5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181080</xdr:colOff>
      <xdr:row>5</xdr:row>
      <xdr:rowOff>102960</xdr:rowOff>
    </xdr:from>
    <xdr:to>
      <xdr:col>4</xdr:col>
      <xdr:colOff>1995480</xdr:colOff>
      <xdr:row>5</xdr:row>
      <xdr:rowOff>638640</xdr:rowOff>
    </xdr:to>
    <xdr:pic>
      <xdr:nvPicPr>
        <xdr:cNvPr id="26" name="Picture 3" descr=""/>
        <xdr:cNvPicPr/>
      </xdr:nvPicPr>
      <xdr:blipFill>
        <a:blip r:embed="rId2"/>
        <a:stretch/>
      </xdr:blipFill>
      <xdr:spPr>
        <a:xfrm>
          <a:off x="5364720" y="1655640"/>
          <a:ext cx="1814400" cy="53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114120</xdr:colOff>
      <xdr:row>3</xdr:row>
      <xdr:rowOff>123840</xdr:rowOff>
    </xdr:from>
    <xdr:to>
      <xdr:col>13</xdr:col>
      <xdr:colOff>510120</xdr:colOff>
      <xdr:row>4</xdr:row>
      <xdr:rowOff>568080</xdr:rowOff>
    </xdr:to>
    <xdr:pic>
      <xdr:nvPicPr>
        <xdr:cNvPr id="27" name="Picture 6" descr=""/>
        <xdr:cNvPicPr/>
      </xdr:nvPicPr>
      <xdr:blipFill>
        <a:blip r:embed="rId3"/>
        <a:stretch/>
      </xdr:blipFill>
      <xdr:spPr>
        <a:xfrm>
          <a:off x="10156680" y="790560"/>
          <a:ext cx="2201760" cy="63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219240</xdr:colOff>
      <xdr:row>3</xdr:row>
      <xdr:rowOff>160200</xdr:rowOff>
    </xdr:from>
    <xdr:to>
      <xdr:col>19</xdr:col>
      <xdr:colOff>304560</xdr:colOff>
      <xdr:row>4</xdr:row>
      <xdr:rowOff>555120</xdr:rowOff>
    </xdr:to>
    <xdr:pic>
      <xdr:nvPicPr>
        <xdr:cNvPr id="28" name="Picture 7" descr=""/>
        <xdr:cNvPicPr/>
      </xdr:nvPicPr>
      <xdr:blipFill>
        <a:blip r:embed="rId4"/>
        <a:stretch/>
      </xdr:blipFill>
      <xdr:spPr>
        <a:xfrm>
          <a:off x="12669840" y="826920"/>
          <a:ext cx="2444760" cy="58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50040</xdr:colOff>
      <xdr:row>5</xdr:row>
      <xdr:rowOff>584280</xdr:rowOff>
    </xdr:from>
    <xdr:to>
      <xdr:col>13</xdr:col>
      <xdr:colOff>559440</xdr:colOff>
      <xdr:row>6</xdr:row>
      <xdr:rowOff>427320</xdr:rowOff>
    </xdr:to>
    <xdr:pic>
      <xdr:nvPicPr>
        <xdr:cNvPr id="29" name="Picture 8" descr=""/>
        <xdr:cNvPicPr/>
      </xdr:nvPicPr>
      <xdr:blipFill>
        <a:blip r:embed="rId5"/>
        <a:stretch/>
      </xdr:blipFill>
      <xdr:spPr>
        <a:xfrm>
          <a:off x="9206640" y="2136960"/>
          <a:ext cx="3201120" cy="61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352440</xdr:colOff>
      <xdr:row>6</xdr:row>
      <xdr:rowOff>34920</xdr:rowOff>
    </xdr:from>
    <xdr:to>
      <xdr:col>3</xdr:col>
      <xdr:colOff>117720</xdr:colOff>
      <xdr:row>6</xdr:row>
      <xdr:rowOff>657000</xdr:rowOff>
    </xdr:to>
    <xdr:pic>
      <xdr:nvPicPr>
        <xdr:cNvPr id="30" name="Picture 9" descr=""/>
        <xdr:cNvPicPr/>
      </xdr:nvPicPr>
      <xdr:blipFill>
        <a:blip r:embed="rId6"/>
        <a:stretch/>
      </xdr:blipFill>
      <xdr:spPr>
        <a:xfrm>
          <a:off x="954360" y="2359080"/>
          <a:ext cx="2232360" cy="62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276840</xdr:colOff>
      <xdr:row>11</xdr:row>
      <xdr:rowOff>111960</xdr:rowOff>
    </xdr:from>
    <xdr:to>
      <xdr:col>12</xdr:col>
      <xdr:colOff>172080</xdr:colOff>
      <xdr:row>14</xdr:row>
      <xdr:rowOff>180360</xdr:rowOff>
    </xdr:to>
    <xdr:pic>
      <xdr:nvPicPr>
        <xdr:cNvPr id="31" name="Picture 10" descr=""/>
        <xdr:cNvPicPr/>
      </xdr:nvPicPr>
      <xdr:blipFill>
        <a:blip r:embed="rId7"/>
        <a:stretch/>
      </xdr:blipFill>
      <xdr:spPr>
        <a:xfrm>
          <a:off x="8831520" y="3998160"/>
          <a:ext cx="2586960" cy="64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228600</xdr:colOff>
      <xdr:row>4</xdr:row>
      <xdr:rowOff>56880</xdr:rowOff>
    </xdr:from>
    <xdr:to>
      <xdr:col>3</xdr:col>
      <xdr:colOff>1689480</xdr:colOff>
      <xdr:row>4</xdr:row>
      <xdr:rowOff>608040</xdr:rowOff>
    </xdr:to>
    <xdr:pic>
      <xdr:nvPicPr>
        <xdr:cNvPr id="32" name="Picture 11" descr=""/>
        <xdr:cNvPicPr/>
      </xdr:nvPicPr>
      <xdr:blipFill>
        <a:blip r:embed="rId8"/>
        <a:stretch/>
      </xdr:blipFill>
      <xdr:spPr>
        <a:xfrm>
          <a:off x="3297600" y="914040"/>
          <a:ext cx="1460880" cy="55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142920</xdr:colOff>
      <xdr:row>6</xdr:row>
      <xdr:rowOff>81720</xdr:rowOff>
    </xdr:from>
    <xdr:to>
      <xdr:col>3</xdr:col>
      <xdr:colOff>1829160</xdr:colOff>
      <xdr:row>6</xdr:row>
      <xdr:rowOff>602640</xdr:rowOff>
    </xdr:to>
    <xdr:pic>
      <xdr:nvPicPr>
        <xdr:cNvPr id="33" name="Picture 13" descr=""/>
        <xdr:cNvPicPr/>
      </xdr:nvPicPr>
      <xdr:blipFill>
        <a:blip r:embed="rId9"/>
        <a:stretch/>
      </xdr:blipFill>
      <xdr:spPr>
        <a:xfrm>
          <a:off x="3211920" y="2405880"/>
          <a:ext cx="1686240" cy="520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124560</xdr:colOff>
      <xdr:row>16</xdr:row>
      <xdr:rowOff>64440</xdr:rowOff>
    </xdr:from>
    <xdr:to>
      <xdr:col>12</xdr:col>
      <xdr:colOff>570240</xdr:colOff>
      <xdr:row>19</xdr:row>
      <xdr:rowOff>54360</xdr:rowOff>
    </xdr:to>
    <xdr:pic>
      <xdr:nvPicPr>
        <xdr:cNvPr id="34" name="Picture 15" descr=""/>
        <xdr:cNvPicPr/>
      </xdr:nvPicPr>
      <xdr:blipFill>
        <a:blip r:embed="rId10"/>
        <a:srcRect l="10889" t="0" r="0" b="0"/>
        <a:stretch/>
      </xdr:blipFill>
      <xdr:spPr>
        <a:xfrm>
          <a:off x="8679240" y="4903200"/>
          <a:ext cx="3137400" cy="5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70200</xdr:colOff>
      <xdr:row>7</xdr:row>
      <xdr:rowOff>76320</xdr:rowOff>
    </xdr:from>
    <xdr:to>
      <xdr:col>2</xdr:col>
      <xdr:colOff>1694160</xdr:colOff>
      <xdr:row>9</xdr:row>
      <xdr:rowOff>56880</xdr:rowOff>
    </xdr:to>
    <xdr:pic>
      <xdr:nvPicPr>
        <xdr:cNvPr id="35" name="Picture 16" descr=""/>
        <xdr:cNvPicPr/>
      </xdr:nvPicPr>
      <xdr:blipFill>
        <a:blip r:embed="rId11"/>
        <a:srcRect l="10547" t="7480" r="36415" b="2868"/>
        <a:stretch/>
      </xdr:blipFill>
      <xdr:spPr>
        <a:xfrm>
          <a:off x="1105200" y="3095640"/>
          <a:ext cx="1623960" cy="36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372600</xdr:colOff>
      <xdr:row>9</xdr:row>
      <xdr:rowOff>76320</xdr:rowOff>
    </xdr:from>
    <xdr:to>
      <xdr:col>2</xdr:col>
      <xdr:colOff>1899360</xdr:colOff>
      <xdr:row>11</xdr:row>
      <xdr:rowOff>92160</xdr:rowOff>
    </xdr:to>
    <xdr:pic>
      <xdr:nvPicPr>
        <xdr:cNvPr id="36" name="Picture 17" descr=""/>
        <xdr:cNvPicPr/>
      </xdr:nvPicPr>
      <xdr:blipFill>
        <a:blip r:embed="rId12"/>
        <a:stretch/>
      </xdr:blipFill>
      <xdr:spPr>
        <a:xfrm>
          <a:off x="974520" y="3476880"/>
          <a:ext cx="1959840" cy="50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12</xdr:row>
      <xdr:rowOff>57600</xdr:rowOff>
    </xdr:from>
    <xdr:to>
      <xdr:col>3</xdr:col>
      <xdr:colOff>944280</xdr:colOff>
      <xdr:row>14</xdr:row>
      <xdr:rowOff>151920</xdr:rowOff>
    </xdr:to>
    <xdr:pic>
      <xdr:nvPicPr>
        <xdr:cNvPr id="37" name="Picture 18" descr=""/>
        <xdr:cNvPicPr/>
      </xdr:nvPicPr>
      <xdr:blipFill>
        <a:blip r:embed="rId13"/>
        <a:srcRect l="10210" t="0" r="0" b="0"/>
        <a:stretch/>
      </xdr:blipFill>
      <xdr:spPr>
        <a:xfrm>
          <a:off x="878040" y="4134240"/>
          <a:ext cx="3135240" cy="47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38160</xdr:colOff>
      <xdr:row>5</xdr:row>
      <xdr:rowOff>190440</xdr:rowOff>
    </xdr:from>
    <xdr:to>
      <xdr:col>2</xdr:col>
      <xdr:colOff>1756800</xdr:colOff>
      <xdr:row>5</xdr:row>
      <xdr:rowOff>617400</xdr:rowOff>
    </xdr:to>
    <xdr:pic>
      <xdr:nvPicPr>
        <xdr:cNvPr id="38" name="Picture 19" descr=""/>
        <xdr:cNvPicPr/>
      </xdr:nvPicPr>
      <xdr:blipFill>
        <a:blip r:embed="rId14"/>
        <a:stretch/>
      </xdr:blipFill>
      <xdr:spPr>
        <a:xfrm>
          <a:off x="1073160" y="1743120"/>
          <a:ext cx="1718640" cy="426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1790640</xdr:colOff>
      <xdr:row>4</xdr:row>
      <xdr:rowOff>561960</xdr:rowOff>
    </xdr:from>
    <xdr:to>
      <xdr:col>3</xdr:col>
      <xdr:colOff>142560</xdr:colOff>
      <xdr:row>5</xdr:row>
      <xdr:rowOff>104760</xdr:rowOff>
    </xdr:to>
    <xdr:cxnSp>
      <xdr:nvCxnSpPr>
        <xdr:cNvPr id="39" name="Straight Connector 21"/>
        <xdr:cNvCxnSpPr/>
      </xdr:nvCxnSpPr>
      <xdr:spPr>
        <a:xfrm flipV="1">
          <a:off x="2825640" y="1419120"/>
          <a:ext cx="386280" cy="238680"/>
        </a:xfrm>
        <a:prstGeom prst="straightConnector1">
          <a:avLst/>
        </a:prstGeom>
        <a:ln>
          <a:solidFill>
            <a:srgbClr val="ed7d31"/>
          </a:solidFill>
        </a:ln>
      </xdr:spPr>
    </xdr:cxnSp>
    <xdr:clientData/>
  </xdr:twoCellAnchor>
  <xdr:twoCellAnchor editAs="twoCell">
    <xdr:from>
      <xdr:col>2</xdr:col>
      <xdr:colOff>1790640</xdr:colOff>
      <xdr:row>4</xdr:row>
      <xdr:rowOff>599760</xdr:rowOff>
    </xdr:from>
    <xdr:to>
      <xdr:col>4</xdr:col>
      <xdr:colOff>142560</xdr:colOff>
      <xdr:row>6</xdr:row>
      <xdr:rowOff>56880</xdr:rowOff>
    </xdr:to>
    <xdr:cxnSp>
      <xdr:nvCxnSpPr>
        <xdr:cNvPr id="40" name="Straight Connector 22"/>
        <xdr:cNvCxnSpPr/>
      </xdr:nvCxnSpPr>
      <xdr:spPr>
        <a:xfrm flipV="1">
          <a:off x="2825640" y="1456920"/>
          <a:ext cx="2500920" cy="924480"/>
        </a:xfrm>
        <a:prstGeom prst="straightConnector1">
          <a:avLst/>
        </a:prstGeom>
        <a:ln>
          <a:solidFill>
            <a:srgbClr val="ed7d31"/>
          </a:solidFill>
        </a:ln>
      </xdr:spPr>
    </xdr:cxnSp>
    <xdr:clientData/>
  </xdr:twoCellAnchor>
  <xdr:twoCellAnchor editAs="twoCell">
    <xdr:from>
      <xdr:col>3</xdr:col>
      <xdr:colOff>1885680</xdr:colOff>
      <xdr:row>5</xdr:row>
      <xdr:rowOff>676080</xdr:rowOff>
    </xdr:from>
    <xdr:to>
      <xdr:col>4</xdr:col>
      <xdr:colOff>123480</xdr:colOff>
      <xdr:row>6</xdr:row>
      <xdr:rowOff>66600</xdr:rowOff>
    </xdr:to>
    <xdr:cxnSp>
      <xdr:nvCxnSpPr>
        <xdr:cNvPr id="41" name="Straight Connector 23"/>
        <xdr:cNvCxnSpPr/>
      </xdr:nvCxnSpPr>
      <xdr:spPr>
        <a:xfrm flipV="1">
          <a:off x="4954680" y="2228760"/>
          <a:ext cx="352800" cy="162360"/>
        </a:xfrm>
        <a:prstGeom prst="straightConnector1">
          <a:avLst/>
        </a:prstGeom>
        <a:ln>
          <a:solidFill>
            <a:srgbClr val="ed7d31"/>
          </a:solidFill>
        </a:ln>
      </xdr:spPr>
    </xdr:cxnSp>
    <xdr:clientData/>
  </xdr:twoCellAnchor>
  <xdr:twoCellAnchor editAs="oneCell">
    <xdr:from>
      <xdr:col>8</xdr:col>
      <xdr:colOff>169920</xdr:colOff>
      <xdr:row>20</xdr:row>
      <xdr:rowOff>15840</xdr:rowOff>
    </xdr:from>
    <xdr:to>
      <xdr:col>12</xdr:col>
      <xdr:colOff>478080</xdr:colOff>
      <xdr:row>22</xdr:row>
      <xdr:rowOff>134640</xdr:rowOff>
    </xdr:to>
    <xdr:pic>
      <xdr:nvPicPr>
        <xdr:cNvPr id="42" name="Picture 4" descr=""/>
        <xdr:cNvPicPr/>
      </xdr:nvPicPr>
      <xdr:blipFill>
        <a:blip r:embed="rId15"/>
        <a:stretch/>
      </xdr:blipFill>
      <xdr:spPr>
        <a:xfrm>
          <a:off x="8724600" y="5616720"/>
          <a:ext cx="2999880" cy="49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542880</xdr:colOff>
      <xdr:row>5</xdr:row>
      <xdr:rowOff>489600</xdr:rowOff>
    </xdr:from>
    <xdr:to>
      <xdr:col>25</xdr:col>
      <xdr:colOff>392760</xdr:colOff>
      <xdr:row>6</xdr:row>
      <xdr:rowOff>360000</xdr:rowOff>
    </xdr:to>
    <xdr:pic>
      <xdr:nvPicPr>
        <xdr:cNvPr id="43" name="Picture 5" descr=""/>
        <xdr:cNvPicPr/>
      </xdr:nvPicPr>
      <xdr:blipFill>
        <a:blip r:embed="rId16"/>
        <a:stretch/>
      </xdr:blipFill>
      <xdr:spPr>
        <a:xfrm>
          <a:off x="13547160" y="2042280"/>
          <a:ext cx="5267520" cy="64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12</xdr:col>
      <xdr:colOff>720</xdr:colOff>
      <xdr:row>47</xdr:row>
      <xdr:rowOff>112320</xdr:rowOff>
    </xdr:to>
    <xdr:pic>
      <xdr:nvPicPr>
        <xdr:cNvPr id="44" name="Picture 2" descr=""/>
        <xdr:cNvPicPr/>
      </xdr:nvPicPr>
      <xdr:blipFill>
        <a:blip r:embed="rId17"/>
        <a:stretch/>
      </xdr:blipFill>
      <xdr:spPr>
        <a:xfrm>
          <a:off x="9156600" y="10630080"/>
          <a:ext cx="2090520" cy="49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594000</xdr:colOff>
      <xdr:row>8</xdr:row>
      <xdr:rowOff>89640</xdr:rowOff>
    </xdr:from>
    <xdr:to>
      <xdr:col>13</xdr:col>
      <xdr:colOff>106560</xdr:colOff>
      <xdr:row>10</xdr:row>
      <xdr:rowOff>101160</xdr:rowOff>
    </xdr:to>
    <xdr:pic>
      <xdr:nvPicPr>
        <xdr:cNvPr id="45" name="Picture 20" descr=""/>
        <xdr:cNvPicPr/>
      </xdr:nvPicPr>
      <xdr:blipFill>
        <a:blip r:embed="rId18"/>
        <a:stretch/>
      </xdr:blipFill>
      <xdr:spPr>
        <a:xfrm>
          <a:off x="9148680" y="3299400"/>
          <a:ext cx="2806200" cy="49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425880</xdr:colOff>
      <xdr:row>2</xdr:row>
      <xdr:rowOff>45000</xdr:rowOff>
    </xdr:from>
    <xdr:to>
      <xdr:col>7</xdr:col>
      <xdr:colOff>70560</xdr:colOff>
      <xdr:row>5</xdr:row>
      <xdr:rowOff>78120</xdr:rowOff>
    </xdr:to>
    <xdr:pic>
      <xdr:nvPicPr>
        <xdr:cNvPr id="46" name="Picture 1" descr=""/>
        <xdr:cNvPicPr/>
      </xdr:nvPicPr>
      <xdr:blipFill>
        <a:blip r:embed="rId1"/>
        <a:stretch/>
      </xdr:blipFill>
      <xdr:spPr>
        <a:xfrm>
          <a:off x="2606400" y="425880"/>
          <a:ext cx="2052720" cy="60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7</xdr:row>
      <xdr:rowOff>19080</xdr:rowOff>
    </xdr:from>
    <xdr:to>
      <xdr:col>6</xdr:col>
      <xdr:colOff>263520</xdr:colOff>
      <xdr:row>9</xdr:row>
      <xdr:rowOff>173880</xdr:rowOff>
    </xdr:to>
    <xdr:pic>
      <xdr:nvPicPr>
        <xdr:cNvPr id="47" name="Picture 4" descr=""/>
        <xdr:cNvPicPr/>
      </xdr:nvPicPr>
      <xdr:blipFill>
        <a:blip r:embed="rId1"/>
        <a:stretch/>
      </xdr:blipFill>
      <xdr:spPr>
        <a:xfrm>
          <a:off x="4440600" y="1352520"/>
          <a:ext cx="1814040" cy="53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87840</xdr:colOff>
      <xdr:row>8</xdr:row>
      <xdr:rowOff>14760</xdr:rowOff>
    </xdr:from>
    <xdr:to>
      <xdr:col>4</xdr:col>
      <xdr:colOff>116640</xdr:colOff>
      <xdr:row>9</xdr:row>
      <xdr:rowOff>145440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2746080" y="2224440"/>
          <a:ext cx="1146240" cy="321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7</xdr:row>
      <xdr:rowOff>19080</xdr:rowOff>
    </xdr:from>
    <xdr:to>
      <xdr:col>6</xdr:col>
      <xdr:colOff>263520</xdr:colOff>
      <xdr:row>9</xdr:row>
      <xdr:rowOff>173880</xdr:rowOff>
    </xdr:to>
    <xdr:pic>
      <xdr:nvPicPr>
        <xdr:cNvPr id="48" name="Picture 2" descr=""/>
        <xdr:cNvPicPr/>
      </xdr:nvPicPr>
      <xdr:blipFill>
        <a:blip r:embed="rId1"/>
        <a:stretch/>
      </xdr:blipFill>
      <xdr:spPr>
        <a:xfrm>
          <a:off x="4440600" y="1352520"/>
          <a:ext cx="1814040" cy="53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219240</xdr:colOff>
      <xdr:row>3</xdr:row>
      <xdr:rowOff>9360</xdr:rowOff>
    </xdr:from>
    <xdr:to>
      <xdr:col>7</xdr:col>
      <xdr:colOff>60840</xdr:colOff>
      <xdr:row>5</xdr:row>
      <xdr:rowOff>1440</xdr:rowOff>
    </xdr:to>
    <xdr:pic>
      <xdr:nvPicPr>
        <xdr:cNvPr id="49" name="Picture 3" descr=""/>
        <xdr:cNvPicPr/>
      </xdr:nvPicPr>
      <xdr:blipFill>
        <a:blip r:embed="rId2"/>
        <a:srcRect l="10547" t="7480" r="0" b="0"/>
        <a:stretch/>
      </xdr:blipFill>
      <xdr:spPr>
        <a:xfrm>
          <a:off x="4388040" y="581040"/>
          <a:ext cx="2912400" cy="37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9360</xdr:colOff>
      <xdr:row>14</xdr:row>
      <xdr:rowOff>104760</xdr:rowOff>
    </xdr:from>
    <xdr:to>
      <xdr:col>6</xdr:col>
      <xdr:colOff>347400</xdr:colOff>
      <xdr:row>17</xdr:row>
      <xdr:rowOff>97560</xdr:rowOff>
    </xdr:to>
    <xdr:pic>
      <xdr:nvPicPr>
        <xdr:cNvPr id="50" name="Picture 5" descr=""/>
        <xdr:cNvPicPr/>
      </xdr:nvPicPr>
      <xdr:blipFill>
        <a:blip r:embed="rId3"/>
        <a:stretch/>
      </xdr:blipFill>
      <xdr:spPr>
        <a:xfrm>
          <a:off x="4449960" y="2771640"/>
          <a:ext cx="1888560" cy="564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75960</xdr:colOff>
      <xdr:row>9</xdr:row>
      <xdr:rowOff>95040</xdr:rowOff>
    </xdr:from>
    <xdr:to>
      <xdr:col>8</xdr:col>
      <xdr:colOff>266400</xdr:colOff>
      <xdr:row>15</xdr:row>
      <xdr:rowOff>37800</xdr:rowOff>
    </xdr:to>
    <xdr:cxnSp>
      <xdr:nvCxnSpPr>
        <xdr:cNvPr id="51" name="Straight Arrow Connector 2"/>
        <xdr:cNvCxnSpPr/>
      </xdr:nvCxnSpPr>
      <xdr:spPr>
        <a:xfrm flipV="1">
          <a:off x="6568920" y="1809720"/>
          <a:ext cx="502560" cy="1086120"/>
        </a:xfrm>
        <a:prstGeom prst="straightConnector1">
          <a:avLst/>
        </a:prstGeom>
        <a:ln w="31750">
          <a:solidFill>
            <a:srgbClr val="ff0000"/>
          </a:solidFill>
          <a:tailEnd len="med" type="triangle" w="lg"/>
        </a:ln>
      </xdr:spPr>
    </xdr:cxnSp>
    <xdr:clientData/>
  </xdr:twoCellAnchor>
  <xdr:twoCellAnchor editAs="twoCell">
    <xdr:from>
      <xdr:col>3</xdr:col>
      <xdr:colOff>85680</xdr:colOff>
      <xdr:row>13</xdr:row>
      <xdr:rowOff>123480</xdr:rowOff>
    </xdr:from>
    <xdr:to>
      <xdr:col>5</xdr:col>
      <xdr:colOff>99720</xdr:colOff>
      <xdr:row>13</xdr:row>
      <xdr:rowOff>133200</xdr:rowOff>
    </xdr:to>
    <xdr:cxnSp>
      <xdr:nvCxnSpPr>
        <xdr:cNvPr id="52" name="Straight Arrow Connector 4"/>
        <xdr:cNvCxnSpPr/>
      </xdr:nvCxnSpPr>
      <xdr:spPr>
        <a:xfrm flipV="1">
          <a:off x="3267720" y="2599920"/>
          <a:ext cx="729360" cy="10080"/>
        </a:xfrm>
        <a:prstGeom prst="straightConnector1">
          <a:avLst/>
        </a:prstGeom>
        <a:ln w="31750">
          <a:solidFill>
            <a:srgbClr val="ff0000"/>
          </a:solidFill>
          <a:tailEnd len="med" type="triangle" w="lg"/>
        </a:ln>
      </xdr:spPr>
    </xdr:cxnSp>
    <xdr:clientData/>
  </xdr:twoCellAnchor>
  <xdr:twoCellAnchor editAs="twoCell">
    <xdr:from>
      <xdr:col>8</xdr:col>
      <xdr:colOff>323640</xdr:colOff>
      <xdr:row>6</xdr:row>
      <xdr:rowOff>180720</xdr:rowOff>
    </xdr:from>
    <xdr:to>
      <xdr:col>8</xdr:col>
      <xdr:colOff>333360</xdr:colOff>
      <xdr:row>12</xdr:row>
      <xdr:rowOff>28440</xdr:rowOff>
    </xdr:to>
    <xdr:cxnSp>
      <xdr:nvCxnSpPr>
        <xdr:cNvPr id="53" name="Straight Arrow Connector 6"/>
        <xdr:cNvCxnSpPr/>
      </xdr:nvCxnSpPr>
      <xdr:spPr>
        <a:xfrm flipV="1">
          <a:off x="7128360" y="1323720"/>
          <a:ext cx="10080" cy="991080"/>
        </a:xfrm>
        <a:prstGeom prst="straightConnector1">
          <a:avLst/>
        </a:prstGeom>
        <a:ln w="31750">
          <a:solidFill>
            <a:srgbClr val="ff0000"/>
          </a:solidFill>
        </a:ln>
      </xdr:spPr>
    </xdr:cxnSp>
    <xdr:clientData/>
  </xdr:twoCellAnchor>
  <xdr:twoCellAnchor editAs="twoCell">
    <xdr:from>
      <xdr:col>2</xdr:col>
      <xdr:colOff>76320</xdr:colOff>
      <xdr:row>6</xdr:row>
      <xdr:rowOff>123840</xdr:rowOff>
    </xdr:from>
    <xdr:to>
      <xdr:col>3</xdr:col>
      <xdr:colOff>114120</xdr:colOff>
      <xdr:row>12</xdr:row>
      <xdr:rowOff>95040</xdr:rowOff>
    </xdr:to>
    <xdr:sp>
      <xdr:nvSpPr>
        <xdr:cNvPr id="54" name="Rounded Rectangle 1"/>
        <xdr:cNvSpPr/>
      </xdr:nvSpPr>
      <xdr:spPr>
        <a:xfrm>
          <a:off x="1838520" y="1266840"/>
          <a:ext cx="1457640" cy="1114200"/>
        </a:xfrm>
        <a:prstGeom prst="roundRect">
          <a:avLst>
            <a:gd name="adj" fmla="val 16667"/>
          </a:avLst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295200</xdr:colOff>
      <xdr:row>16</xdr:row>
      <xdr:rowOff>104760</xdr:rowOff>
    </xdr:from>
    <xdr:to>
      <xdr:col>2</xdr:col>
      <xdr:colOff>590040</xdr:colOff>
      <xdr:row>22</xdr:row>
      <xdr:rowOff>113760</xdr:rowOff>
    </xdr:to>
    <xdr:sp>
      <xdr:nvSpPr>
        <xdr:cNvPr id="55" name="Rounded Rectangular Callout 3"/>
        <xdr:cNvSpPr/>
      </xdr:nvSpPr>
      <xdr:spPr>
        <a:xfrm>
          <a:off x="778320" y="3152880"/>
          <a:ext cx="1573920" cy="1152000"/>
        </a:xfrm>
        <a:prstGeom prst="wedgeRoundRectCallout">
          <a:avLst>
            <a:gd name="adj1" fmla="val 39282"/>
            <a:gd name="adj2" fmla="val -114209"/>
            <a:gd name="adj3" fmla="val 16667"/>
          </a:avLst>
        </a:prstGeom>
        <a:noFill/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accent5">
                  <a:lumMod val="50000"/>
                </a:schemeClr>
              </a:solidFill>
              <a:latin typeface="Calibri"/>
            </a:rPr>
            <a:t>The F to P formula must be applied separately for each year, since non-uniform.values.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209520</xdr:colOff>
      <xdr:row>4</xdr:row>
      <xdr:rowOff>85680</xdr:rowOff>
    </xdr:from>
    <xdr:to>
      <xdr:col>11</xdr:col>
      <xdr:colOff>209160</xdr:colOff>
      <xdr:row>6</xdr:row>
      <xdr:rowOff>66240</xdr:rowOff>
    </xdr:to>
    <xdr:pic>
      <xdr:nvPicPr>
        <xdr:cNvPr id="56" name="Picture 2" descr=""/>
        <xdr:cNvPicPr/>
      </xdr:nvPicPr>
      <xdr:blipFill>
        <a:blip r:embed="rId1"/>
        <a:srcRect l="10547" t="7480" r="36415" b="2868"/>
        <a:stretch/>
      </xdr:blipFill>
      <xdr:spPr>
        <a:xfrm>
          <a:off x="7177320" y="847800"/>
          <a:ext cx="172116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133200</xdr:colOff>
      <xdr:row>7</xdr:row>
      <xdr:rowOff>152280</xdr:rowOff>
    </xdr:from>
    <xdr:to>
      <xdr:col>11</xdr:col>
      <xdr:colOff>445320</xdr:colOff>
      <xdr:row>10</xdr:row>
      <xdr:rowOff>78480</xdr:rowOff>
    </xdr:to>
    <xdr:pic>
      <xdr:nvPicPr>
        <xdr:cNvPr id="57" name="Picture 5" descr=""/>
        <xdr:cNvPicPr/>
      </xdr:nvPicPr>
      <xdr:blipFill>
        <a:blip r:embed="rId2"/>
        <a:stretch/>
      </xdr:blipFill>
      <xdr:spPr>
        <a:xfrm>
          <a:off x="7101000" y="1485720"/>
          <a:ext cx="2033640" cy="497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254520</xdr:colOff>
      <xdr:row>6</xdr:row>
      <xdr:rowOff>96840</xdr:rowOff>
    </xdr:from>
    <xdr:to>
      <xdr:col>9</xdr:col>
      <xdr:colOff>702000</xdr:colOff>
      <xdr:row>8</xdr:row>
      <xdr:rowOff>77400</xdr:rowOff>
    </xdr:to>
    <xdr:pic>
      <xdr:nvPicPr>
        <xdr:cNvPr id="58" name="Picture 1" descr=""/>
        <xdr:cNvPicPr/>
      </xdr:nvPicPr>
      <xdr:blipFill>
        <a:blip r:embed="rId1"/>
        <a:srcRect l="10547" t="7480" r="36415" b="2868"/>
        <a:stretch/>
      </xdr:blipFill>
      <xdr:spPr>
        <a:xfrm>
          <a:off x="6517440" y="1239840"/>
          <a:ext cx="169596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133200</xdr:colOff>
      <xdr:row>9</xdr:row>
      <xdr:rowOff>73800</xdr:rowOff>
    </xdr:from>
    <xdr:to>
      <xdr:col>9</xdr:col>
      <xdr:colOff>892800</xdr:colOff>
      <xdr:row>11</xdr:row>
      <xdr:rowOff>190440</xdr:rowOff>
    </xdr:to>
    <xdr:pic>
      <xdr:nvPicPr>
        <xdr:cNvPr id="59" name="Picture 2" descr=""/>
        <xdr:cNvPicPr/>
      </xdr:nvPicPr>
      <xdr:blipFill>
        <a:blip r:embed="rId2"/>
        <a:stretch/>
      </xdr:blipFill>
      <xdr:spPr>
        <a:xfrm>
          <a:off x="6396120" y="1788480"/>
          <a:ext cx="2008080" cy="49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178560</xdr:colOff>
      <xdr:row>13</xdr:row>
      <xdr:rowOff>6120</xdr:rowOff>
    </xdr:from>
    <xdr:to>
      <xdr:col>9</xdr:col>
      <xdr:colOff>1147320</xdr:colOff>
      <xdr:row>15</xdr:row>
      <xdr:rowOff>12960</xdr:rowOff>
    </xdr:to>
    <xdr:pic>
      <xdr:nvPicPr>
        <xdr:cNvPr id="60" name="Picture 3" descr=""/>
        <xdr:cNvPicPr/>
      </xdr:nvPicPr>
      <xdr:blipFill>
        <a:blip r:embed="rId3"/>
        <a:stretch/>
      </xdr:blipFill>
      <xdr:spPr>
        <a:xfrm>
          <a:off x="6441480" y="2482560"/>
          <a:ext cx="2217240" cy="38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276840</xdr:colOff>
      <xdr:row>13</xdr:row>
      <xdr:rowOff>7200</xdr:rowOff>
    </xdr:from>
    <xdr:to>
      <xdr:col>8</xdr:col>
      <xdr:colOff>735480</xdr:colOff>
      <xdr:row>14</xdr:row>
      <xdr:rowOff>178200</xdr:rowOff>
    </xdr:to>
    <xdr:pic>
      <xdr:nvPicPr>
        <xdr:cNvPr id="61" name="Picture 1" descr=""/>
        <xdr:cNvPicPr/>
      </xdr:nvPicPr>
      <xdr:blipFill>
        <a:blip r:embed="rId1"/>
        <a:srcRect l="10547" t="7480" r="36415" b="2868"/>
        <a:stretch/>
      </xdr:blipFill>
      <xdr:spPr>
        <a:xfrm>
          <a:off x="5452200" y="2674080"/>
          <a:ext cx="1687320" cy="36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325800</xdr:colOff>
      <xdr:row>14</xdr:row>
      <xdr:rowOff>172440</xdr:rowOff>
    </xdr:from>
    <xdr:to>
      <xdr:col>8</xdr:col>
      <xdr:colOff>1096560</xdr:colOff>
      <xdr:row>17</xdr:row>
      <xdr:rowOff>98640</xdr:rowOff>
    </xdr:to>
    <xdr:pic>
      <xdr:nvPicPr>
        <xdr:cNvPr id="62" name="Picture 2" descr=""/>
        <xdr:cNvPicPr/>
      </xdr:nvPicPr>
      <xdr:blipFill>
        <a:blip r:embed="rId2"/>
        <a:stretch/>
      </xdr:blipFill>
      <xdr:spPr>
        <a:xfrm>
          <a:off x="5501160" y="3030120"/>
          <a:ext cx="1999440" cy="49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235440</xdr:colOff>
      <xdr:row>21</xdr:row>
      <xdr:rowOff>7920</xdr:rowOff>
    </xdr:from>
    <xdr:to>
      <xdr:col>9</xdr:col>
      <xdr:colOff>1247760</xdr:colOff>
      <xdr:row>23</xdr:row>
      <xdr:rowOff>146880</xdr:rowOff>
    </xdr:to>
    <xdr:pic>
      <xdr:nvPicPr>
        <xdr:cNvPr id="63" name="Picture 3" descr=""/>
        <xdr:cNvPicPr/>
      </xdr:nvPicPr>
      <xdr:blipFill>
        <a:blip r:embed="rId3"/>
        <a:srcRect l="10210" t="0" r="0" b="0"/>
        <a:stretch/>
      </xdr:blipFill>
      <xdr:spPr>
        <a:xfrm>
          <a:off x="5410800" y="4199040"/>
          <a:ext cx="3489480" cy="519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800280</xdr:colOff>
      <xdr:row>15</xdr:row>
      <xdr:rowOff>133200</xdr:rowOff>
    </xdr:from>
    <xdr:to>
      <xdr:col>21</xdr:col>
      <xdr:colOff>523800</xdr:colOff>
      <xdr:row>17</xdr:row>
      <xdr:rowOff>180360</xdr:rowOff>
    </xdr:to>
    <xdr:sp>
      <xdr:nvSpPr>
        <xdr:cNvPr id="64" name="TextBox 4"/>
        <xdr:cNvSpPr/>
      </xdr:nvSpPr>
      <xdr:spPr>
        <a:xfrm>
          <a:off x="15748200" y="3181320"/>
          <a:ext cx="579600" cy="428040"/>
        </a:xfrm>
        <a:prstGeom prst="rect">
          <a:avLst/>
        </a:prstGeom>
        <a:solidFill>
          <a:schemeClr val="lt1"/>
        </a:solidFill>
        <a:ln w="9525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0000"/>
              </a:solidFill>
              <a:latin typeface="Calibri"/>
            </a:rPr>
            <a:t>same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228600</xdr:colOff>
      <xdr:row>16</xdr:row>
      <xdr:rowOff>123480</xdr:rowOff>
    </xdr:from>
    <xdr:to>
      <xdr:col>20</xdr:col>
      <xdr:colOff>580680</xdr:colOff>
      <xdr:row>16</xdr:row>
      <xdr:rowOff>161640</xdr:rowOff>
    </xdr:to>
    <xdr:cxnSp>
      <xdr:nvCxnSpPr>
        <xdr:cNvPr id="65" name="Straight Arrow Connector 6"/>
        <xdr:cNvCxnSpPr/>
      </xdr:nvCxnSpPr>
      <xdr:spPr>
        <a:xfrm flipH="1">
          <a:off x="14371200" y="3362040"/>
          <a:ext cx="1157760" cy="38520"/>
        </a:xfrm>
        <a:prstGeom prst="straightConnector1">
          <a:avLst/>
        </a:prstGeom>
        <a:ln>
          <a:solidFill>
            <a:srgbClr val="ed7d31"/>
          </a:solidFill>
          <a:tailEnd len="med" type="triangle" w="med"/>
        </a:ln>
      </xdr:spPr>
    </xdr:cxnSp>
    <xdr:clientData/>
  </xdr:twoCellAnchor>
  <xdr:twoCellAnchor editAs="twoCell">
    <xdr:from>
      <xdr:col>22</xdr:col>
      <xdr:colOff>18720</xdr:colOff>
      <xdr:row>16</xdr:row>
      <xdr:rowOff>114120</xdr:rowOff>
    </xdr:from>
    <xdr:to>
      <xdr:col>24</xdr:col>
      <xdr:colOff>857160</xdr:colOff>
      <xdr:row>16</xdr:row>
      <xdr:rowOff>161640</xdr:rowOff>
    </xdr:to>
    <xdr:cxnSp>
      <xdr:nvCxnSpPr>
        <xdr:cNvPr id="66" name="Straight Arrow Connector 7"/>
        <xdr:cNvCxnSpPr/>
      </xdr:nvCxnSpPr>
      <xdr:spPr>
        <a:xfrm flipV="1">
          <a:off x="16424640" y="3352680"/>
          <a:ext cx="2117520" cy="47880"/>
        </a:xfrm>
        <a:prstGeom prst="straightConnector1">
          <a:avLst/>
        </a:prstGeom>
        <a:ln>
          <a:solidFill>
            <a:srgbClr val="ed7d31"/>
          </a:solidFill>
          <a:tailEnd len="med" type="triangle" w="med"/>
        </a:ln>
      </xdr:spPr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57240</xdr:colOff>
      <xdr:row>16</xdr:row>
      <xdr:rowOff>171360</xdr:rowOff>
    </xdr:from>
    <xdr:to>
      <xdr:col>6</xdr:col>
      <xdr:colOff>55080</xdr:colOff>
      <xdr:row>19</xdr:row>
      <xdr:rowOff>97560</xdr:rowOff>
    </xdr:to>
    <xdr:pic>
      <xdr:nvPicPr>
        <xdr:cNvPr id="67" name="Picture 4" descr=""/>
        <xdr:cNvPicPr/>
      </xdr:nvPicPr>
      <xdr:blipFill>
        <a:blip r:embed="rId1"/>
        <a:stretch/>
      </xdr:blipFill>
      <xdr:spPr>
        <a:xfrm>
          <a:off x="4497840" y="3219480"/>
          <a:ext cx="2051280" cy="49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205200</xdr:colOff>
      <xdr:row>7</xdr:row>
      <xdr:rowOff>46800</xdr:rowOff>
    </xdr:from>
    <xdr:to>
      <xdr:col>6</xdr:col>
      <xdr:colOff>879840</xdr:colOff>
      <xdr:row>8</xdr:row>
      <xdr:rowOff>282960</xdr:rowOff>
    </xdr:to>
    <xdr:pic>
      <xdr:nvPicPr>
        <xdr:cNvPr id="68" name="Picture 1" descr=""/>
        <xdr:cNvPicPr/>
      </xdr:nvPicPr>
      <xdr:blipFill>
        <a:blip r:embed="rId1"/>
        <a:stretch/>
      </xdr:blipFill>
      <xdr:spPr>
        <a:xfrm>
          <a:off x="4774680" y="1380240"/>
          <a:ext cx="1419480" cy="42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161280</xdr:colOff>
      <xdr:row>5</xdr:row>
      <xdr:rowOff>153720</xdr:rowOff>
    </xdr:from>
    <xdr:to>
      <xdr:col>8</xdr:col>
      <xdr:colOff>32400</xdr:colOff>
      <xdr:row>7</xdr:row>
      <xdr:rowOff>73800</xdr:rowOff>
    </xdr:to>
    <xdr:pic>
      <xdr:nvPicPr>
        <xdr:cNvPr id="69" name="Picture 2" descr=""/>
        <xdr:cNvPicPr/>
      </xdr:nvPicPr>
      <xdr:blipFill>
        <a:blip r:embed="rId2"/>
        <a:stretch/>
      </xdr:blipFill>
      <xdr:spPr>
        <a:xfrm>
          <a:off x="4730760" y="1106280"/>
          <a:ext cx="1914480" cy="30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205200</xdr:colOff>
      <xdr:row>7</xdr:row>
      <xdr:rowOff>46800</xdr:rowOff>
    </xdr:from>
    <xdr:to>
      <xdr:col>6</xdr:col>
      <xdr:colOff>879840</xdr:colOff>
      <xdr:row>8</xdr:row>
      <xdr:rowOff>282960</xdr:rowOff>
    </xdr:to>
    <xdr:pic>
      <xdr:nvPicPr>
        <xdr:cNvPr id="70" name="Picture 1" descr=""/>
        <xdr:cNvPicPr/>
      </xdr:nvPicPr>
      <xdr:blipFill>
        <a:blip r:embed="rId1"/>
        <a:stretch/>
      </xdr:blipFill>
      <xdr:spPr>
        <a:xfrm>
          <a:off x="4774680" y="1380240"/>
          <a:ext cx="1419480" cy="42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161280</xdr:colOff>
      <xdr:row>5</xdr:row>
      <xdr:rowOff>153720</xdr:rowOff>
    </xdr:from>
    <xdr:to>
      <xdr:col>8</xdr:col>
      <xdr:colOff>32400</xdr:colOff>
      <xdr:row>7</xdr:row>
      <xdr:rowOff>73800</xdr:rowOff>
    </xdr:to>
    <xdr:pic>
      <xdr:nvPicPr>
        <xdr:cNvPr id="71" name="Picture 3" descr=""/>
        <xdr:cNvPicPr/>
      </xdr:nvPicPr>
      <xdr:blipFill>
        <a:blip r:embed="rId2"/>
        <a:stretch/>
      </xdr:blipFill>
      <xdr:spPr>
        <a:xfrm>
          <a:off x="4730760" y="1106280"/>
          <a:ext cx="1914480" cy="30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205200</xdr:colOff>
      <xdr:row>7</xdr:row>
      <xdr:rowOff>46800</xdr:rowOff>
    </xdr:from>
    <xdr:to>
      <xdr:col>6</xdr:col>
      <xdr:colOff>879840</xdr:colOff>
      <xdr:row>8</xdr:row>
      <xdr:rowOff>282960</xdr:rowOff>
    </xdr:to>
    <xdr:pic>
      <xdr:nvPicPr>
        <xdr:cNvPr id="72" name="Picture 1" descr=""/>
        <xdr:cNvPicPr/>
      </xdr:nvPicPr>
      <xdr:blipFill>
        <a:blip r:embed="rId1"/>
        <a:stretch/>
      </xdr:blipFill>
      <xdr:spPr>
        <a:xfrm>
          <a:off x="4774680" y="1380240"/>
          <a:ext cx="1419480" cy="42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161280</xdr:colOff>
      <xdr:row>5</xdr:row>
      <xdr:rowOff>153720</xdr:rowOff>
    </xdr:from>
    <xdr:to>
      <xdr:col>8</xdr:col>
      <xdr:colOff>32400</xdr:colOff>
      <xdr:row>7</xdr:row>
      <xdr:rowOff>73800</xdr:rowOff>
    </xdr:to>
    <xdr:pic>
      <xdr:nvPicPr>
        <xdr:cNvPr id="73" name="Picture 2" descr=""/>
        <xdr:cNvPicPr/>
      </xdr:nvPicPr>
      <xdr:blipFill>
        <a:blip r:embed="rId2"/>
        <a:stretch/>
      </xdr:blipFill>
      <xdr:spPr>
        <a:xfrm>
          <a:off x="4730760" y="1106280"/>
          <a:ext cx="1914480" cy="30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74520</xdr:colOff>
      <xdr:row>8</xdr:row>
      <xdr:rowOff>13320</xdr:rowOff>
    </xdr:from>
    <xdr:to>
      <xdr:col>8</xdr:col>
      <xdr:colOff>154800</xdr:colOff>
      <xdr:row>9</xdr:row>
      <xdr:rowOff>228960</xdr:rowOff>
    </xdr:to>
    <xdr:pic>
      <xdr:nvPicPr>
        <xdr:cNvPr id="74" name="Picture 1" descr=""/>
        <xdr:cNvPicPr/>
      </xdr:nvPicPr>
      <xdr:blipFill>
        <a:blip r:embed="rId1"/>
        <a:stretch/>
      </xdr:blipFill>
      <xdr:spPr>
        <a:xfrm>
          <a:off x="5388840" y="1813680"/>
          <a:ext cx="1378800" cy="40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695880</xdr:colOff>
      <xdr:row>5</xdr:row>
      <xdr:rowOff>173880</xdr:rowOff>
    </xdr:from>
    <xdr:to>
      <xdr:col>8</xdr:col>
      <xdr:colOff>563040</xdr:colOff>
      <xdr:row>6</xdr:row>
      <xdr:rowOff>284400</xdr:rowOff>
    </xdr:to>
    <xdr:pic>
      <xdr:nvPicPr>
        <xdr:cNvPr id="75" name="Picture 4" descr=""/>
        <xdr:cNvPicPr/>
      </xdr:nvPicPr>
      <xdr:blipFill>
        <a:blip r:embed="rId2"/>
        <a:stretch/>
      </xdr:blipFill>
      <xdr:spPr>
        <a:xfrm>
          <a:off x="5265360" y="1126440"/>
          <a:ext cx="1910520" cy="30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107640</xdr:colOff>
      <xdr:row>8</xdr:row>
      <xdr:rowOff>41400</xdr:rowOff>
    </xdr:from>
    <xdr:to>
      <xdr:col>3</xdr:col>
      <xdr:colOff>496800</xdr:colOff>
      <xdr:row>9</xdr:row>
      <xdr:rowOff>145080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311480" y="1565280"/>
          <a:ext cx="991440" cy="294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290880</xdr:colOff>
      <xdr:row>7</xdr:row>
      <xdr:rowOff>75240</xdr:rowOff>
    </xdr:from>
    <xdr:to>
      <xdr:col>8</xdr:col>
      <xdr:colOff>317880</xdr:colOff>
      <xdr:row>8</xdr:row>
      <xdr:rowOff>311400</xdr:rowOff>
    </xdr:to>
    <xdr:pic>
      <xdr:nvPicPr>
        <xdr:cNvPr id="76" name="Picture 1" descr=""/>
        <xdr:cNvPicPr/>
      </xdr:nvPicPr>
      <xdr:blipFill>
        <a:blip r:embed="rId1"/>
        <a:stretch/>
      </xdr:blipFill>
      <xdr:spPr>
        <a:xfrm>
          <a:off x="5605200" y="1408680"/>
          <a:ext cx="1456560" cy="42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285120</xdr:colOff>
      <xdr:row>5</xdr:row>
      <xdr:rowOff>144360</xdr:rowOff>
    </xdr:from>
    <xdr:to>
      <xdr:col>8</xdr:col>
      <xdr:colOff>736920</xdr:colOff>
      <xdr:row>7</xdr:row>
      <xdr:rowOff>64440</xdr:rowOff>
    </xdr:to>
    <xdr:pic>
      <xdr:nvPicPr>
        <xdr:cNvPr id="77" name="Picture 2" descr=""/>
        <xdr:cNvPicPr/>
      </xdr:nvPicPr>
      <xdr:blipFill>
        <a:blip r:embed="rId2"/>
        <a:stretch/>
      </xdr:blipFill>
      <xdr:spPr>
        <a:xfrm>
          <a:off x="5599440" y="1096920"/>
          <a:ext cx="1881360" cy="30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395640</xdr:colOff>
      <xdr:row>7</xdr:row>
      <xdr:rowOff>37440</xdr:rowOff>
    </xdr:from>
    <xdr:to>
      <xdr:col>27</xdr:col>
      <xdr:colOff>475560</xdr:colOff>
      <xdr:row>8</xdr:row>
      <xdr:rowOff>273600</xdr:rowOff>
    </xdr:to>
    <xdr:pic>
      <xdr:nvPicPr>
        <xdr:cNvPr id="78" name="Picture 3" descr=""/>
        <xdr:cNvPicPr/>
      </xdr:nvPicPr>
      <xdr:blipFill>
        <a:blip r:embed="rId3"/>
        <a:stretch/>
      </xdr:blipFill>
      <xdr:spPr>
        <a:xfrm>
          <a:off x="20099520" y="1370880"/>
          <a:ext cx="1378800" cy="42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304200</xdr:colOff>
      <xdr:row>5</xdr:row>
      <xdr:rowOff>115920</xdr:rowOff>
    </xdr:from>
    <xdr:to>
      <xdr:col>27</xdr:col>
      <xdr:colOff>814320</xdr:colOff>
      <xdr:row>7</xdr:row>
      <xdr:rowOff>36360</xdr:rowOff>
    </xdr:to>
    <xdr:pic>
      <xdr:nvPicPr>
        <xdr:cNvPr id="79" name="Picture 4" descr=""/>
        <xdr:cNvPicPr/>
      </xdr:nvPicPr>
      <xdr:blipFill>
        <a:blip r:embed="rId4"/>
        <a:stretch/>
      </xdr:blipFill>
      <xdr:spPr>
        <a:xfrm>
          <a:off x="20008080" y="1068480"/>
          <a:ext cx="1809000" cy="30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190440</xdr:colOff>
      <xdr:row>3</xdr:row>
      <xdr:rowOff>166320</xdr:rowOff>
    </xdr:from>
    <xdr:to>
      <xdr:col>4</xdr:col>
      <xdr:colOff>940320</xdr:colOff>
      <xdr:row>6</xdr:row>
      <xdr:rowOff>180000</xdr:rowOff>
    </xdr:to>
    <xdr:pic>
      <xdr:nvPicPr>
        <xdr:cNvPr id="80" name="Picture 1" descr=""/>
        <xdr:cNvPicPr/>
      </xdr:nvPicPr>
      <xdr:blipFill>
        <a:blip r:embed="rId1"/>
        <a:stretch/>
      </xdr:blipFill>
      <xdr:spPr>
        <a:xfrm>
          <a:off x="4741560" y="738000"/>
          <a:ext cx="2048400" cy="58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380880</xdr:colOff>
      <xdr:row>7</xdr:row>
      <xdr:rowOff>80280</xdr:rowOff>
    </xdr:from>
    <xdr:to>
      <xdr:col>4</xdr:col>
      <xdr:colOff>824760</xdr:colOff>
      <xdr:row>10</xdr:row>
      <xdr:rowOff>141480</xdr:rowOff>
    </xdr:to>
    <xdr:pic>
      <xdr:nvPicPr>
        <xdr:cNvPr id="81" name="Picture 2" descr=""/>
        <xdr:cNvPicPr/>
      </xdr:nvPicPr>
      <xdr:blipFill>
        <a:blip r:embed="rId2"/>
        <a:stretch/>
      </xdr:blipFill>
      <xdr:spPr>
        <a:xfrm>
          <a:off x="4932000" y="1413720"/>
          <a:ext cx="1742400" cy="632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67320</xdr:colOff>
      <xdr:row>2</xdr:row>
      <xdr:rowOff>125640</xdr:rowOff>
    </xdr:from>
    <xdr:to>
      <xdr:col>4</xdr:col>
      <xdr:colOff>1029960</xdr:colOff>
      <xdr:row>6</xdr:row>
      <xdr:rowOff>11880</xdr:rowOff>
    </xdr:to>
    <xdr:pic>
      <xdr:nvPicPr>
        <xdr:cNvPr id="82" name="Picture 3" descr=""/>
        <xdr:cNvPicPr/>
      </xdr:nvPicPr>
      <xdr:blipFill>
        <a:blip r:embed="rId1"/>
        <a:stretch/>
      </xdr:blipFill>
      <xdr:spPr>
        <a:xfrm>
          <a:off x="4618440" y="506520"/>
          <a:ext cx="2261160" cy="648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0</xdr:colOff>
      <xdr:row>3</xdr:row>
      <xdr:rowOff>107640</xdr:rowOff>
    </xdr:from>
    <xdr:to>
      <xdr:col>27</xdr:col>
      <xdr:colOff>167760</xdr:colOff>
      <xdr:row>17</xdr:row>
      <xdr:rowOff>183600</xdr:rowOff>
    </xdr:to>
    <xdr:graphicFrame>
      <xdr:nvGraphicFramePr>
        <xdr:cNvPr id="83" name="Chart 2"/>
        <xdr:cNvGraphicFramePr/>
      </xdr:nvGraphicFramePr>
      <xdr:xfrm>
        <a:off x="11426760" y="679320"/>
        <a:ext cx="3934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56160</xdr:colOff>
      <xdr:row>18</xdr:row>
      <xdr:rowOff>186120</xdr:rowOff>
    </xdr:from>
    <xdr:to>
      <xdr:col>27</xdr:col>
      <xdr:colOff>123120</xdr:colOff>
      <xdr:row>33</xdr:row>
      <xdr:rowOff>71640</xdr:rowOff>
    </xdr:to>
    <xdr:graphicFrame>
      <xdr:nvGraphicFramePr>
        <xdr:cNvPr id="84" name="Chart 3"/>
        <xdr:cNvGraphicFramePr/>
      </xdr:nvGraphicFramePr>
      <xdr:xfrm>
        <a:off x="11482920" y="3615120"/>
        <a:ext cx="3834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125280</xdr:colOff>
      <xdr:row>6</xdr:row>
      <xdr:rowOff>70200</xdr:rowOff>
    </xdr:from>
    <xdr:to>
      <xdr:col>5</xdr:col>
      <xdr:colOff>271440</xdr:colOff>
      <xdr:row>8</xdr:row>
      <xdr:rowOff>73080</xdr:rowOff>
    </xdr:to>
    <xdr:pic>
      <xdr:nvPicPr>
        <xdr:cNvPr id="85" name="Picture 1" descr=""/>
        <xdr:cNvPicPr/>
      </xdr:nvPicPr>
      <xdr:blipFill>
        <a:blip r:embed="rId1"/>
        <a:stretch/>
      </xdr:blipFill>
      <xdr:spPr>
        <a:xfrm>
          <a:off x="4233600" y="1213200"/>
          <a:ext cx="1019880" cy="383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987480</xdr:colOff>
      <xdr:row>13</xdr:row>
      <xdr:rowOff>180360</xdr:rowOff>
    </xdr:from>
    <xdr:to>
      <xdr:col>6</xdr:col>
      <xdr:colOff>387360</xdr:colOff>
      <xdr:row>17</xdr:row>
      <xdr:rowOff>39960</xdr:rowOff>
    </xdr:to>
    <xdr:pic>
      <xdr:nvPicPr>
        <xdr:cNvPr id="86" name="Picture 2" descr=""/>
        <xdr:cNvPicPr/>
      </xdr:nvPicPr>
      <xdr:blipFill>
        <a:blip r:embed="rId2"/>
        <a:stretch/>
      </xdr:blipFill>
      <xdr:spPr>
        <a:xfrm>
          <a:off x="3807000" y="2656800"/>
          <a:ext cx="2164680" cy="62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177480</xdr:colOff>
      <xdr:row>11</xdr:row>
      <xdr:rowOff>57600</xdr:rowOff>
    </xdr:from>
    <xdr:to>
      <xdr:col>2</xdr:col>
      <xdr:colOff>1033920</xdr:colOff>
      <xdr:row>14</xdr:row>
      <xdr:rowOff>21960</xdr:rowOff>
    </xdr:to>
    <xdr:pic>
      <xdr:nvPicPr>
        <xdr:cNvPr id="87" name="Picture 2" descr=""/>
        <xdr:cNvPicPr/>
      </xdr:nvPicPr>
      <xdr:blipFill>
        <a:blip r:embed="rId1"/>
        <a:stretch/>
      </xdr:blipFill>
      <xdr:spPr>
        <a:xfrm>
          <a:off x="700560" y="2153160"/>
          <a:ext cx="1783080" cy="535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100800</xdr:colOff>
      <xdr:row>53</xdr:row>
      <xdr:rowOff>179280</xdr:rowOff>
    </xdr:from>
    <xdr:to>
      <xdr:col>8</xdr:col>
      <xdr:colOff>391680</xdr:colOff>
      <xdr:row>73</xdr:row>
      <xdr:rowOff>99360</xdr:rowOff>
    </xdr:to>
    <xdr:graphicFrame>
      <xdr:nvGraphicFramePr>
        <xdr:cNvPr id="88" name="Chart 1"/>
        <xdr:cNvGraphicFramePr/>
      </xdr:nvGraphicFramePr>
      <xdr:xfrm>
        <a:off x="1185840" y="10314000"/>
        <a:ext cx="4388760" cy="37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293760</xdr:colOff>
      <xdr:row>4</xdr:row>
      <xdr:rowOff>124920</xdr:rowOff>
    </xdr:from>
    <xdr:to>
      <xdr:col>20</xdr:col>
      <xdr:colOff>586080</xdr:colOff>
      <xdr:row>25</xdr:row>
      <xdr:rowOff>35640</xdr:rowOff>
    </xdr:to>
    <xdr:graphicFrame>
      <xdr:nvGraphicFramePr>
        <xdr:cNvPr id="89" name="Chart 1"/>
        <xdr:cNvGraphicFramePr/>
      </xdr:nvGraphicFramePr>
      <xdr:xfrm>
        <a:off x="5317200" y="887040"/>
        <a:ext cx="7099560" cy="39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347400</xdr:colOff>
      <xdr:row>2</xdr:row>
      <xdr:rowOff>22680</xdr:rowOff>
    </xdr:from>
    <xdr:to>
      <xdr:col>6</xdr:col>
      <xdr:colOff>469800</xdr:colOff>
      <xdr:row>5</xdr:row>
      <xdr:rowOff>23040</xdr:rowOff>
    </xdr:to>
    <xdr:pic>
      <xdr:nvPicPr>
        <xdr:cNvPr id="90" name="Picture 1" descr=""/>
        <xdr:cNvPicPr/>
      </xdr:nvPicPr>
      <xdr:blipFill>
        <a:blip r:embed="rId1"/>
        <a:stretch/>
      </xdr:blipFill>
      <xdr:spPr>
        <a:xfrm>
          <a:off x="2642760" y="403560"/>
          <a:ext cx="1928520" cy="57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392040</xdr:colOff>
      <xdr:row>7</xdr:row>
      <xdr:rowOff>67320</xdr:rowOff>
    </xdr:from>
    <xdr:to>
      <xdr:col>6</xdr:col>
      <xdr:colOff>37800</xdr:colOff>
      <xdr:row>10</xdr:row>
      <xdr:rowOff>47160</xdr:rowOff>
    </xdr:to>
    <xdr:pic>
      <xdr:nvPicPr>
        <xdr:cNvPr id="91" name="Picture 2" descr=""/>
        <xdr:cNvPicPr/>
      </xdr:nvPicPr>
      <xdr:blipFill>
        <a:blip r:embed="rId2"/>
        <a:stretch/>
      </xdr:blipFill>
      <xdr:spPr>
        <a:xfrm>
          <a:off x="2687400" y="1400760"/>
          <a:ext cx="1451880" cy="551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347400</xdr:colOff>
      <xdr:row>12</xdr:row>
      <xdr:rowOff>56160</xdr:rowOff>
    </xdr:from>
    <xdr:to>
      <xdr:col>6</xdr:col>
      <xdr:colOff>469800</xdr:colOff>
      <xdr:row>15</xdr:row>
      <xdr:rowOff>56520</xdr:rowOff>
    </xdr:to>
    <xdr:pic>
      <xdr:nvPicPr>
        <xdr:cNvPr id="92" name="Picture 1" descr=""/>
        <xdr:cNvPicPr/>
      </xdr:nvPicPr>
      <xdr:blipFill>
        <a:blip r:embed="rId1"/>
        <a:stretch/>
      </xdr:blipFill>
      <xdr:spPr>
        <a:xfrm>
          <a:off x="2642760" y="2342160"/>
          <a:ext cx="1928520" cy="57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124560</xdr:colOff>
      <xdr:row>1</xdr:row>
      <xdr:rowOff>13320</xdr:rowOff>
    </xdr:from>
    <xdr:to>
      <xdr:col>8</xdr:col>
      <xdr:colOff>711360</xdr:colOff>
      <xdr:row>4</xdr:row>
      <xdr:rowOff>4680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5247000" y="203760"/>
          <a:ext cx="1885320" cy="563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56160</xdr:colOff>
      <xdr:row>14</xdr:row>
      <xdr:rowOff>56160</xdr:rowOff>
    </xdr:from>
    <xdr:to>
      <xdr:col>24</xdr:col>
      <xdr:colOff>141840</xdr:colOff>
      <xdr:row>17</xdr:row>
      <xdr:rowOff>134280</xdr:rowOff>
    </xdr:to>
    <xdr:sp>
      <xdr:nvSpPr>
        <xdr:cNvPr id="93" name="TextBox 1"/>
        <xdr:cNvSpPr/>
      </xdr:nvSpPr>
      <xdr:spPr>
        <a:xfrm>
          <a:off x="8925120" y="2913840"/>
          <a:ext cx="447840" cy="649440"/>
        </a:xfrm>
        <a:prstGeom prst="rect">
          <a:avLst/>
        </a:prstGeom>
        <a:solidFill>
          <a:schemeClr val="accent2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2+3 is best IF no budget constraint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78480</xdr:colOff>
      <xdr:row>14</xdr:row>
      <xdr:rowOff>56160</xdr:rowOff>
    </xdr:from>
    <xdr:to>
      <xdr:col>25</xdr:col>
      <xdr:colOff>261360</xdr:colOff>
      <xdr:row>17</xdr:row>
      <xdr:rowOff>134280</xdr:rowOff>
    </xdr:to>
    <xdr:sp>
      <xdr:nvSpPr>
        <xdr:cNvPr id="94" name="TextBox 2"/>
        <xdr:cNvSpPr/>
      </xdr:nvSpPr>
      <xdr:spPr>
        <a:xfrm>
          <a:off x="9309600" y="2913840"/>
          <a:ext cx="414360" cy="649440"/>
        </a:xfrm>
        <a:prstGeom prst="rect">
          <a:avLst/>
        </a:prstGeom>
        <a:solidFill>
          <a:schemeClr val="accent2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3+5 is best IF  budget constraint exists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78480</xdr:colOff>
      <xdr:row>14</xdr:row>
      <xdr:rowOff>56160</xdr:rowOff>
    </xdr:from>
    <xdr:to>
      <xdr:col>25</xdr:col>
      <xdr:colOff>91440</xdr:colOff>
      <xdr:row>21</xdr:row>
      <xdr:rowOff>178920</xdr:rowOff>
    </xdr:to>
    <xdr:sp>
      <xdr:nvSpPr>
        <xdr:cNvPr id="95" name="TextBox 4"/>
        <xdr:cNvSpPr/>
      </xdr:nvSpPr>
      <xdr:spPr>
        <a:xfrm>
          <a:off x="9128520" y="2913840"/>
          <a:ext cx="425520" cy="1456200"/>
        </a:xfrm>
        <a:prstGeom prst="rect">
          <a:avLst/>
        </a:prstGeom>
        <a:solidFill>
          <a:srgbClr val="ff0000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Starting with the best IRR (2) then adding what you can still afford (4) DOESN'T give the best combination.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448200</xdr:colOff>
      <xdr:row>1</xdr:row>
      <xdr:rowOff>142200</xdr:rowOff>
    </xdr:from>
    <xdr:to>
      <xdr:col>18</xdr:col>
      <xdr:colOff>358200</xdr:colOff>
      <xdr:row>17</xdr:row>
      <xdr:rowOff>100800</xdr:rowOff>
    </xdr:to>
    <xdr:pic>
      <xdr:nvPicPr>
        <xdr:cNvPr id="96" name="Picture 1" descr=""/>
        <xdr:cNvPicPr/>
      </xdr:nvPicPr>
      <xdr:blipFill>
        <a:blip r:embed="rId1"/>
        <a:srcRect l="14848" t="23439" r="14024" b="4286"/>
        <a:stretch/>
      </xdr:blipFill>
      <xdr:spPr>
        <a:xfrm>
          <a:off x="6946200" y="332640"/>
          <a:ext cx="4725720" cy="3216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694080</xdr:colOff>
      <xdr:row>4</xdr:row>
      <xdr:rowOff>19080</xdr:rowOff>
    </xdr:from>
    <xdr:to>
      <xdr:col>6</xdr:col>
      <xdr:colOff>214920</xdr:colOff>
      <xdr:row>7</xdr:row>
      <xdr:rowOff>24840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3704760" y="781200"/>
          <a:ext cx="1954800" cy="57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399960</xdr:colOff>
      <xdr:row>8</xdr:row>
      <xdr:rowOff>120600</xdr:rowOff>
    </xdr:from>
    <xdr:to>
      <xdr:col>5</xdr:col>
      <xdr:colOff>658440</xdr:colOff>
      <xdr:row>10</xdr:row>
      <xdr:rowOff>175680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4024440" y="1644480"/>
          <a:ext cx="1462680" cy="43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133200</xdr:colOff>
      <xdr:row>11</xdr:row>
      <xdr:rowOff>117360</xdr:rowOff>
    </xdr:from>
    <xdr:to>
      <xdr:col>5</xdr:col>
      <xdr:colOff>660240</xdr:colOff>
      <xdr:row>13</xdr:row>
      <xdr:rowOff>156240</xdr:rowOff>
    </xdr:to>
    <xdr:pic>
      <xdr:nvPicPr>
        <xdr:cNvPr id="6" name="Picture 3" descr=""/>
        <xdr:cNvPicPr/>
      </xdr:nvPicPr>
      <xdr:blipFill>
        <a:blip r:embed="rId2"/>
        <a:stretch/>
      </xdr:blipFill>
      <xdr:spPr>
        <a:xfrm>
          <a:off x="3757680" y="2212920"/>
          <a:ext cx="1731240" cy="419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191880</xdr:colOff>
      <xdr:row>7</xdr:row>
      <xdr:rowOff>181800</xdr:rowOff>
    </xdr:from>
    <xdr:to>
      <xdr:col>6</xdr:col>
      <xdr:colOff>587880</xdr:colOff>
      <xdr:row>9</xdr:row>
      <xdr:rowOff>54720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1998000" y="1515240"/>
          <a:ext cx="2201760" cy="63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523800</xdr:colOff>
      <xdr:row>10</xdr:row>
      <xdr:rowOff>154440</xdr:rowOff>
    </xdr:from>
    <xdr:to>
      <xdr:col>6</xdr:col>
      <xdr:colOff>523440</xdr:colOff>
      <xdr:row>13</xdr:row>
      <xdr:rowOff>168480</xdr:rowOff>
    </xdr:to>
    <xdr:pic>
      <xdr:nvPicPr>
        <xdr:cNvPr id="8" name="Picture 2" descr=""/>
        <xdr:cNvPicPr/>
      </xdr:nvPicPr>
      <xdr:blipFill>
        <a:blip r:embed="rId2"/>
        <a:stretch/>
      </xdr:blipFill>
      <xdr:spPr>
        <a:xfrm>
          <a:off x="1727640" y="2440440"/>
          <a:ext cx="2407680" cy="58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390600</xdr:colOff>
      <xdr:row>3</xdr:row>
      <xdr:rowOff>19800</xdr:rowOff>
    </xdr:from>
    <xdr:to>
      <xdr:col>10</xdr:col>
      <xdr:colOff>95040</xdr:colOff>
      <xdr:row>5</xdr:row>
      <xdr:rowOff>66240</xdr:rowOff>
    </xdr:to>
    <xdr:pic>
      <xdr:nvPicPr>
        <xdr:cNvPr id="9" name="Picture 3" descr=""/>
        <xdr:cNvPicPr/>
      </xdr:nvPicPr>
      <xdr:blipFill>
        <a:blip r:embed="rId3"/>
        <a:stretch/>
      </xdr:blipFill>
      <xdr:spPr>
        <a:xfrm>
          <a:off x="1594440" y="591480"/>
          <a:ext cx="3560400" cy="42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162000</xdr:colOff>
      <xdr:row>3</xdr:row>
      <xdr:rowOff>25920</xdr:rowOff>
    </xdr:from>
    <xdr:to>
      <xdr:col>5</xdr:col>
      <xdr:colOff>2123640</xdr:colOff>
      <xdr:row>6</xdr:row>
      <xdr:rowOff>69120</xdr:rowOff>
    </xdr:to>
    <xdr:pic>
      <xdr:nvPicPr>
        <xdr:cNvPr id="10" name="Picture 3" descr=""/>
        <xdr:cNvPicPr/>
      </xdr:nvPicPr>
      <xdr:blipFill>
        <a:blip r:embed="rId1"/>
        <a:stretch/>
      </xdr:blipFill>
      <xdr:spPr>
        <a:xfrm>
          <a:off x="1968120" y="597600"/>
          <a:ext cx="3165480" cy="61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255960</xdr:colOff>
      <xdr:row>9</xdr:row>
      <xdr:rowOff>21600</xdr:rowOff>
    </xdr:from>
    <xdr:to>
      <xdr:col>12</xdr:col>
      <xdr:colOff>497520</xdr:colOff>
      <xdr:row>12</xdr:row>
      <xdr:rowOff>1440</xdr:rowOff>
    </xdr:to>
    <xdr:pic>
      <xdr:nvPicPr>
        <xdr:cNvPr id="11" name="Picture 6" descr=""/>
        <xdr:cNvPicPr/>
      </xdr:nvPicPr>
      <xdr:blipFill>
        <a:blip r:embed="rId2"/>
        <a:stretch/>
      </xdr:blipFill>
      <xdr:spPr>
        <a:xfrm>
          <a:off x="9577080" y="1736280"/>
          <a:ext cx="1445400" cy="551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190440</xdr:colOff>
      <xdr:row>3</xdr:row>
      <xdr:rowOff>108720</xdr:rowOff>
    </xdr:from>
    <xdr:to>
      <xdr:col>5</xdr:col>
      <xdr:colOff>75240</xdr:colOff>
      <xdr:row>6</xdr:row>
      <xdr:rowOff>91800</xdr:rowOff>
    </xdr:to>
    <xdr:pic>
      <xdr:nvPicPr>
        <xdr:cNvPr id="12" name="Picture 4" descr=""/>
        <xdr:cNvPicPr/>
      </xdr:nvPicPr>
      <xdr:blipFill>
        <a:blip r:embed="rId1"/>
        <a:stretch/>
      </xdr:blipFill>
      <xdr:spPr>
        <a:xfrm>
          <a:off x="3480840" y="680400"/>
          <a:ext cx="193680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108720</xdr:rowOff>
    </xdr:from>
    <xdr:to>
      <xdr:col>5</xdr:col>
      <xdr:colOff>15840</xdr:colOff>
      <xdr:row>15</xdr:row>
      <xdr:rowOff>116280</xdr:rowOff>
    </xdr:to>
    <xdr:pic>
      <xdr:nvPicPr>
        <xdr:cNvPr id="13" name="Picture 7" descr=""/>
        <xdr:cNvPicPr/>
      </xdr:nvPicPr>
      <xdr:blipFill>
        <a:blip r:embed="rId2"/>
        <a:stretch/>
      </xdr:blipFill>
      <xdr:spPr>
        <a:xfrm>
          <a:off x="3290400" y="2394720"/>
          <a:ext cx="2067840" cy="57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E8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P18" activeCellId="0" sqref="P18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3.57"/>
    <col collapsed="false" customWidth="true" hidden="false" outlineLevel="0" max="4" min="4" style="0" width="15.85"/>
    <col collapsed="false" customWidth="true" hidden="false" outlineLevel="0" max="5" min="5" style="0" width="10.14"/>
    <col collapsed="false" customWidth="true" hidden="false" outlineLevel="0" max="6" min="6" style="0" width="11"/>
    <col collapsed="false" customWidth="true" hidden="false" outlineLevel="0" max="7" min="7" style="0" width="15.71"/>
    <col collapsed="false" customWidth="true" hidden="false" outlineLevel="0" max="8" min="8" style="0" width="14.86"/>
  </cols>
  <sheetData>
    <row r="1" customFormat="false" ht="15" hidden="false" customHeight="false" outlineLevel="0" collapsed="false">
      <c r="C1" s="0" t="s">
        <v>0</v>
      </c>
      <c r="E1" s="0" t="n">
        <v>0.02</v>
      </c>
    </row>
    <row r="2" customFormat="false" ht="15" hidden="false" customHeight="false" outlineLevel="0" collapsed="false">
      <c r="C2" s="0" t="s">
        <v>1</v>
      </c>
      <c r="E2" s="1" t="n">
        <v>1000</v>
      </c>
    </row>
    <row r="4" customFormat="false" ht="36.75" hidden="false" customHeight="true" outlineLevel="0" collapsed="false">
      <c r="C4" s="2" t="s">
        <v>2</v>
      </c>
      <c r="D4" s="3" t="s">
        <v>3</v>
      </c>
      <c r="E4" s="3" t="s">
        <v>4</v>
      </c>
    </row>
    <row r="5" customFormat="false" ht="15" hidden="false" customHeight="false" outlineLevel="0" collapsed="false">
      <c r="C5" s="4" t="n">
        <v>1</v>
      </c>
      <c r="D5" s="1" t="n">
        <f aca="false">E2</f>
        <v>1000</v>
      </c>
      <c r="E5" s="1" t="n">
        <f aca="false">E2*E1</f>
        <v>20</v>
      </c>
    </row>
    <row r="6" customFormat="false" ht="15" hidden="false" customHeight="false" outlineLevel="0" collapsed="false">
      <c r="C6" s="4" t="n">
        <v>2</v>
      </c>
      <c r="D6" s="1" t="n">
        <f aca="false">D5+E5</f>
        <v>1020</v>
      </c>
      <c r="E6" s="1" t="n">
        <f aca="false">D6*E1</f>
        <v>20.4</v>
      </c>
    </row>
    <row r="7" customFormat="false" ht="15" hidden="false" customHeight="false" outlineLevel="0" collapsed="false">
      <c r="C7" s="4" t="n">
        <v>3</v>
      </c>
      <c r="D7" s="1" t="n">
        <f aca="false">D6+E6</f>
        <v>1040.4</v>
      </c>
      <c r="E7" s="1" t="n">
        <f aca="false">D7*$E$1</f>
        <v>20.808</v>
      </c>
    </row>
    <row r="8" customFormat="false" ht="15" hidden="false" customHeight="false" outlineLevel="0" collapsed="false">
      <c r="C8" s="4" t="n">
        <v>4</v>
      </c>
      <c r="D8" s="1" t="n">
        <f aca="false">D7+E7</f>
        <v>1061.208</v>
      </c>
      <c r="E8" s="1" t="n">
        <f aca="false">D8*$E$1</f>
        <v>21.22416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9.14"/>
    <col collapsed="false" customWidth="true" hidden="false" outlineLevel="0" max="3" min="3" style="0" width="18"/>
  </cols>
  <sheetData>
    <row r="2" customFormat="false" ht="15" hidden="false" customHeight="false" outlineLevel="0" collapsed="false">
      <c r="B2" s="5" t="s">
        <v>81</v>
      </c>
      <c r="C2" s="5"/>
    </row>
    <row r="4" customFormat="false" ht="15" hidden="false" customHeight="false" outlineLevel="0" collapsed="false">
      <c r="B4" s="0" t="s">
        <v>29</v>
      </c>
      <c r="C4" s="42" t="n">
        <v>0.15</v>
      </c>
    </row>
    <row r="6" customFormat="false" ht="15" hidden="false" customHeight="false" outlineLevel="0" collapsed="false">
      <c r="A6" s="0" t="s">
        <v>33</v>
      </c>
      <c r="B6" s="0" t="s">
        <v>83</v>
      </c>
      <c r="C6" s="0" t="s">
        <v>51</v>
      </c>
    </row>
    <row r="8" customFormat="false" ht="15" hidden="false" customHeight="false" outlineLevel="0" collapsed="false">
      <c r="A8" s="0" t="n">
        <v>1</v>
      </c>
      <c r="B8" s="43" t="n">
        <v>-100</v>
      </c>
      <c r="C8" s="1" t="n">
        <f aca="false">B8/(1+$C$4)^A8</f>
        <v>-86.9565217391304</v>
      </c>
    </row>
    <row r="9" customFormat="false" ht="15" hidden="false" customHeight="false" outlineLevel="0" collapsed="false">
      <c r="A9" s="0" t="n">
        <v>2</v>
      </c>
      <c r="B9" s="1"/>
      <c r="C9" s="1" t="n">
        <f aca="false">B9/(1+$C$4)^A9</f>
        <v>0</v>
      </c>
    </row>
    <row r="10" customFormat="false" ht="15" hidden="false" customHeight="false" outlineLevel="0" collapsed="false">
      <c r="A10" s="0" t="n">
        <v>3</v>
      </c>
      <c r="B10" s="1" t="n">
        <v>20</v>
      </c>
      <c r="C10" s="1" t="n">
        <f aca="false">B10/(1+$C$4)^A10</f>
        <v>13.1503246486398</v>
      </c>
    </row>
    <row r="11" customFormat="false" ht="15" hidden="false" customHeight="false" outlineLevel="0" collapsed="false">
      <c r="A11" s="0" t="n">
        <v>4</v>
      </c>
      <c r="B11" s="1" t="n">
        <v>20</v>
      </c>
      <c r="C11" s="1" t="n">
        <f aca="false">B11/(1+$C$4)^A11</f>
        <v>11.4350649118607</v>
      </c>
    </row>
    <row r="12" customFormat="false" ht="15" hidden="false" customHeight="false" outlineLevel="0" collapsed="false">
      <c r="A12" s="0" t="n">
        <v>5</v>
      </c>
      <c r="B12" s="45" t="n">
        <v>20</v>
      </c>
      <c r="C12" s="1" t="n">
        <f aca="false">B12/(1+$C$4)^A12</f>
        <v>9.9435347059658</v>
      </c>
    </row>
    <row r="13" customFormat="false" ht="15" hidden="false" customHeight="false" outlineLevel="0" collapsed="false">
      <c r="B13" s="1"/>
    </row>
    <row r="14" customFormat="false" ht="15" hidden="false" customHeight="false" outlineLevel="0" collapsed="false">
      <c r="A14" s="0" t="s">
        <v>58</v>
      </c>
      <c r="C14" s="44" t="n">
        <f aca="false">SUM(C8:C13)</f>
        <v>-52.4275974726642</v>
      </c>
    </row>
    <row r="16" customFormat="false" ht="15" hidden="false" customHeight="false" outlineLevel="0" collapsed="false">
      <c r="B16" s="0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3"/>
    <col collapsed="false" customWidth="true" hidden="false" outlineLevel="0" max="3" min="3" style="0" width="23.71"/>
    <col collapsed="false" customWidth="true" hidden="false" outlineLevel="0" max="6" min="6" style="0" width="15"/>
    <col collapsed="false" customWidth="true" hidden="false" outlineLevel="0" max="8" min="8" style="0" width="6.29"/>
    <col collapsed="false" customWidth="true" hidden="false" outlineLevel="0" max="9" min="9" style="0" width="19"/>
    <col collapsed="false" customWidth="true" hidden="false" outlineLevel="0" max="10" min="10" style="0" width="13"/>
  </cols>
  <sheetData>
    <row r="1" customFormat="false" ht="15" hidden="false" customHeight="false" outlineLevel="0" collapsed="false">
      <c r="A1" s="29" t="s">
        <v>85</v>
      </c>
    </row>
    <row r="2" customFormat="false" ht="15" hidden="false" customHeight="false" outlineLevel="0" collapsed="false">
      <c r="B2" s="5" t="s">
        <v>86</v>
      </c>
      <c r="H2" s="5" t="s">
        <v>87</v>
      </c>
      <c r="I2" s="5"/>
      <c r="J2" s="5"/>
    </row>
    <row r="4" customFormat="false" ht="15" hidden="false" customHeight="false" outlineLevel="0" collapsed="false">
      <c r="B4" s="0" t="s">
        <v>0</v>
      </c>
      <c r="C4" s="16" t="n">
        <v>0.05</v>
      </c>
      <c r="I4" s="0" t="s">
        <v>0</v>
      </c>
      <c r="J4" s="42" t="n">
        <v>0.05</v>
      </c>
    </row>
    <row r="5" customFormat="false" ht="15" hidden="false" customHeight="false" outlineLevel="0" collapsed="false">
      <c r="B5" s="0" t="s">
        <v>88</v>
      </c>
      <c r="C5" s="0" t="n">
        <v>5</v>
      </c>
    </row>
    <row r="6" customFormat="false" ht="15" hidden="false" customHeight="false" outlineLevel="0" collapsed="false">
      <c r="B6" s="0" t="s">
        <v>56</v>
      </c>
      <c r="C6" s="0" t="n">
        <v>120</v>
      </c>
      <c r="H6" s="0" t="s">
        <v>33</v>
      </c>
      <c r="I6" s="0" t="s">
        <v>83</v>
      </c>
      <c r="J6" s="46" t="s">
        <v>89</v>
      </c>
    </row>
    <row r="7" customFormat="false" ht="15" hidden="false" customHeight="false" outlineLevel="0" collapsed="false">
      <c r="B7" s="0" t="s">
        <v>90</v>
      </c>
      <c r="C7" s="19" t="n">
        <v>30</v>
      </c>
    </row>
    <row r="8" customFormat="false" ht="15" hidden="false" customHeight="false" outlineLevel="0" collapsed="false">
      <c r="H8" s="0" t="n">
        <v>1</v>
      </c>
      <c r="I8" s="45" t="n">
        <v>120</v>
      </c>
      <c r="J8" s="1" t="n">
        <f aca="false">I8/(1+$J$4)^H8</f>
        <v>114.285714285714</v>
      </c>
    </row>
    <row r="9" customFormat="false" ht="15" hidden="false" customHeight="false" outlineLevel="0" collapsed="false">
      <c r="H9" s="0" t="n">
        <v>2</v>
      </c>
      <c r="I9" s="1" t="n">
        <v>150</v>
      </c>
      <c r="J9" s="1" t="n">
        <f aca="false">I9/(1+$J$4)^H9</f>
        <v>136.054421768707</v>
      </c>
    </row>
    <row r="10" customFormat="false" ht="15" hidden="false" customHeight="false" outlineLevel="0" collapsed="false">
      <c r="B10" s="32" t="s">
        <v>91</v>
      </c>
      <c r="C10" s="47" t="n">
        <f aca="false">((1+C4)^C5-1)/(C4*(1+C4)^C5)</f>
        <v>4.32947667063082</v>
      </c>
      <c r="H10" s="0" t="n">
        <v>3</v>
      </c>
      <c r="I10" s="1" t="n">
        <v>180</v>
      </c>
      <c r="J10" s="1" t="n">
        <f aca="false">I10/(1+$J$4)^H10</f>
        <v>155.490767735666</v>
      </c>
    </row>
    <row r="11" customFormat="false" ht="15" hidden="false" customHeight="false" outlineLevel="0" collapsed="false">
      <c r="B11" s="0" t="s">
        <v>74</v>
      </c>
      <c r="C11" s="28" t="n">
        <f aca="false">C6*C10</f>
        <v>519.537200475699</v>
      </c>
      <c r="H11" s="0" t="n">
        <v>4</v>
      </c>
      <c r="I11" s="1" t="n">
        <v>210</v>
      </c>
      <c r="J11" s="1" t="n">
        <f aca="false">I11/(1+$J$4)^H11</f>
        <v>172.767519706295</v>
      </c>
    </row>
    <row r="12" customFormat="false" ht="15" hidden="false" customHeight="false" outlineLevel="0" collapsed="false">
      <c r="H12" s="0" t="n">
        <v>5</v>
      </c>
      <c r="I12" s="45" t="n">
        <v>240</v>
      </c>
      <c r="J12" s="1" t="n">
        <f aca="false">I12/(1+$J$4)^H12</f>
        <v>188.04627995243</v>
      </c>
    </row>
    <row r="13" customFormat="false" ht="15" hidden="false" customHeight="false" outlineLevel="0" collapsed="false">
      <c r="B13" s="32" t="s">
        <v>92</v>
      </c>
      <c r="C13" s="47" t="n">
        <f aca="false">((1+C4)^C5-(C4*C5)-1)/(C4^2*(1+C4)^C5)</f>
        <v>8.23691676577052</v>
      </c>
    </row>
    <row r="14" customFormat="false" ht="15" hidden="false" customHeight="false" outlineLevel="0" collapsed="false">
      <c r="B14" s="0" t="s">
        <v>93</v>
      </c>
      <c r="C14" s="28" t="n">
        <f aca="false">C7*C13</f>
        <v>247.107502973116</v>
      </c>
      <c r="H14" s="0" t="s">
        <v>58</v>
      </c>
      <c r="J14" s="44" t="n">
        <f aca="false">SUM(J8:J13)</f>
        <v>766.644703448813</v>
      </c>
    </row>
    <row r="16" customFormat="false" ht="15" hidden="false" customHeight="false" outlineLevel="0" collapsed="false">
      <c r="B16" s="32" t="s">
        <v>94</v>
      </c>
      <c r="C16" s="28" t="n">
        <f aca="false">C11+C14</f>
        <v>766.644703448814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8.54296875" defaultRowHeight="15" zeroHeight="false" outlineLevelRow="0" outlineLevelCol="0"/>
  <cols>
    <col collapsed="false" customWidth="true" hidden="false" outlineLevel="0" max="11" min="8" style="0" width="4"/>
    <col collapsed="false" customWidth="true" hidden="false" outlineLevel="0" max="13" min="13" style="0" width="13.29"/>
    <col collapsed="false" customWidth="true" hidden="false" outlineLevel="0" max="14" min="14" style="0" width="23.71"/>
    <col collapsed="false" customWidth="true" hidden="false" outlineLevel="0" max="17" min="17" style="0" width="13.29"/>
    <col collapsed="false" customWidth="true" hidden="false" outlineLevel="0" max="18" min="18" style="0" width="23.57"/>
    <col collapsed="false" customWidth="true" hidden="false" outlineLevel="0" max="19" min="19" style="0" width="6.43"/>
  </cols>
  <sheetData>
    <row r="1" customFormat="false" ht="15" hidden="false" customHeight="false" outlineLevel="0" collapsed="false">
      <c r="A1" s="29" t="s">
        <v>95</v>
      </c>
    </row>
    <row r="2" customFormat="false" ht="15" hidden="false" customHeight="false" outlineLevel="0" collapsed="false">
      <c r="A2" s="5" t="s">
        <v>96</v>
      </c>
      <c r="B2" s="5"/>
      <c r="C2" s="5"/>
      <c r="D2" s="27"/>
      <c r="E2" s="27"/>
      <c r="F2" s="27"/>
      <c r="G2" s="27"/>
      <c r="H2" s="27"/>
      <c r="I2" s="27"/>
      <c r="J2" s="27"/>
      <c r="K2" s="27"/>
      <c r="M2" s="5" t="s">
        <v>97</v>
      </c>
      <c r="N2" s="5"/>
      <c r="P2" s="5" t="s">
        <v>98</v>
      </c>
      <c r="Q2" s="5"/>
      <c r="R2" s="5"/>
    </row>
    <row r="4" customFormat="false" ht="15" hidden="false" customHeight="false" outlineLevel="0" collapsed="false">
      <c r="A4" s="4" t="s">
        <v>11</v>
      </c>
      <c r="B4" s="38" t="n">
        <v>0.06</v>
      </c>
      <c r="M4" s="0" t="s">
        <v>0</v>
      </c>
      <c r="N4" s="42" t="n">
        <v>0.06</v>
      </c>
      <c r="Q4" s="0" t="s">
        <v>0</v>
      </c>
      <c r="R4" s="48" t="n">
        <v>0.06</v>
      </c>
    </row>
    <row r="5" customFormat="false" ht="15" hidden="false" customHeight="false" outlineLevel="0" collapsed="false">
      <c r="A5" s="4" t="s">
        <v>99</v>
      </c>
      <c r="B5" s="8" t="n">
        <v>100</v>
      </c>
    </row>
    <row r="6" customFormat="false" ht="15" hidden="false" customHeight="false" outlineLevel="0" collapsed="false">
      <c r="A6" s="4" t="s">
        <v>100</v>
      </c>
      <c r="B6" s="8" t="n">
        <v>100</v>
      </c>
    </row>
    <row r="7" customFormat="false" ht="15" hidden="false" customHeight="false" outlineLevel="0" collapsed="false">
      <c r="A7" s="4" t="s">
        <v>10</v>
      </c>
      <c r="B7" s="8" t="n">
        <v>4</v>
      </c>
    </row>
    <row r="8" customFormat="false" ht="45" hidden="false" customHeight="false" outlineLevel="0" collapsed="false">
      <c r="A8" s="4"/>
      <c r="L8" s="4" t="s">
        <v>33</v>
      </c>
      <c r="M8" s="10" t="s">
        <v>83</v>
      </c>
      <c r="N8" s="49" t="s">
        <v>89</v>
      </c>
      <c r="P8" s="0" t="s">
        <v>33</v>
      </c>
      <c r="Q8" s="10" t="s">
        <v>83</v>
      </c>
      <c r="R8" s="49" t="s">
        <v>89</v>
      </c>
    </row>
    <row r="9" customFormat="false" ht="15" hidden="false" customHeight="false" outlineLevel="0" collapsed="false">
      <c r="A9" s="4" t="s">
        <v>101</v>
      </c>
      <c r="B9" s="0" t="n">
        <f aca="false">B5</f>
        <v>100</v>
      </c>
    </row>
    <row r="10" customFormat="false" ht="15" hidden="false" customHeight="false" outlineLevel="0" collapsed="false">
      <c r="A10" s="4" t="s">
        <v>102</v>
      </c>
      <c r="B10" s="47" t="n">
        <f aca="false">(1/B4)-(B7/((1+B4)^B7-1))</f>
        <v>1.42723384178179</v>
      </c>
      <c r="L10" s="0" t="n">
        <v>1</v>
      </c>
      <c r="M10" s="44" t="n">
        <v>100</v>
      </c>
      <c r="N10" s="1" t="n">
        <f aca="false">M10/(1+$N$4)^L10</f>
        <v>94.3396226415094</v>
      </c>
      <c r="P10" s="0" t="n">
        <v>1</v>
      </c>
      <c r="Q10" s="43" t="n">
        <v>242.722760575465</v>
      </c>
      <c r="R10" s="1" t="n">
        <f aca="false">Q10/(1+$N$4)^P10</f>
        <v>228.983736391948</v>
      </c>
    </row>
    <row r="11" customFormat="false" ht="15" hidden="false" customHeight="false" outlineLevel="0" collapsed="false">
      <c r="A11" s="4" t="s">
        <v>103</v>
      </c>
      <c r="B11" s="1" t="n">
        <f aca="false">100*B10</f>
        <v>142.723384178179</v>
      </c>
      <c r="L11" s="0" t="n">
        <v>2</v>
      </c>
      <c r="M11" s="44" t="n">
        <v>200</v>
      </c>
      <c r="N11" s="1" t="n">
        <f aca="false">M11/(1+$N$4)^L11</f>
        <v>177.999288002848</v>
      </c>
      <c r="P11" s="0" t="n">
        <v>2</v>
      </c>
      <c r="Q11" s="1" t="n">
        <f aca="false">Q10</f>
        <v>242.722760575465</v>
      </c>
      <c r="R11" s="1" t="n">
        <f aca="false">Q11/(1+$N$4)^P11</f>
        <v>216.022392822593</v>
      </c>
    </row>
    <row r="12" customFormat="false" ht="15" hidden="false" customHeight="false" outlineLevel="0" collapsed="false">
      <c r="A12" s="4" t="s">
        <v>104</v>
      </c>
      <c r="B12" s="1" t="n">
        <f aca="false">B9+B11</f>
        <v>242.723384178179</v>
      </c>
      <c r="L12" s="0" t="n">
        <v>3</v>
      </c>
      <c r="M12" s="44" t="n">
        <v>300</v>
      </c>
      <c r="N12" s="1" t="n">
        <f aca="false">M12/(1+$N$4)^L12</f>
        <v>251.885784909691</v>
      </c>
      <c r="P12" s="0" t="n">
        <v>3</v>
      </c>
      <c r="Q12" s="1" t="n">
        <f aca="false">Q11</f>
        <v>242.722760575465</v>
      </c>
      <c r="R12" s="1" t="n">
        <f aca="false">Q12/(1+$N$4)^P12</f>
        <v>203.794710209993</v>
      </c>
    </row>
    <row r="13" customFormat="false" ht="15" hidden="false" customHeight="false" outlineLevel="0" collapsed="false">
      <c r="L13" s="0" t="n">
        <v>4</v>
      </c>
      <c r="M13" s="44" t="n">
        <v>400</v>
      </c>
      <c r="N13" s="1" t="n">
        <f aca="false">M13/(1+$N$4)^L13</f>
        <v>316.837465295208</v>
      </c>
      <c r="P13" s="0" t="n">
        <v>4</v>
      </c>
      <c r="Q13" s="1" t="n">
        <f aca="false">Q12</f>
        <v>242.722760575465</v>
      </c>
      <c r="R13" s="1" t="n">
        <f aca="false">Q13/(1+$N$4)^P13</f>
        <v>192.259160575465</v>
      </c>
    </row>
    <row r="14" customFormat="false" ht="15" hidden="false" customHeight="false" outlineLevel="0" collapsed="false">
      <c r="A14" s="46" t="s">
        <v>105</v>
      </c>
    </row>
    <row r="15" customFormat="false" ht="15" hidden="false" customHeight="false" outlineLevel="0" collapsed="false">
      <c r="A15" s="0" t="s">
        <v>106</v>
      </c>
      <c r="B15" s="1" t="n">
        <f aca="false">B5*(((1+B4)^B7-1)/(B4*(1+B4)^B7))</f>
        <v>346.510561269966</v>
      </c>
    </row>
    <row r="16" customFormat="false" ht="15" hidden="false" customHeight="false" outlineLevel="0" collapsed="false">
      <c r="A16" s="0" t="s">
        <v>93</v>
      </c>
      <c r="B16" s="1" t="n">
        <f aca="false">B6*(((1+B4)^B7-(B4*B7)-1))/(B4^2*(1+B4)^B7)</f>
        <v>494.551599579298</v>
      </c>
      <c r="L16" s="4" t="s">
        <v>58</v>
      </c>
      <c r="M16" s="0" t="s">
        <v>107</v>
      </c>
      <c r="N16" s="44" t="n">
        <f aca="false">SUM(N10:N15)</f>
        <v>841.062160849256</v>
      </c>
      <c r="P16" s="0" t="s">
        <v>58</v>
      </c>
      <c r="R16" s="44" t="n">
        <f aca="false">SUM(R10:R15)</f>
        <v>841.06</v>
      </c>
    </row>
    <row r="18" customFormat="false" ht="15" hidden="false" customHeight="false" outlineLevel="0" collapsed="false">
      <c r="A18" s="0" t="s">
        <v>58</v>
      </c>
      <c r="B18" s="50" t="n">
        <f aca="false">B15+B16</f>
        <v>841.062160849264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0"/>
    <col collapsed="false" customWidth="true" hidden="false" outlineLevel="0" max="3" min="3" style="0" width="23.42"/>
    <col collapsed="false" customWidth="true" hidden="false" outlineLevel="0" max="8" min="8" style="0" width="13.29"/>
    <col collapsed="false" customWidth="true" hidden="false" outlineLevel="0" max="9" min="9" style="0" width="10.57"/>
  </cols>
  <sheetData>
    <row r="2" customFormat="false" ht="15" hidden="false" customHeight="false" outlineLevel="0" collapsed="false">
      <c r="B2" s="5" t="s">
        <v>97</v>
      </c>
      <c r="C2" s="5"/>
    </row>
    <row r="3" customFormat="false" ht="15" hidden="false" customHeight="false" outlineLevel="0" collapsed="false">
      <c r="G3" s="0" t="s">
        <v>98</v>
      </c>
    </row>
    <row r="4" customFormat="false" ht="15" hidden="false" customHeight="false" outlineLevel="0" collapsed="false">
      <c r="B4" s="0" t="s">
        <v>0</v>
      </c>
      <c r="C4" s="34" t="n">
        <v>0.1</v>
      </c>
      <c r="H4" s="0" t="s">
        <v>0</v>
      </c>
      <c r="I4" s="34" t="n">
        <f aca="false">C4</f>
        <v>0.1</v>
      </c>
    </row>
    <row r="6" customFormat="false" ht="15" hidden="false" customHeight="false" outlineLevel="0" collapsed="false">
      <c r="A6" s="0" t="s">
        <v>33</v>
      </c>
      <c r="B6" s="0" t="s">
        <v>83</v>
      </c>
      <c r="C6" s="46" t="s">
        <v>89</v>
      </c>
      <c r="G6" s="0" t="s">
        <v>33</v>
      </c>
      <c r="H6" s="0" t="s">
        <v>83</v>
      </c>
      <c r="I6" s="46" t="s">
        <v>89</v>
      </c>
    </row>
    <row r="8" customFormat="false" ht="15" hidden="false" customHeight="false" outlineLevel="0" collapsed="false">
      <c r="A8" s="0" t="n">
        <v>1</v>
      </c>
      <c r="B8" s="36" t="n">
        <v>24000</v>
      </c>
      <c r="C8" s="36" t="n">
        <f aca="false">B8/(1+$C$4)^A8</f>
        <v>21818.1818181818</v>
      </c>
      <c r="G8" s="0" t="n">
        <v>1</v>
      </c>
      <c r="H8" s="51" t="n">
        <v>15712.9918739496</v>
      </c>
      <c r="I8" s="36" t="n">
        <f aca="false">H8/(1+$C$4)^G8</f>
        <v>14284.5380672269</v>
      </c>
    </row>
    <row r="9" customFormat="false" ht="15" hidden="false" customHeight="false" outlineLevel="0" collapsed="false">
      <c r="A9" s="0" t="n">
        <v>2</v>
      </c>
      <c r="B9" s="36" t="n">
        <v>18000</v>
      </c>
      <c r="C9" s="36" t="n">
        <f aca="false">B9/(1+$C$4)^A9</f>
        <v>14876.0330578512</v>
      </c>
      <c r="G9" s="0" t="n">
        <v>2</v>
      </c>
      <c r="H9" s="36" t="n">
        <f aca="false">H8</f>
        <v>15712.9918739496</v>
      </c>
      <c r="I9" s="36" t="n">
        <f aca="false">H9/(1+$C$4)^G9</f>
        <v>12985.943697479</v>
      </c>
    </row>
    <row r="10" customFormat="false" ht="15" hidden="false" customHeight="false" outlineLevel="0" collapsed="false">
      <c r="A10" s="0" t="n">
        <v>3</v>
      </c>
      <c r="B10" s="36" t="n">
        <v>12000</v>
      </c>
      <c r="C10" s="36" t="n">
        <f aca="false">B10/(1+$C$4)^A10</f>
        <v>9015.77761081893</v>
      </c>
      <c r="G10" s="0" t="n">
        <v>3</v>
      </c>
      <c r="H10" s="36" t="n">
        <f aca="false">H9</f>
        <v>15712.9918739496</v>
      </c>
      <c r="I10" s="36" t="n">
        <f aca="false">H10/(1+$C$4)^G10</f>
        <v>11805.4033613445</v>
      </c>
    </row>
    <row r="11" customFormat="false" ht="15" hidden="false" customHeight="false" outlineLevel="0" collapsed="false">
      <c r="A11" s="0" t="n">
        <v>4</v>
      </c>
      <c r="B11" s="36" t="n">
        <v>6000</v>
      </c>
      <c r="C11" s="36" t="n">
        <f aca="false">B11/(1+$C$4)^A11</f>
        <v>4098.08073219042</v>
      </c>
      <c r="G11" s="0" t="n">
        <v>4</v>
      </c>
      <c r="H11" s="36" t="n">
        <f aca="false">H10</f>
        <v>15712.9918739496</v>
      </c>
      <c r="I11" s="36" t="n">
        <f aca="false">H11/(1+$C$4)^G11</f>
        <v>10732.1848739496</v>
      </c>
    </row>
    <row r="12" customFormat="false" ht="15" hidden="false" customHeight="false" outlineLevel="0" collapsed="false">
      <c r="B12" s="45"/>
      <c r="C12" s="1"/>
    </row>
    <row r="13" customFormat="false" ht="15" hidden="false" customHeight="false" outlineLevel="0" collapsed="false">
      <c r="B13" s="1"/>
      <c r="C13" s="1"/>
    </row>
    <row r="14" customFormat="false" ht="15" hidden="false" customHeight="false" outlineLevel="0" collapsed="false">
      <c r="A14" s="0" t="s">
        <v>58</v>
      </c>
      <c r="C14" s="52" t="n">
        <f aca="false">SUM(C8:C13)</f>
        <v>49808.0732190424</v>
      </c>
      <c r="G14" s="0" t="s">
        <v>58</v>
      </c>
      <c r="I14" s="52" t="n">
        <f aca="false">SUM(I8:I13)</f>
        <v>49808.07</v>
      </c>
    </row>
    <row r="16" customFormat="false" ht="15" hidden="false" customHeight="false" outlineLevel="0" collapsed="false">
      <c r="H16" s="0" t="s">
        <v>108</v>
      </c>
    </row>
    <row r="17" customFormat="false" ht="15" hidden="false" customHeight="false" outlineLevel="0" collapsed="false">
      <c r="H17" s="0" t="s">
        <v>109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8.54296875" defaultRowHeight="15" zeroHeight="false" outlineLevelRow="0" outlineLevelCol="0"/>
  <cols>
    <col collapsed="false" customWidth="true" hidden="false" outlineLevel="0" max="6" min="6" style="0" width="37.71"/>
    <col collapsed="false" customWidth="true" hidden="false" outlineLevel="0" max="7" min="7" style="0" width="6.14"/>
    <col collapsed="false" customWidth="true" hidden="false" outlineLevel="0" max="8" min="8" style="0" width="6.29"/>
    <col collapsed="false" customWidth="true" hidden="false" outlineLevel="0" max="9" min="9" style="0" width="30.85"/>
  </cols>
  <sheetData>
    <row r="1" customFormat="false" ht="15" hidden="false" customHeight="false" outlineLevel="0" collapsed="false">
      <c r="A1" s="29" t="s">
        <v>110</v>
      </c>
    </row>
    <row r="2" customFormat="false" ht="15" hidden="false" customHeight="false" outlineLevel="0" collapsed="false">
      <c r="A2" s="5" t="s">
        <v>96</v>
      </c>
      <c r="B2" s="5"/>
      <c r="C2" s="5"/>
      <c r="D2" s="27"/>
      <c r="E2" s="27"/>
      <c r="F2" s="27"/>
      <c r="I2" s="5" t="s">
        <v>97</v>
      </c>
      <c r="J2" s="5"/>
    </row>
    <row r="4" customFormat="false" ht="15" hidden="false" customHeight="false" outlineLevel="0" collapsed="false">
      <c r="A4" s="4" t="s">
        <v>11</v>
      </c>
      <c r="B4" s="38" t="n">
        <v>0.08</v>
      </c>
      <c r="I4" s="0" t="s">
        <v>0</v>
      </c>
      <c r="J4" s="34" t="n">
        <f aca="false">B4</f>
        <v>0.08</v>
      </c>
      <c r="L4" s="0" t="s">
        <v>111</v>
      </c>
    </row>
    <row r="5" customFormat="false" ht="15" hidden="false" customHeight="false" outlineLevel="0" collapsed="false">
      <c r="A5" s="4" t="s">
        <v>112</v>
      </c>
      <c r="B5" s="8" t="n">
        <v>100</v>
      </c>
      <c r="I5" s="0" t="s">
        <v>113</v>
      </c>
      <c r="J5" s="34" t="n">
        <v>0.1</v>
      </c>
    </row>
    <row r="6" customFormat="false" ht="15" hidden="false" customHeight="false" outlineLevel="0" collapsed="false">
      <c r="A6" s="4" t="s">
        <v>114</v>
      </c>
      <c r="B6" s="6" t="n">
        <v>0.1</v>
      </c>
    </row>
    <row r="7" customFormat="false" ht="15" hidden="false" customHeight="false" outlineLevel="0" collapsed="false">
      <c r="A7" s="4" t="s">
        <v>10</v>
      </c>
      <c r="B7" s="8" t="n">
        <v>5</v>
      </c>
      <c r="H7" s="5" t="s">
        <v>33</v>
      </c>
      <c r="I7" s="5" t="s">
        <v>115</v>
      </c>
      <c r="J7" s="53" t="s">
        <v>116</v>
      </c>
    </row>
    <row r="8" customFormat="false" ht="15" hidden="false" customHeight="false" outlineLevel="0" collapsed="false">
      <c r="A8" s="4"/>
    </row>
    <row r="9" customFormat="false" ht="15" hidden="false" customHeight="false" outlineLevel="0" collapsed="false">
      <c r="A9" s="0" t="s">
        <v>74</v>
      </c>
      <c r="B9" s="1" t="n">
        <f aca="false">B5*((1-(1+B6)^B7*(1+B4)^-B7)/(B4-B6))</f>
        <v>480.43022327415</v>
      </c>
      <c r="H9" s="0" t="n">
        <v>1</v>
      </c>
      <c r="I9" s="36" t="n">
        <v>100</v>
      </c>
      <c r="J9" s="36" t="n">
        <f aca="false">I9/(1+$J$4)^H9</f>
        <v>92.5925925925926</v>
      </c>
    </row>
    <row r="10" customFormat="false" ht="15" hidden="false" customHeight="false" outlineLevel="0" collapsed="false">
      <c r="B10" s="1"/>
      <c r="H10" s="0" t="n">
        <v>2</v>
      </c>
      <c r="I10" s="36" t="n">
        <f aca="false">I9*(1+$J$5)</f>
        <v>110</v>
      </c>
      <c r="J10" s="36" t="n">
        <f aca="false">I10/(1+$J$4)^H10</f>
        <v>94.3072702331962</v>
      </c>
    </row>
    <row r="11" customFormat="false" ht="15" hidden="false" customHeight="false" outlineLevel="0" collapsed="false">
      <c r="B11" s="0" t="n">
        <f aca="false">((1-(1+B6)^B7*(1+B4)^-B7))</f>
        <v>-0.09608604465483</v>
      </c>
      <c r="H11" s="0" t="n">
        <v>3</v>
      </c>
      <c r="I11" s="36" t="n">
        <f aca="false">I10*(1+$J$5)</f>
        <v>121</v>
      </c>
      <c r="J11" s="36" t="n">
        <f aca="false">I11/(1+$J$4)^H11</f>
        <v>96.0537011634405</v>
      </c>
    </row>
    <row r="12" customFormat="false" ht="15" hidden="false" customHeight="false" outlineLevel="0" collapsed="false">
      <c r="B12" s="0" t="n">
        <f aca="false">(B4-B6)</f>
        <v>-0.02</v>
      </c>
      <c r="H12" s="0" t="n">
        <v>4</v>
      </c>
      <c r="I12" s="36" t="n">
        <f aca="false">I11*(1+$J$5)</f>
        <v>133.1</v>
      </c>
      <c r="J12" s="36" t="n">
        <f aca="false">I12/(1+$J$4)^H12</f>
        <v>97.832473407208</v>
      </c>
    </row>
    <row r="13" customFormat="false" ht="15" hidden="false" customHeight="false" outlineLevel="0" collapsed="false">
      <c r="H13" s="0" t="n">
        <v>5</v>
      </c>
      <c r="I13" s="36" t="n">
        <f aca="false">I12*(1+$J$5)</f>
        <v>146.41</v>
      </c>
      <c r="J13" s="28" t="n">
        <f aca="false">I13/(1+$J$4)^H13</f>
        <v>99.6441858777118</v>
      </c>
    </row>
    <row r="15" customFormat="false" ht="15" hidden="false" customHeight="false" outlineLevel="0" collapsed="false">
      <c r="H15" s="0" t="s">
        <v>117</v>
      </c>
      <c r="J15" s="54" t="n">
        <f aca="false">SUM(J9:J14)</f>
        <v>480.430223274149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2" activeCellId="0" sqref="E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5.29"/>
    <col collapsed="false" customWidth="true" hidden="false" outlineLevel="0" max="5" min="5" style="0" width="20.57"/>
    <col collapsed="false" customWidth="true" hidden="false" outlineLevel="0" max="6" min="6" style="0" width="7.42"/>
    <col collapsed="false" customWidth="true" hidden="false" outlineLevel="0" max="8" min="8" style="0" width="37.71"/>
    <col collapsed="false" customWidth="true" hidden="false" outlineLevel="0" max="11" min="9" style="0" width="23.57"/>
    <col collapsed="false" customWidth="true" hidden="false" outlineLevel="0" max="12" min="12" style="0" width="14.71"/>
  </cols>
  <sheetData>
    <row r="1" customFormat="false" ht="15" hidden="false" customHeight="false" outlineLevel="0" collapsed="false">
      <c r="A1" s="29" t="s">
        <v>118</v>
      </c>
    </row>
    <row r="2" customFormat="false" ht="15" hidden="false" customHeight="false" outlineLevel="0" collapsed="false">
      <c r="A2" s="5" t="s">
        <v>96</v>
      </c>
      <c r="B2" s="5"/>
      <c r="C2" s="5"/>
      <c r="D2" s="27"/>
      <c r="E2" s="27"/>
      <c r="H2" s="5" t="s">
        <v>119</v>
      </c>
      <c r="I2" s="5"/>
      <c r="J2" s="27"/>
      <c r="K2" s="27"/>
    </row>
    <row r="3" customFormat="false" ht="15" hidden="false" customHeight="false" outlineLevel="0" collapsed="false">
      <c r="H3" s="0" t="s">
        <v>66</v>
      </c>
      <c r="I3" s="21" t="n">
        <v>5000</v>
      </c>
      <c r="J3" s="21"/>
      <c r="K3" s="21"/>
    </row>
    <row r="4" customFormat="false" ht="15" hidden="false" customHeight="false" outlineLevel="0" collapsed="false">
      <c r="A4" s="0" t="s">
        <v>120</v>
      </c>
      <c r="B4" s="38" t="n">
        <v>0.08</v>
      </c>
      <c r="H4" s="0" t="s">
        <v>0</v>
      </c>
      <c r="I4" s="34" t="n">
        <v>0.08</v>
      </c>
      <c r="J4" s="34"/>
      <c r="K4" s="34"/>
    </row>
    <row r="5" customFormat="false" ht="15" hidden="false" customHeight="false" outlineLevel="0" collapsed="false">
      <c r="A5" s="4" t="s">
        <v>11</v>
      </c>
      <c r="B5" s="55" t="n">
        <f aca="false">B4/4</f>
        <v>0.02</v>
      </c>
    </row>
    <row r="6" customFormat="false" ht="15" hidden="false" customHeight="false" outlineLevel="0" collapsed="false">
      <c r="A6" s="4"/>
      <c r="G6" s="0" t="s">
        <v>121</v>
      </c>
      <c r="H6" s="0" t="s">
        <v>122</v>
      </c>
      <c r="I6" s="0" t="s">
        <v>68</v>
      </c>
      <c r="J6" s="0" t="s">
        <v>123</v>
      </c>
      <c r="K6" s="0" t="s">
        <v>69</v>
      </c>
    </row>
    <row r="7" customFormat="false" ht="15" hidden="false" customHeight="false" outlineLevel="0" collapsed="false">
      <c r="A7" s="4" t="s">
        <v>74</v>
      </c>
      <c r="B7" s="21" t="n">
        <v>5000</v>
      </c>
      <c r="G7" s="0" t="n">
        <v>1</v>
      </c>
      <c r="H7" s="24" t="n">
        <f aca="false">I3</f>
        <v>5000</v>
      </c>
      <c r="I7" s="36" t="n">
        <f aca="false">H7*($I$4/4)</f>
        <v>100</v>
      </c>
      <c r="J7" s="36" t="n">
        <v>0</v>
      </c>
      <c r="K7" s="36" t="n">
        <f aca="false">H7+I7-J7</f>
        <v>5100</v>
      </c>
    </row>
    <row r="8" customFormat="false" ht="15" hidden="false" customHeight="false" outlineLevel="0" collapsed="false">
      <c r="A8" s="4" t="s">
        <v>10</v>
      </c>
      <c r="B8" s="0" t="n">
        <v>20</v>
      </c>
      <c r="G8" s="0" t="n">
        <v>2</v>
      </c>
      <c r="H8" s="24" t="n">
        <f aca="false">K7</f>
        <v>5100</v>
      </c>
      <c r="I8" s="36" t="n">
        <f aca="false">H8*($I$4/4)</f>
        <v>102</v>
      </c>
      <c r="J8" s="36" t="n">
        <v>0</v>
      </c>
      <c r="K8" s="36" t="n">
        <f aca="false">H8+I8-J8</f>
        <v>5202</v>
      </c>
    </row>
    <row r="9" customFormat="false" ht="15" hidden="false" customHeight="false" outlineLevel="0" collapsed="false">
      <c r="A9" s="4"/>
      <c r="G9" s="0" t="n">
        <v>3</v>
      </c>
      <c r="H9" s="24" t="n">
        <f aca="false">K8</f>
        <v>5202</v>
      </c>
      <c r="I9" s="36" t="n">
        <f aca="false">H9*($I$4/4)</f>
        <v>104.04</v>
      </c>
      <c r="J9" s="36" t="n">
        <v>0</v>
      </c>
      <c r="K9" s="36" t="n">
        <f aca="false">H9+I9-J9</f>
        <v>5306.04</v>
      </c>
    </row>
    <row r="10" customFormat="false" ht="15" hidden="false" customHeight="false" outlineLevel="0" collapsed="false">
      <c r="A10" s="0" t="s">
        <v>112</v>
      </c>
      <c r="B10" s="28" t="n">
        <f aca="false">B7*((B5*(1+B5)^B8)/((1+B5)^B8-1))</f>
        <v>305.783590626452</v>
      </c>
      <c r="G10" s="0" t="n">
        <v>4</v>
      </c>
      <c r="H10" s="24" t="n">
        <f aca="false">K9</f>
        <v>5306.04</v>
      </c>
      <c r="I10" s="36" t="n">
        <f aca="false">H10*($I$4/4)</f>
        <v>106.1208</v>
      </c>
      <c r="J10" s="51" t="n">
        <v>1260.32</v>
      </c>
      <c r="K10" s="36" t="n">
        <f aca="false">H10+I10-J10</f>
        <v>4151.8408</v>
      </c>
    </row>
    <row r="11" customFormat="false" ht="15" hidden="false" customHeight="false" outlineLevel="0" collapsed="false">
      <c r="G11" s="0" t="n">
        <v>5</v>
      </c>
      <c r="H11" s="24" t="n">
        <f aca="false">K10</f>
        <v>4151.8408</v>
      </c>
      <c r="I11" s="36" t="n">
        <f aca="false">H11*($I$4/4)</f>
        <v>83.036816</v>
      </c>
      <c r="J11" s="36" t="n">
        <v>0</v>
      </c>
      <c r="K11" s="36" t="n">
        <f aca="false">H11+I11-J11</f>
        <v>4234.877616</v>
      </c>
    </row>
    <row r="12" customFormat="false" ht="15" hidden="false" customHeight="false" outlineLevel="0" collapsed="false">
      <c r="A12" s="4" t="s">
        <v>124</v>
      </c>
      <c r="G12" s="0" t="n">
        <v>6</v>
      </c>
      <c r="H12" s="24" t="n">
        <f aca="false">K11</f>
        <v>4234.877616</v>
      </c>
      <c r="I12" s="36" t="n">
        <f aca="false">H12*($I$4/4)</f>
        <v>84.69755232</v>
      </c>
      <c r="J12" s="36" t="n">
        <v>0</v>
      </c>
      <c r="K12" s="36" t="n">
        <f aca="false">H12+I12-J12</f>
        <v>4319.57516832</v>
      </c>
    </row>
    <row r="13" customFormat="false" ht="15" hidden="false" customHeight="false" outlineLevel="0" collapsed="false">
      <c r="G13" s="0" t="n">
        <v>7</v>
      </c>
      <c r="H13" s="24" t="n">
        <f aca="false">K12</f>
        <v>4319.57516832</v>
      </c>
      <c r="I13" s="36" t="n">
        <f aca="false">H13*($I$4/4)</f>
        <v>86.3915033664</v>
      </c>
      <c r="J13" s="36" t="n">
        <v>0</v>
      </c>
      <c r="K13" s="36" t="n">
        <f aca="false">H13+I13-J13</f>
        <v>4405.9666716864</v>
      </c>
    </row>
    <row r="14" customFormat="false" ht="15" hidden="false" customHeight="false" outlineLevel="0" collapsed="false">
      <c r="A14" s="4" t="s">
        <v>125</v>
      </c>
      <c r="B14" s="50" t="n">
        <f aca="false">B10*((1+B5)^4-1)/B5</f>
        <v>1260.32009339471</v>
      </c>
      <c r="G14" s="0" t="n">
        <v>8</v>
      </c>
      <c r="H14" s="24" t="n">
        <f aca="false">K13</f>
        <v>4405.9666716864</v>
      </c>
      <c r="I14" s="36" t="n">
        <f aca="false">H14*($I$4/4)</f>
        <v>88.119333433728</v>
      </c>
      <c r="J14" s="36" t="n">
        <f aca="false">$J$10</f>
        <v>1260.32</v>
      </c>
      <c r="K14" s="36" t="n">
        <f aca="false">H14+I14-J14</f>
        <v>3233.76600512013</v>
      </c>
    </row>
    <row r="15" customFormat="false" ht="15" hidden="false" customHeight="false" outlineLevel="0" collapsed="false">
      <c r="A15" s="46" t="s">
        <v>126</v>
      </c>
      <c r="G15" s="0" t="n">
        <v>9</v>
      </c>
      <c r="H15" s="24" t="n">
        <f aca="false">K14</f>
        <v>3233.76600512013</v>
      </c>
      <c r="I15" s="36" t="n">
        <f aca="false">H15*($I$4/4)</f>
        <v>64.6753201024026</v>
      </c>
      <c r="J15" s="36" t="n">
        <v>0</v>
      </c>
      <c r="K15" s="36" t="n">
        <f aca="false">H15+I15-J15</f>
        <v>3298.44132522253</v>
      </c>
    </row>
    <row r="16" customFormat="false" ht="15" hidden="false" customHeight="false" outlineLevel="0" collapsed="false">
      <c r="G16" s="0" t="n">
        <v>10</v>
      </c>
      <c r="H16" s="24" t="n">
        <f aca="false">K15</f>
        <v>3298.44132522253</v>
      </c>
      <c r="I16" s="36" t="n">
        <f aca="false">H16*($I$4/4)</f>
        <v>65.9688265044506</v>
      </c>
      <c r="J16" s="36" t="n">
        <v>0</v>
      </c>
      <c r="K16" s="36" t="n">
        <f aca="false">H16+I16-J16</f>
        <v>3364.41015172698</v>
      </c>
    </row>
    <row r="17" customFormat="false" ht="15" hidden="false" customHeight="false" outlineLevel="0" collapsed="false">
      <c r="G17" s="0" t="n">
        <v>11</v>
      </c>
      <c r="H17" s="24" t="n">
        <f aca="false">K16</f>
        <v>3364.41015172698</v>
      </c>
      <c r="I17" s="36" t="n">
        <f aca="false">H17*($I$4/4)</f>
        <v>67.2882030345396</v>
      </c>
      <c r="J17" s="36" t="n">
        <v>0</v>
      </c>
      <c r="K17" s="36" t="n">
        <f aca="false">H17+I17-J17</f>
        <v>3431.69835476152</v>
      </c>
    </row>
    <row r="18" customFormat="false" ht="15" hidden="false" customHeight="false" outlineLevel="0" collapsed="false">
      <c r="G18" s="0" t="n">
        <v>12</v>
      </c>
      <c r="H18" s="24" t="n">
        <f aca="false">K17</f>
        <v>3431.69835476152</v>
      </c>
      <c r="I18" s="36" t="n">
        <f aca="false">H18*($I$4/4)</f>
        <v>68.6339670952304</v>
      </c>
      <c r="J18" s="36" t="n">
        <f aca="false">$J$10</f>
        <v>1260.32</v>
      </c>
      <c r="K18" s="36" t="n">
        <f aca="false">H18+I18-J18</f>
        <v>2240.01232185675</v>
      </c>
    </row>
    <row r="19" customFormat="false" ht="15" hidden="false" customHeight="false" outlineLevel="0" collapsed="false">
      <c r="G19" s="0" t="n">
        <v>13</v>
      </c>
      <c r="H19" s="24" t="n">
        <f aca="false">K18</f>
        <v>2240.01232185675</v>
      </c>
      <c r="I19" s="36" t="n">
        <f aca="false">H19*($I$4/4)</f>
        <v>44.800246437135</v>
      </c>
      <c r="J19" s="36" t="n">
        <v>0</v>
      </c>
      <c r="K19" s="36" t="n">
        <f aca="false">H19+I19-J19</f>
        <v>2284.81256829389</v>
      </c>
    </row>
    <row r="20" customFormat="false" ht="15" hidden="false" customHeight="false" outlineLevel="0" collapsed="false">
      <c r="G20" s="0" t="n">
        <v>14</v>
      </c>
      <c r="H20" s="24" t="n">
        <f aca="false">K19</f>
        <v>2284.81256829389</v>
      </c>
      <c r="I20" s="36" t="n">
        <f aca="false">H20*($I$4/4)</f>
        <v>45.6962513658777</v>
      </c>
      <c r="J20" s="36" t="n">
        <v>0</v>
      </c>
      <c r="K20" s="36" t="n">
        <f aca="false">H20+I20-J20</f>
        <v>2330.50881965976</v>
      </c>
    </row>
    <row r="21" customFormat="false" ht="15" hidden="false" customHeight="false" outlineLevel="0" collapsed="false">
      <c r="G21" s="0" t="n">
        <v>15</v>
      </c>
      <c r="H21" s="24" t="n">
        <f aca="false">K20</f>
        <v>2330.50881965976</v>
      </c>
      <c r="I21" s="36" t="n">
        <f aca="false">H21*($I$4/4)</f>
        <v>46.6101763931953</v>
      </c>
      <c r="J21" s="36" t="n">
        <v>0</v>
      </c>
      <c r="K21" s="36" t="n">
        <f aca="false">H21+I21-J21</f>
        <v>2377.11899605296</v>
      </c>
    </row>
    <row r="22" customFormat="false" ht="15" hidden="false" customHeight="false" outlineLevel="0" collapsed="false">
      <c r="G22" s="0" t="n">
        <v>16</v>
      </c>
      <c r="H22" s="24" t="n">
        <f aca="false">K21</f>
        <v>2377.11899605296</v>
      </c>
      <c r="I22" s="36" t="n">
        <f aca="false">H22*($I$4/4)</f>
        <v>47.5423799210592</v>
      </c>
      <c r="J22" s="36" t="n">
        <f aca="false">$J$10</f>
        <v>1260.32</v>
      </c>
      <c r="K22" s="36" t="n">
        <f aca="false">H22+I22-J22</f>
        <v>1164.34137597402</v>
      </c>
    </row>
    <row r="23" customFormat="false" ht="15" hidden="false" customHeight="false" outlineLevel="0" collapsed="false">
      <c r="G23" s="0" t="n">
        <v>17</v>
      </c>
      <c r="H23" s="24" t="n">
        <f aca="false">K22</f>
        <v>1164.34137597402</v>
      </c>
      <c r="I23" s="36" t="n">
        <f aca="false">H23*($I$4/4)</f>
        <v>23.2868275194804</v>
      </c>
      <c r="J23" s="36" t="n">
        <v>0</v>
      </c>
      <c r="K23" s="36" t="n">
        <f aca="false">H23+I23-J23</f>
        <v>1187.6282034935</v>
      </c>
    </row>
    <row r="24" customFormat="false" ht="15" hidden="false" customHeight="false" outlineLevel="0" collapsed="false">
      <c r="G24" s="0" t="n">
        <v>18</v>
      </c>
      <c r="H24" s="24" t="n">
        <f aca="false">K23</f>
        <v>1187.6282034935</v>
      </c>
      <c r="I24" s="36" t="n">
        <f aca="false">H24*($I$4/4)</f>
        <v>23.75256406987</v>
      </c>
      <c r="J24" s="36" t="n">
        <v>0</v>
      </c>
      <c r="K24" s="36" t="n">
        <f aca="false">H24+I24-J24</f>
        <v>1211.38076756337</v>
      </c>
    </row>
    <row r="25" customFormat="false" ht="15" hidden="false" customHeight="false" outlineLevel="0" collapsed="false">
      <c r="G25" s="0" t="n">
        <v>19</v>
      </c>
      <c r="H25" s="24" t="n">
        <f aca="false">K24</f>
        <v>1211.38076756337</v>
      </c>
      <c r="I25" s="36" t="n">
        <f aca="false">H25*($I$4/4)</f>
        <v>24.2276153512674</v>
      </c>
      <c r="J25" s="36" t="n">
        <v>0</v>
      </c>
      <c r="K25" s="36" t="n">
        <f aca="false">H25+I25-J25</f>
        <v>1235.60838291464</v>
      </c>
    </row>
    <row r="26" customFormat="false" ht="15" hidden="false" customHeight="false" outlineLevel="0" collapsed="false">
      <c r="G26" s="0" t="n">
        <v>20</v>
      </c>
      <c r="H26" s="24" t="n">
        <f aca="false">K25</f>
        <v>1235.60838291464</v>
      </c>
      <c r="I26" s="36" t="n">
        <f aca="false">H26*($I$4/4)</f>
        <v>24.7121676582927</v>
      </c>
      <c r="J26" s="36" t="n">
        <f aca="false">$J$10</f>
        <v>1260.32</v>
      </c>
      <c r="K26" s="52" t="n">
        <f aca="false">H26+I26-J26</f>
        <v>0.000550572928432302</v>
      </c>
    </row>
    <row r="28" customFormat="false" ht="15" hidden="false" customHeight="false" outlineLevel="0" collapsed="false">
      <c r="H28" s="0" t="s">
        <v>127</v>
      </c>
    </row>
    <row r="29" customFormat="false" ht="15" hidden="false" customHeight="false" outlineLevel="0" collapsed="false">
      <c r="H29" s="0" t="s">
        <v>128</v>
      </c>
    </row>
    <row r="31" customFormat="false" ht="15" hidden="false" customHeight="false" outlineLevel="0" collapsed="false">
      <c r="I31" s="56" t="n">
        <f aca="false">SUM(I7:I26)</f>
        <v>1301.60055057293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5.29"/>
    <col collapsed="false" customWidth="true" hidden="false" outlineLevel="0" max="5" min="5" style="0" width="23.86"/>
    <col collapsed="false" customWidth="true" hidden="false" outlineLevel="0" max="7" min="6" style="0" width="7.42"/>
    <col collapsed="false" customWidth="true" hidden="false" outlineLevel="0" max="8" min="8" style="0" width="14.71"/>
  </cols>
  <sheetData>
    <row r="1" customFormat="false" ht="15" hidden="false" customHeight="false" outlineLevel="0" collapsed="false">
      <c r="A1" s="29" t="s">
        <v>129</v>
      </c>
    </row>
    <row r="2" customFormat="false" ht="15" hidden="false" customHeight="false" outlineLevel="0" collapsed="false">
      <c r="A2" s="5" t="s">
        <v>130</v>
      </c>
      <c r="B2" s="5"/>
      <c r="C2" s="5"/>
      <c r="D2" s="27"/>
      <c r="E2" s="27"/>
    </row>
    <row r="5" customFormat="false" ht="15" hidden="false" customHeight="false" outlineLevel="0" collapsed="false">
      <c r="A5" s="4" t="s">
        <v>11</v>
      </c>
      <c r="B5" s="55" t="n">
        <v>0.05</v>
      </c>
    </row>
    <row r="6" customFormat="false" ht="15" hidden="false" customHeight="false" outlineLevel="0" collapsed="false">
      <c r="A6" s="4" t="s">
        <v>112</v>
      </c>
      <c r="B6" s="21" t="n">
        <v>500</v>
      </c>
    </row>
    <row r="7" customFormat="false" ht="15" hidden="false" customHeight="false" outlineLevel="0" collapsed="false">
      <c r="A7" s="4" t="s">
        <v>10</v>
      </c>
      <c r="B7" s="0" t="n">
        <v>5</v>
      </c>
    </row>
    <row r="9" customFormat="false" ht="15" hidden="false" customHeight="false" outlineLevel="0" collapsed="false">
      <c r="A9" s="0" t="s">
        <v>125</v>
      </c>
      <c r="B9" s="39" t="n">
        <f aca="false">B6*(EXP(B5*B7)-1)/(EXP(B5)-1)</f>
        <v>2769.83950767006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1" activeCellId="0" sqref="D2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2.86"/>
    <col collapsed="false" customWidth="true" hidden="false" outlineLevel="0" max="3" min="3" style="0" width="15.29"/>
    <col collapsed="false" customWidth="true" hidden="false" outlineLevel="0" max="4" min="4" style="0" width="4.29"/>
    <col collapsed="false" customWidth="true" hidden="false" outlineLevel="0" max="6" min="6" style="0" width="7.42"/>
    <col collapsed="false" customWidth="true" hidden="false" outlineLevel="0" max="8" min="8" style="0" width="16.71"/>
    <col collapsed="false" customWidth="true" hidden="false" outlineLevel="0" max="9" min="9" style="0" width="13.57"/>
    <col collapsed="false" customWidth="true" hidden="false" outlineLevel="0" max="10" min="10" style="0" width="7"/>
    <col collapsed="false" customWidth="true" hidden="false" outlineLevel="0" max="11" min="11" style="0" width="14.14"/>
    <col collapsed="false" customWidth="true" hidden="false" outlineLevel="0" max="12" min="12" style="0" width="14.71"/>
  </cols>
  <sheetData>
    <row r="1" customFormat="false" ht="15" hidden="false" customHeight="false" outlineLevel="0" collapsed="false">
      <c r="A1" s="29" t="s">
        <v>131</v>
      </c>
    </row>
    <row r="2" customFormat="false" ht="15" hidden="false" customHeight="false" outlineLevel="0" collapsed="false">
      <c r="A2" s="29"/>
      <c r="B2" s="5" t="s">
        <v>96</v>
      </c>
      <c r="C2" s="5"/>
      <c r="D2" s="5"/>
      <c r="H2" s="5" t="s">
        <v>132</v>
      </c>
      <c r="I2" s="5"/>
      <c r="J2" s="5"/>
    </row>
    <row r="3" customFormat="false" ht="15" hidden="false" customHeight="false" outlineLevel="0" collapsed="false">
      <c r="E3" s="27"/>
      <c r="H3" s="5" t="s">
        <v>133</v>
      </c>
      <c r="I3" s="5"/>
      <c r="J3" s="27"/>
      <c r="K3" s="5" t="s">
        <v>134</v>
      </c>
      <c r="L3" s="5"/>
    </row>
    <row r="5" customFormat="false" ht="15" hidden="false" customHeight="false" outlineLevel="0" collapsed="false">
      <c r="B5" s="4" t="s">
        <v>11</v>
      </c>
      <c r="C5" s="55" t="n">
        <v>0.06</v>
      </c>
      <c r="H5" s="0" t="s">
        <v>0</v>
      </c>
      <c r="I5" s="34" t="n">
        <v>0.06</v>
      </c>
      <c r="J5" s="34"/>
    </row>
    <row r="7" customFormat="false" ht="15" hidden="false" customHeight="false" outlineLevel="0" collapsed="false">
      <c r="C7" s="5" t="s">
        <v>133</v>
      </c>
      <c r="D7" s="5"/>
      <c r="E7" s="5" t="s">
        <v>134</v>
      </c>
      <c r="G7" s="5" t="s">
        <v>33</v>
      </c>
      <c r="H7" s="5" t="s">
        <v>135</v>
      </c>
      <c r="I7" s="5" t="s">
        <v>136</v>
      </c>
      <c r="J7" s="34"/>
      <c r="K7" s="5" t="s">
        <v>135</v>
      </c>
      <c r="L7" s="5" t="s">
        <v>136</v>
      </c>
    </row>
    <row r="8" customFormat="false" ht="15" hidden="false" customHeight="false" outlineLevel="0" collapsed="false">
      <c r="B8" s="4" t="s">
        <v>137</v>
      </c>
      <c r="C8" s="21" t="n">
        <v>300</v>
      </c>
      <c r="E8" s="0" t="n">
        <v>400</v>
      </c>
      <c r="G8" s="0" t="n">
        <v>0</v>
      </c>
      <c r="H8" s="24" t="n">
        <v>300</v>
      </c>
      <c r="I8" s="36" t="n">
        <f aca="false">H8/(1+I$5)^G8</f>
        <v>300</v>
      </c>
      <c r="J8" s="34"/>
      <c r="K8" s="24" t="n">
        <v>400</v>
      </c>
      <c r="L8" s="36" t="n">
        <f aca="false">K8/(1+L$5)^J8</f>
        <v>400</v>
      </c>
      <c r="N8" s="0" t="n">
        <v>381</v>
      </c>
      <c r="O8" s="0" t="n">
        <v>300</v>
      </c>
      <c r="P8" s="0" t="n">
        <v>81</v>
      </c>
    </row>
    <row r="9" customFormat="false" ht="15" hidden="false" customHeight="false" outlineLevel="0" collapsed="false">
      <c r="B9" s="4" t="s">
        <v>138</v>
      </c>
      <c r="C9" s="21" t="n">
        <v>350</v>
      </c>
      <c r="G9" s="0" t="n">
        <v>1</v>
      </c>
      <c r="H9" s="24" t="n">
        <v>0</v>
      </c>
      <c r="I9" s="36" t="n">
        <f aca="false">H9/(1+I$5)^G9</f>
        <v>0</v>
      </c>
      <c r="J9" s="34"/>
      <c r="K9" s="24" t="n">
        <v>0</v>
      </c>
      <c r="L9" s="36" t="n">
        <f aca="false">K9/(1+L$5)^J9</f>
        <v>0</v>
      </c>
      <c r="P9" s="0" t="n">
        <f aca="false">P8*1.06</f>
        <v>85.86</v>
      </c>
    </row>
    <row r="10" customFormat="false" ht="15" hidden="false" customHeight="false" outlineLevel="0" collapsed="false">
      <c r="B10" s="4" t="s">
        <v>139</v>
      </c>
      <c r="C10" s="0" t="n">
        <v>0</v>
      </c>
      <c r="E10" s="0" t="n">
        <v>0</v>
      </c>
      <c r="G10" s="0" t="n">
        <v>2</v>
      </c>
      <c r="H10" s="24" t="n">
        <v>0</v>
      </c>
      <c r="I10" s="36" t="n">
        <f aca="false">H10/(1+I$5)^G10</f>
        <v>0</v>
      </c>
      <c r="J10" s="34"/>
      <c r="K10" s="24" t="n">
        <v>0</v>
      </c>
      <c r="L10" s="36" t="n">
        <f aca="false">K10/(1+L$5)^J10</f>
        <v>0</v>
      </c>
      <c r="P10" s="0" t="n">
        <f aca="false">P9*1.06</f>
        <v>91.0116</v>
      </c>
    </row>
    <row r="11" customFormat="false" ht="15" hidden="false" customHeight="false" outlineLevel="0" collapsed="false">
      <c r="B11" s="4" t="s">
        <v>140</v>
      </c>
      <c r="C11" s="0" t="n">
        <v>25</v>
      </c>
      <c r="G11" s="0" t="n">
        <v>3</v>
      </c>
      <c r="H11" s="24" t="n">
        <v>0</v>
      </c>
      <c r="I11" s="36" t="n">
        <f aca="false">H11/(1+I$5)^G11</f>
        <v>0</v>
      </c>
      <c r="J11" s="34"/>
      <c r="K11" s="24" t="n">
        <v>0</v>
      </c>
      <c r="L11" s="36" t="n">
        <f aca="false">K11/(1+L$5)^J11</f>
        <v>0</v>
      </c>
      <c r="P11" s="0" t="n">
        <f aca="false">P10*1.06</f>
        <v>96.472296</v>
      </c>
    </row>
    <row r="12" customFormat="false" ht="15" hidden="false" customHeight="false" outlineLevel="0" collapsed="false">
      <c r="B12" s="4"/>
      <c r="G12" s="0" t="n">
        <v>4</v>
      </c>
      <c r="H12" s="24" t="n">
        <v>0</v>
      </c>
      <c r="I12" s="36" t="n">
        <f aca="false">H12/(1+I$5)^G12</f>
        <v>0</v>
      </c>
      <c r="J12" s="34"/>
      <c r="K12" s="24" t="n">
        <v>0</v>
      </c>
      <c r="L12" s="36" t="n">
        <f aca="false">K12/(1+L$5)^J12</f>
        <v>0</v>
      </c>
      <c r="P12" s="0" t="n">
        <f aca="false">P11*1.06</f>
        <v>102.26063376</v>
      </c>
    </row>
    <row r="13" customFormat="false" ht="15" hidden="false" customHeight="false" outlineLevel="0" collapsed="false">
      <c r="B13" s="4" t="s">
        <v>141</v>
      </c>
      <c r="C13" s="57" t="n">
        <f aca="false">C8/((1+C$5)^C10)</f>
        <v>300</v>
      </c>
      <c r="D13" s="32"/>
      <c r="E13" s="57" t="n">
        <f aca="false">E8/((1+C$5)^E10)</f>
        <v>400</v>
      </c>
      <c r="G13" s="0" t="n">
        <v>5</v>
      </c>
      <c r="H13" s="24" t="n">
        <v>0</v>
      </c>
      <c r="I13" s="36" t="n">
        <f aca="false">H13/(1+I$5)^G13</f>
        <v>0</v>
      </c>
      <c r="J13" s="34"/>
      <c r="K13" s="24" t="n">
        <v>0</v>
      </c>
      <c r="L13" s="36" t="n">
        <f aca="false">K13/(1+L$5)^J13</f>
        <v>0</v>
      </c>
      <c r="P13" s="0" t="n">
        <f aca="false">P12*1.06</f>
        <v>108.3962717856</v>
      </c>
    </row>
    <row r="14" customFormat="false" ht="15" hidden="false" customHeight="false" outlineLevel="0" collapsed="false">
      <c r="B14" s="4" t="s">
        <v>142</v>
      </c>
      <c r="C14" s="57" t="n">
        <f aca="false">C9/((1+C$5)^C11)</f>
        <v>81.5495206763633</v>
      </c>
      <c r="D14" s="32"/>
      <c r="E14" s="32"/>
      <c r="G14" s="0" t="n">
        <v>6</v>
      </c>
      <c r="H14" s="24" t="n">
        <v>0</v>
      </c>
      <c r="I14" s="36" t="n">
        <f aca="false">H14/(1+I$5)^G14</f>
        <v>0</v>
      </c>
      <c r="J14" s="34"/>
      <c r="K14" s="24" t="n">
        <v>0</v>
      </c>
      <c r="L14" s="36" t="n">
        <f aca="false">K14/(1+L$5)^J14</f>
        <v>0</v>
      </c>
      <c r="P14" s="0" t="n">
        <f aca="false">P13*1.06</f>
        <v>114.900048092736</v>
      </c>
    </row>
    <row r="15" customFormat="false" ht="15" hidden="false" customHeight="false" outlineLevel="0" collapsed="false">
      <c r="G15" s="0" t="n">
        <v>7</v>
      </c>
      <c r="H15" s="24" t="n">
        <v>0</v>
      </c>
      <c r="I15" s="36" t="n">
        <f aca="false">H15/(1+I$5)^G15</f>
        <v>0</v>
      </c>
      <c r="J15" s="34"/>
      <c r="K15" s="24" t="n">
        <v>0</v>
      </c>
      <c r="L15" s="36" t="n">
        <f aca="false">K15/(1+L$5)^J15</f>
        <v>0</v>
      </c>
      <c r="P15" s="0" t="n">
        <f aca="false">P14*1.06</f>
        <v>121.7940509783</v>
      </c>
    </row>
    <row r="16" customFormat="false" ht="15" hidden="false" customHeight="false" outlineLevel="0" collapsed="false">
      <c r="B16" s="4" t="s">
        <v>58</v>
      </c>
      <c r="C16" s="28" t="n">
        <f aca="false">SUM(C13:C14)</f>
        <v>381.549520676363</v>
      </c>
      <c r="E16" s="28" t="n">
        <f aca="false">SUM(E13:E14)</f>
        <v>400</v>
      </c>
      <c r="G16" s="0" t="n">
        <v>8</v>
      </c>
      <c r="H16" s="24" t="n">
        <v>0</v>
      </c>
      <c r="I16" s="36" t="n">
        <f aca="false">H16/(1+I$5)^G16</f>
        <v>0</v>
      </c>
      <c r="J16" s="34"/>
      <c r="K16" s="24" t="n">
        <v>0</v>
      </c>
      <c r="L16" s="36" t="n">
        <f aca="false">K16/(1+L$5)^J16</f>
        <v>0</v>
      </c>
      <c r="P16" s="0" t="n">
        <f aca="false">P15*1.06</f>
        <v>129.101694036998</v>
      </c>
    </row>
    <row r="17" customFormat="false" ht="15" hidden="false" customHeight="false" outlineLevel="0" collapsed="false">
      <c r="G17" s="0" t="n">
        <v>9</v>
      </c>
      <c r="H17" s="24" t="n">
        <v>0</v>
      </c>
      <c r="I17" s="36" t="n">
        <f aca="false">H17/(1+I$5)^G17</f>
        <v>0</v>
      </c>
      <c r="J17" s="34"/>
      <c r="K17" s="24" t="n">
        <v>0</v>
      </c>
      <c r="L17" s="36" t="n">
        <f aca="false">K17/(1+L$5)^J17</f>
        <v>0</v>
      </c>
      <c r="P17" s="0" t="n">
        <f aca="false">P16*1.06</f>
        <v>136.847795679218</v>
      </c>
    </row>
    <row r="18" customFormat="false" ht="15" hidden="false" customHeight="false" outlineLevel="0" collapsed="false">
      <c r="G18" s="0" t="n">
        <v>10</v>
      </c>
      <c r="H18" s="24" t="n">
        <v>0</v>
      </c>
      <c r="I18" s="36" t="n">
        <f aca="false">H18/(1+I$5)^G18</f>
        <v>0</v>
      </c>
      <c r="J18" s="34"/>
      <c r="K18" s="24" t="n">
        <v>0</v>
      </c>
      <c r="L18" s="36" t="n">
        <f aca="false">K18/(1+L$5)^J18</f>
        <v>0</v>
      </c>
      <c r="P18" s="0" t="n">
        <f aca="false">P17*1.06</f>
        <v>145.058663419971</v>
      </c>
    </row>
    <row r="19" customFormat="false" ht="15" hidden="false" customHeight="false" outlineLevel="0" collapsed="false">
      <c r="G19" s="0" t="n">
        <v>11</v>
      </c>
      <c r="H19" s="24" t="n">
        <v>0</v>
      </c>
      <c r="I19" s="36" t="n">
        <f aca="false">H19/(1+I$5)^G19</f>
        <v>0</v>
      </c>
      <c r="J19" s="34"/>
      <c r="K19" s="24" t="n">
        <v>0</v>
      </c>
      <c r="L19" s="36" t="n">
        <f aca="false">K19/(1+L$5)^J19</f>
        <v>0</v>
      </c>
      <c r="P19" s="0" t="n">
        <f aca="false">P18*1.06</f>
        <v>153.762183225169</v>
      </c>
    </row>
    <row r="20" customFormat="false" ht="15" hidden="false" customHeight="false" outlineLevel="0" collapsed="false">
      <c r="G20" s="0" t="n">
        <v>12</v>
      </c>
      <c r="H20" s="24" t="n">
        <v>0</v>
      </c>
      <c r="I20" s="36" t="n">
        <f aca="false">H20/(1+I$5)^G20</f>
        <v>0</v>
      </c>
      <c r="J20" s="34"/>
      <c r="K20" s="24" t="n">
        <v>0</v>
      </c>
      <c r="L20" s="36" t="n">
        <f aca="false">K20/(1+L$5)^J20</f>
        <v>0</v>
      </c>
      <c r="P20" s="0" t="n">
        <f aca="false">P19*1.06</f>
        <v>162.98791421868</v>
      </c>
    </row>
    <row r="21" customFormat="false" ht="15" hidden="false" customHeight="false" outlineLevel="0" collapsed="false">
      <c r="G21" s="0" t="n">
        <v>13</v>
      </c>
      <c r="H21" s="24" t="n">
        <v>0</v>
      </c>
      <c r="I21" s="36" t="n">
        <f aca="false">H21/(1+I$5)^G21</f>
        <v>0</v>
      </c>
      <c r="J21" s="34"/>
      <c r="K21" s="24" t="n">
        <v>0</v>
      </c>
      <c r="L21" s="36" t="n">
        <f aca="false">K21/(1+L$5)^J21</f>
        <v>0</v>
      </c>
      <c r="P21" s="0" t="n">
        <f aca="false">P20*1.06</f>
        <v>172.7671890718</v>
      </c>
    </row>
    <row r="22" customFormat="false" ht="15" hidden="false" customHeight="false" outlineLevel="0" collapsed="false">
      <c r="G22" s="0" t="n">
        <v>14</v>
      </c>
      <c r="H22" s="24" t="n">
        <v>0</v>
      </c>
      <c r="I22" s="36" t="n">
        <f aca="false">H22/(1+I$5)^G22</f>
        <v>0</v>
      </c>
      <c r="J22" s="34"/>
      <c r="K22" s="24" t="n">
        <v>0</v>
      </c>
      <c r="L22" s="36" t="n">
        <f aca="false">K22/(1+L$5)^J22</f>
        <v>0</v>
      </c>
      <c r="P22" s="0" t="n">
        <f aca="false">P21*1.06</f>
        <v>183.133220416109</v>
      </c>
    </row>
    <row r="23" customFormat="false" ht="15" hidden="false" customHeight="false" outlineLevel="0" collapsed="false">
      <c r="G23" s="0" t="n">
        <v>15</v>
      </c>
      <c r="H23" s="24" t="n">
        <v>0</v>
      </c>
      <c r="I23" s="36" t="n">
        <f aca="false">H23/(1+I$5)^G23</f>
        <v>0</v>
      </c>
      <c r="J23" s="34"/>
      <c r="K23" s="24" t="n">
        <v>0</v>
      </c>
      <c r="L23" s="36" t="n">
        <f aca="false">K23/(1+L$5)^J23</f>
        <v>0</v>
      </c>
      <c r="P23" s="0" t="n">
        <f aca="false">P22*1.06</f>
        <v>194.121213641075</v>
      </c>
    </row>
    <row r="24" customFormat="false" ht="15" hidden="false" customHeight="false" outlineLevel="0" collapsed="false">
      <c r="G24" s="0" t="n">
        <v>16</v>
      </c>
      <c r="H24" s="24" t="n">
        <v>0</v>
      </c>
      <c r="I24" s="36" t="n">
        <f aca="false">H24/(1+I$5)^G24</f>
        <v>0</v>
      </c>
      <c r="J24" s="34"/>
      <c r="K24" s="24" t="n">
        <v>0</v>
      </c>
      <c r="L24" s="36" t="n">
        <f aca="false">K24/(1+L$5)^J24</f>
        <v>0</v>
      </c>
      <c r="P24" s="0" t="n">
        <f aca="false">P23*1.06</f>
        <v>205.76848645954</v>
      </c>
    </row>
    <row r="25" customFormat="false" ht="15" hidden="false" customHeight="false" outlineLevel="0" collapsed="false">
      <c r="G25" s="0" t="n">
        <v>17</v>
      </c>
      <c r="H25" s="24" t="n">
        <v>0</v>
      </c>
      <c r="I25" s="36" t="n">
        <f aca="false">H25/(1+I$5)^G25</f>
        <v>0</v>
      </c>
      <c r="J25" s="34"/>
      <c r="K25" s="24" t="n">
        <v>0</v>
      </c>
      <c r="L25" s="36" t="n">
        <f aca="false">K25/(1+L$5)^J25</f>
        <v>0</v>
      </c>
      <c r="P25" s="0" t="n">
        <f aca="false">P24*1.06</f>
        <v>218.114595647112</v>
      </c>
    </row>
    <row r="26" customFormat="false" ht="15" hidden="false" customHeight="false" outlineLevel="0" collapsed="false">
      <c r="G26" s="0" t="n">
        <v>18</v>
      </c>
      <c r="H26" s="24" t="n">
        <v>0</v>
      </c>
      <c r="I26" s="36" t="n">
        <f aca="false">H26/(1+I$5)^G26</f>
        <v>0</v>
      </c>
      <c r="J26" s="34"/>
      <c r="K26" s="24" t="n">
        <v>0</v>
      </c>
      <c r="L26" s="36" t="n">
        <f aca="false">K26/(1+L$5)^J26</f>
        <v>0</v>
      </c>
      <c r="P26" s="0" t="n">
        <f aca="false">P25*1.06</f>
        <v>231.201471385939</v>
      </c>
    </row>
    <row r="27" customFormat="false" ht="15" hidden="false" customHeight="false" outlineLevel="0" collapsed="false">
      <c r="G27" s="0" t="n">
        <v>19</v>
      </c>
      <c r="H27" s="24" t="n">
        <v>0</v>
      </c>
      <c r="I27" s="36" t="n">
        <f aca="false">H27/(1+I$5)^G27</f>
        <v>0</v>
      </c>
      <c r="J27" s="34"/>
      <c r="K27" s="24" t="n">
        <v>0</v>
      </c>
      <c r="L27" s="36" t="n">
        <f aca="false">K27/(1+L$5)^J27</f>
        <v>0</v>
      </c>
      <c r="P27" s="0" t="n">
        <f aca="false">P26*1.06</f>
        <v>245.073559669095</v>
      </c>
    </row>
    <row r="28" customFormat="false" ht="15" hidden="false" customHeight="false" outlineLevel="0" collapsed="false">
      <c r="G28" s="0" t="n">
        <v>20</v>
      </c>
      <c r="H28" s="24" t="n">
        <v>0</v>
      </c>
      <c r="I28" s="36" t="n">
        <f aca="false">H28/(1+I$5)^G28</f>
        <v>0</v>
      </c>
      <c r="J28" s="34"/>
      <c r="K28" s="24" t="n">
        <v>0</v>
      </c>
      <c r="L28" s="36" t="n">
        <f aca="false">K28/(1+L$5)^J28</f>
        <v>0</v>
      </c>
      <c r="P28" s="0" t="n">
        <f aca="false">P27*1.06</f>
        <v>259.777973249241</v>
      </c>
    </row>
    <row r="29" customFormat="false" ht="15" hidden="false" customHeight="false" outlineLevel="0" collapsed="false">
      <c r="G29" s="0" t="n">
        <v>21</v>
      </c>
      <c r="H29" s="24" t="n">
        <v>0</v>
      </c>
      <c r="I29" s="36" t="n">
        <f aca="false">H29/(1+I$5)^G29</f>
        <v>0</v>
      </c>
      <c r="J29" s="34"/>
      <c r="K29" s="24" t="n">
        <v>0</v>
      </c>
      <c r="L29" s="36" t="n">
        <f aca="false">K29/(1+L$5)^J29</f>
        <v>0</v>
      </c>
      <c r="P29" s="0" t="n">
        <f aca="false">P28*1.06</f>
        <v>275.364651644195</v>
      </c>
    </row>
    <row r="30" customFormat="false" ht="15" hidden="false" customHeight="false" outlineLevel="0" collapsed="false">
      <c r="G30" s="0" t="n">
        <v>22</v>
      </c>
      <c r="H30" s="24" t="n">
        <v>0</v>
      </c>
      <c r="I30" s="36" t="n">
        <f aca="false">H30/(1+I$5)^G30</f>
        <v>0</v>
      </c>
      <c r="J30" s="34"/>
      <c r="K30" s="24" t="n">
        <v>0</v>
      </c>
      <c r="L30" s="36" t="n">
        <f aca="false">K30/(1+L$5)^J30</f>
        <v>0</v>
      </c>
      <c r="P30" s="0" t="n">
        <f aca="false">P29*1.06</f>
        <v>291.886530742847</v>
      </c>
    </row>
    <row r="31" customFormat="false" ht="15" hidden="false" customHeight="false" outlineLevel="0" collapsed="false">
      <c r="G31" s="0" t="n">
        <v>23</v>
      </c>
      <c r="H31" s="24" t="n">
        <v>0</v>
      </c>
      <c r="I31" s="36" t="n">
        <f aca="false">H31/(1+I$5)^G31</f>
        <v>0</v>
      </c>
      <c r="J31" s="34"/>
      <c r="K31" s="24" t="n">
        <v>0</v>
      </c>
      <c r="L31" s="36" t="n">
        <f aca="false">K31/(1+L$5)^J31</f>
        <v>0</v>
      </c>
      <c r="P31" s="0" t="n">
        <f aca="false">P30*1.06</f>
        <v>309.399722587418</v>
      </c>
    </row>
    <row r="32" customFormat="false" ht="15" hidden="false" customHeight="false" outlineLevel="0" collapsed="false">
      <c r="G32" s="0" t="n">
        <v>24</v>
      </c>
      <c r="H32" s="24" t="n">
        <v>0</v>
      </c>
      <c r="I32" s="36" t="n">
        <f aca="false">H32/(1+I$5)^G32</f>
        <v>0</v>
      </c>
      <c r="J32" s="34"/>
      <c r="K32" s="24" t="n">
        <v>0</v>
      </c>
      <c r="L32" s="36" t="n">
        <f aca="false">K32/(1+L$5)^J32</f>
        <v>0</v>
      </c>
      <c r="P32" s="0" t="n">
        <f aca="false">P31*1.06</f>
        <v>327.963705942663</v>
      </c>
    </row>
    <row r="33" customFormat="false" ht="15" hidden="false" customHeight="false" outlineLevel="0" collapsed="false">
      <c r="G33" s="0" t="n">
        <v>25</v>
      </c>
      <c r="H33" s="24" t="n">
        <v>350</v>
      </c>
      <c r="I33" s="36" t="n">
        <f aca="false">H33/(1+I$5)^G33</f>
        <v>81.5495206763633</v>
      </c>
      <c r="J33" s="34"/>
      <c r="K33" s="24" t="n">
        <v>0</v>
      </c>
      <c r="L33" s="36" t="n">
        <f aca="false">K33/(1+L$5)^J33</f>
        <v>0</v>
      </c>
      <c r="P33" s="0" t="n">
        <f aca="false">P32*1.06</f>
        <v>347.641528299222</v>
      </c>
    </row>
    <row r="35" customFormat="false" ht="15" hidden="false" customHeight="false" outlineLevel="0" collapsed="false">
      <c r="G35" s="0" t="s">
        <v>143</v>
      </c>
      <c r="I35" s="58" t="n">
        <f aca="false">SUM(I8:I33)</f>
        <v>381.549520676363</v>
      </c>
      <c r="L35" s="58" t="n">
        <f aca="false">SUM(L8:L33)</f>
        <v>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E19" activeCellId="0" sqref="E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2.86"/>
    <col collapsed="false" customWidth="true" hidden="false" outlineLevel="0" max="3" min="3" style="0" width="16.43"/>
    <col collapsed="false" customWidth="true" hidden="false" outlineLevel="0" max="4" min="4" style="0" width="4.29"/>
    <col collapsed="false" customWidth="true" hidden="false" outlineLevel="0" max="5" min="5" style="0" width="19.14"/>
    <col collapsed="false" customWidth="true" hidden="false" outlineLevel="0" max="9" min="6" style="0" width="7.42"/>
    <col collapsed="false" customWidth="true" hidden="false" outlineLevel="0" max="10" min="10" style="0" width="8.71"/>
    <col collapsed="false" customWidth="true" hidden="false" outlineLevel="0" max="11" min="11" style="0" width="7.42"/>
    <col collapsed="false" customWidth="true" hidden="false" outlineLevel="0" max="12" min="12" style="0" width="7.57"/>
    <col collapsed="false" customWidth="true" hidden="false" outlineLevel="0" max="13" min="13" style="0" width="18.29"/>
    <col collapsed="false" customWidth="true" hidden="false" outlineLevel="0" max="14" min="14" style="0" width="13.57"/>
    <col collapsed="false" customWidth="true" hidden="false" outlineLevel="0" max="15" min="15" style="0" width="7"/>
    <col collapsed="false" customWidth="true" hidden="false" outlineLevel="0" max="16" min="16" style="0" width="19.14"/>
    <col collapsed="false" customWidth="true" hidden="false" outlineLevel="0" max="17" min="17" style="0" width="14.71"/>
  </cols>
  <sheetData>
    <row r="1" customFormat="false" ht="15" hidden="false" customHeight="false" outlineLevel="0" collapsed="false">
      <c r="A1" s="29" t="s">
        <v>144</v>
      </c>
    </row>
    <row r="2" customFormat="false" ht="15" hidden="false" customHeight="false" outlineLevel="0" collapsed="false">
      <c r="A2" s="29"/>
      <c r="B2" s="5" t="s">
        <v>96</v>
      </c>
      <c r="C2" s="5"/>
      <c r="D2" s="5"/>
      <c r="M2" s="5" t="s">
        <v>145</v>
      </c>
      <c r="N2" s="5"/>
      <c r="O2" s="5"/>
    </row>
    <row r="3" customFormat="false" ht="15" hidden="false" customHeight="false" outlineLevel="0" collapsed="false">
      <c r="E3" s="27"/>
      <c r="M3" s="5" t="s">
        <v>133</v>
      </c>
      <c r="N3" s="5"/>
      <c r="O3" s="27"/>
      <c r="P3" s="5" t="s">
        <v>134</v>
      </c>
      <c r="Q3" s="5"/>
    </row>
    <row r="5" customFormat="false" ht="15" hidden="false" customHeight="false" outlineLevel="0" collapsed="false">
      <c r="B5" s="4" t="s">
        <v>11</v>
      </c>
      <c r="C5" s="38" t="n">
        <v>0.07</v>
      </c>
      <c r="M5" s="0" t="s">
        <v>0</v>
      </c>
      <c r="N5" s="34" t="n">
        <v>0.07</v>
      </c>
      <c r="O5" s="34"/>
    </row>
    <row r="7" customFormat="false" ht="30" hidden="false" customHeight="false" outlineLevel="0" collapsed="false">
      <c r="C7" s="3" t="s">
        <v>146</v>
      </c>
      <c r="D7" s="5"/>
      <c r="E7" s="3" t="s">
        <v>147</v>
      </c>
      <c r="L7" s="5" t="s">
        <v>33</v>
      </c>
      <c r="M7" s="5" t="s">
        <v>148</v>
      </c>
      <c r="N7" s="5" t="s">
        <v>136</v>
      </c>
      <c r="O7" s="34"/>
      <c r="P7" s="5" t="s">
        <v>148</v>
      </c>
      <c r="Q7" s="5" t="s">
        <v>136</v>
      </c>
    </row>
    <row r="8" customFormat="false" ht="15" hidden="false" customHeight="false" outlineLevel="0" collapsed="false">
      <c r="B8" s="4" t="s">
        <v>112</v>
      </c>
      <c r="C8" s="13" t="n">
        <v>300</v>
      </c>
      <c r="E8" s="8" t="n">
        <v>300</v>
      </c>
      <c r="L8" s="46" t="n">
        <v>0</v>
      </c>
      <c r="M8" s="24" t="n">
        <v>-1000</v>
      </c>
      <c r="N8" s="36" t="n">
        <f aca="false">M8/(1+N$5)^L8</f>
        <v>-1000</v>
      </c>
      <c r="O8" s="34"/>
      <c r="P8" s="24" t="n">
        <v>-1350</v>
      </c>
      <c r="Q8" s="36" t="n">
        <f aca="false">P8/(1+Q$5)^O8</f>
        <v>-1350</v>
      </c>
    </row>
    <row r="9" customFormat="false" ht="15" hidden="false" customHeight="false" outlineLevel="0" collapsed="false">
      <c r="B9" s="4" t="s">
        <v>100</v>
      </c>
      <c r="C9" s="21"/>
      <c r="E9" s="8" t="n">
        <v>50</v>
      </c>
      <c r="L9" s="46" t="n">
        <v>1</v>
      </c>
      <c r="M9" s="24" t="n">
        <v>300</v>
      </c>
      <c r="N9" s="36" t="n">
        <f aca="false">M9/(1+N$5)^L9</f>
        <v>280.373831775701</v>
      </c>
      <c r="O9" s="34"/>
      <c r="P9" s="24" t="n">
        <v>300</v>
      </c>
      <c r="Q9" s="36" t="n">
        <f aca="false">P9/(1+N$5)^L9</f>
        <v>280.373831775701</v>
      </c>
    </row>
    <row r="10" customFormat="false" ht="15" hidden="false" customHeight="false" outlineLevel="0" collapsed="false">
      <c r="B10" s="4" t="s">
        <v>139</v>
      </c>
      <c r="C10" s="8" t="n">
        <v>5</v>
      </c>
      <c r="E10" s="8" t="n">
        <v>5</v>
      </c>
      <c r="L10" s="46" t="n">
        <v>2</v>
      </c>
      <c r="M10" s="24" t="n">
        <v>300</v>
      </c>
      <c r="N10" s="36" t="n">
        <f aca="false">M10/(1+N$5)^L10</f>
        <v>262.031618481964</v>
      </c>
      <c r="O10" s="34"/>
      <c r="P10" s="24" t="n">
        <v>350</v>
      </c>
      <c r="Q10" s="36" t="n">
        <f aca="false">P10/(1+N$5)^L10</f>
        <v>305.703554895624</v>
      </c>
    </row>
    <row r="11" customFormat="false" ht="15" hidden="false" customHeight="false" outlineLevel="0" collapsed="false">
      <c r="B11" s="4" t="s">
        <v>140</v>
      </c>
      <c r="C11" s="0" t="n">
        <v>25</v>
      </c>
      <c r="L11" s="46" t="n">
        <v>3</v>
      </c>
      <c r="M11" s="24" t="n">
        <v>300</v>
      </c>
      <c r="N11" s="36" t="n">
        <f aca="false">M11/(1+N$5)^L11</f>
        <v>244.889363067256</v>
      </c>
      <c r="O11" s="34"/>
      <c r="P11" s="24" t="n">
        <v>400</v>
      </c>
      <c r="Q11" s="36" t="n">
        <f aca="false">P11/(1+N$5)^L11</f>
        <v>326.519150756341</v>
      </c>
    </row>
    <row r="12" customFormat="false" ht="15" hidden="false" customHeight="false" outlineLevel="0" collapsed="false">
      <c r="B12" s="4"/>
      <c r="L12" s="46" t="n">
        <v>4</v>
      </c>
      <c r="M12" s="24" t="n">
        <v>300</v>
      </c>
      <c r="N12" s="36" t="n">
        <f aca="false">M12/(1+N$5)^L12</f>
        <v>228.868563614258</v>
      </c>
      <c r="O12" s="34"/>
      <c r="P12" s="24" t="n">
        <v>450</v>
      </c>
      <c r="Q12" s="36" t="n">
        <f aca="false">P12/(1+N$5)^L12</f>
        <v>343.302845421386</v>
      </c>
    </row>
    <row r="13" customFormat="false" ht="15" hidden="false" customHeight="false" outlineLevel="0" collapsed="false">
      <c r="C13" s="47" t="n">
        <f aca="false">(((1+C$5)^C10)-1)/(C5*(1+C5)^C10)</f>
        <v>4.1001974359476</v>
      </c>
      <c r="E13" s="47" t="n">
        <f aca="false">((1+C5)^E10-C5*E10-1)/(C5^2*(1+C5)^E10)</f>
        <v>7.64666483613217</v>
      </c>
      <c r="L13" s="46" t="n">
        <v>5</v>
      </c>
      <c r="M13" s="24" t="n">
        <v>300</v>
      </c>
      <c r="N13" s="36" t="n">
        <f aca="false">M13/(1+N$5)^L13</f>
        <v>213.8958538451</v>
      </c>
      <c r="O13" s="34"/>
      <c r="P13" s="24" t="n">
        <v>500</v>
      </c>
      <c r="Q13" s="36" t="n">
        <f aca="false">P13/(1+N$5)^L13</f>
        <v>356.493089741834</v>
      </c>
    </row>
    <row r="15" customFormat="false" ht="15" hidden="false" customHeight="false" outlineLevel="0" collapsed="false">
      <c r="B15" s="0" t="s">
        <v>149</v>
      </c>
      <c r="C15" s="0" t="n">
        <f aca="false">-1000</f>
        <v>-1000</v>
      </c>
      <c r="E15" s="0" t="n">
        <f aca="false">-1350</f>
        <v>-1350</v>
      </c>
    </row>
    <row r="16" customFormat="false" ht="15" hidden="false" customHeight="false" outlineLevel="0" collapsed="false">
      <c r="B16" s="4" t="s">
        <v>106</v>
      </c>
      <c r="C16" s="57" t="n">
        <f aca="false">C8*(((1+C$5)^C10)-1)/(C5*(1+C5)^C10)</f>
        <v>1230.05923078428</v>
      </c>
      <c r="D16" s="32"/>
      <c r="E16" s="57" t="n">
        <f aca="false">E8*(((1+C$5)^E10)-1)/(C5*(1+C5)^E10)</f>
        <v>1230.05923078428</v>
      </c>
    </row>
    <row r="17" customFormat="false" ht="15" hidden="false" customHeight="false" outlineLevel="0" collapsed="false">
      <c r="B17" s="4" t="s">
        <v>150</v>
      </c>
      <c r="C17" s="57"/>
      <c r="D17" s="32"/>
      <c r="E17" s="57" t="n">
        <f aca="false">E9*((1+C5)^E10-C5*E10-1)/(C5^2*(1+C5)^E10)</f>
        <v>382.333241806609</v>
      </c>
    </row>
    <row r="18" customFormat="false" ht="15" hidden="false" customHeight="false" outlineLevel="0" collapsed="false">
      <c r="B18" s="4" t="s">
        <v>151</v>
      </c>
      <c r="C18" s="28" t="n">
        <f aca="false">C16+C17</f>
        <v>1230.05923078428</v>
      </c>
      <c r="D18" s="28"/>
      <c r="E18" s="28" t="n">
        <f aca="false">E16+E17</f>
        <v>1612.39247259089</v>
      </c>
      <c r="L18" s="0" t="s">
        <v>152</v>
      </c>
      <c r="N18" s="56" t="n">
        <f aca="false">SUM(N9:N13)</f>
        <v>1230.05923078428</v>
      </c>
      <c r="Q18" s="56" t="n">
        <f aca="false">SUM(Q9:Q13)</f>
        <v>1612.39247259089</v>
      </c>
    </row>
    <row r="19" customFormat="false" ht="15" hidden="false" customHeight="false" outlineLevel="0" collapsed="false">
      <c r="B19" s="4" t="s">
        <v>58</v>
      </c>
      <c r="C19" s="59" t="n">
        <f aca="false">SUM(C15:C17)</f>
        <v>230.059230784279</v>
      </c>
      <c r="E19" s="59" t="n">
        <f aca="false">SUM(E15:E17)</f>
        <v>262.392472590887</v>
      </c>
      <c r="L19" s="0" t="s">
        <v>143</v>
      </c>
      <c r="N19" s="58" t="n">
        <f aca="false">SUM(N8:N13)</f>
        <v>230.059230784278</v>
      </c>
      <c r="Q19" s="58" t="n">
        <f aca="false">SUM(Q8:Q13)</f>
        <v>262.392472590886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2.86"/>
    <col collapsed="false" customWidth="true" hidden="false" outlineLevel="0" max="3" min="3" style="0" width="16.43"/>
    <col collapsed="false" customWidth="true" hidden="false" outlineLevel="0" max="4" min="4" style="0" width="4.29"/>
    <col collapsed="false" customWidth="true" hidden="false" outlineLevel="0" max="5" min="5" style="0" width="19.14"/>
    <col collapsed="false" customWidth="true" hidden="false" outlineLevel="0" max="9" min="6" style="0" width="7.42"/>
    <col collapsed="false" customWidth="true" hidden="false" outlineLevel="0" max="10" min="10" style="0" width="8.71"/>
    <col collapsed="false" customWidth="true" hidden="false" outlineLevel="0" max="11" min="11" style="0" width="7.42"/>
    <col collapsed="false" customWidth="true" hidden="false" outlineLevel="0" max="12" min="12" style="0" width="7.57"/>
    <col collapsed="false" customWidth="true" hidden="false" outlineLevel="0" max="13" min="13" style="0" width="18.29"/>
    <col collapsed="false" customWidth="true" hidden="false" outlineLevel="0" max="14" min="14" style="0" width="13.57"/>
    <col collapsed="false" customWidth="true" hidden="false" outlineLevel="0" max="15" min="15" style="0" width="7"/>
    <col collapsed="false" customWidth="true" hidden="false" outlineLevel="0" max="16" min="16" style="0" width="19.14"/>
    <col collapsed="false" customWidth="true" hidden="false" outlineLevel="0" max="17" min="17" style="0" width="14.71"/>
  </cols>
  <sheetData>
    <row r="1" customFormat="false" ht="15" hidden="false" customHeight="false" outlineLevel="0" collapsed="false">
      <c r="A1" s="29" t="s">
        <v>153</v>
      </c>
    </row>
    <row r="2" customFormat="false" ht="15" hidden="false" customHeight="false" outlineLevel="0" collapsed="false">
      <c r="A2" s="29"/>
      <c r="B2" s="5" t="s">
        <v>96</v>
      </c>
      <c r="C2" s="5"/>
      <c r="D2" s="5"/>
      <c r="M2" s="5" t="s">
        <v>145</v>
      </c>
      <c r="N2" s="5"/>
      <c r="O2" s="5"/>
    </row>
    <row r="3" customFormat="false" ht="15" hidden="false" customHeight="false" outlineLevel="0" collapsed="false">
      <c r="E3" s="27"/>
      <c r="M3" s="5" t="s">
        <v>133</v>
      </c>
      <c r="N3" s="5"/>
      <c r="O3" s="27"/>
      <c r="P3" s="5" t="s">
        <v>134</v>
      </c>
      <c r="Q3" s="5"/>
    </row>
    <row r="5" customFormat="false" ht="15" hidden="false" customHeight="false" outlineLevel="0" collapsed="false">
      <c r="B5" s="4" t="s">
        <v>11</v>
      </c>
      <c r="C5" s="38" t="n">
        <v>0.07</v>
      </c>
      <c r="M5" s="0" t="s">
        <v>0</v>
      </c>
      <c r="N5" s="34" t="n">
        <v>0.07</v>
      </c>
      <c r="O5" s="34"/>
    </row>
    <row r="7" customFormat="false" ht="15" hidden="false" customHeight="false" outlineLevel="0" collapsed="false">
      <c r="C7" s="3" t="s">
        <v>133</v>
      </c>
      <c r="D7" s="5"/>
      <c r="E7" s="3" t="s">
        <v>134</v>
      </c>
      <c r="L7" s="5" t="s">
        <v>33</v>
      </c>
      <c r="M7" s="5" t="s">
        <v>148</v>
      </c>
      <c r="N7" s="5" t="s">
        <v>136</v>
      </c>
      <c r="O7" s="34"/>
      <c r="P7" s="5" t="s">
        <v>148</v>
      </c>
      <c r="Q7" s="5" t="s">
        <v>136</v>
      </c>
    </row>
    <row r="8" customFormat="false" ht="15" hidden="false" customHeight="false" outlineLevel="0" collapsed="false">
      <c r="B8" s="4" t="s">
        <v>154</v>
      </c>
      <c r="C8" s="13" t="n">
        <v>-1500</v>
      </c>
      <c r="E8" s="13" t="n">
        <v>-1600</v>
      </c>
      <c r="L8" s="46" t="n">
        <v>0</v>
      </c>
      <c r="M8" s="24" t="n">
        <v>-1500</v>
      </c>
      <c r="N8" s="36" t="n">
        <f aca="false">M8/(1+N$5)^L8</f>
        <v>-1500</v>
      </c>
      <c r="O8" s="34"/>
      <c r="P8" s="24" t="n">
        <v>-1600</v>
      </c>
      <c r="Q8" s="36" t="n">
        <f aca="false">P8/(1+Q$5)^O8</f>
        <v>-1600</v>
      </c>
    </row>
    <row r="9" customFormat="false" ht="15" hidden="false" customHeight="false" outlineLevel="0" collapsed="false">
      <c r="B9" s="4" t="s">
        <v>155</v>
      </c>
      <c r="C9" s="21" t="n">
        <f aca="false">-1500+200</f>
        <v>-1300</v>
      </c>
      <c r="E9" s="21" t="n">
        <v>0</v>
      </c>
      <c r="L9" s="46" t="n">
        <v>1</v>
      </c>
      <c r="M9" s="24"/>
      <c r="N9" s="36" t="n">
        <f aca="false">M9/(1+N$5)^L9</f>
        <v>0</v>
      </c>
      <c r="O9" s="34"/>
      <c r="P9" s="24"/>
      <c r="Q9" s="36" t="n">
        <f aca="false">P9/(1+N$5)^L9</f>
        <v>0</v>
      </c>
    </row>
    <row r="10" customFormat="false" ht="15" hidden="false" customHeight="false" outlineLevel="0" collapsed="false">
      <c r="B10" s="4" t="s">
        <v>156</v>
      </c>
      <c r="C10" s="13" t="n">
        <v>200</v>
      </c>
      <c r="E10" s="8" t="n">
        <v>325</v>
      </c>
      <c r="L10" s="46" t="n">
        <v>2</v>
      </c>
      <c r="M10" s="24"/>
      <c r="N10" s="36" t="n">
        <f aca="false">M10/(1+N$5)^L10</f>
        <v>0</v>
      </c>
      <c r="O10" s="34"/>
      <c r="P10" s="24"/>
      <c r="Q10" s="36" t="n">
        <f aca="false">P10/(1+N$5)^L10</f>
        <v>0</v>
      </c>
    </row>
    <row r="11" customFormat="false" ht="15" hidden="false" customHeight="false" outlineLevel="0" collapsed="false">
      <c r="B11" s="4" t="s">
        <v>157</v>
      </c>
      <c r="C11" s="52" t="n">
        <v>5</v>
      </c>
      <c r="E11" s="0" t="n">
        <v>5</v>
      </c>
      <c r="L11" s="46" t="n">
        <v>3</v>
      </c>
      <c r="M11" s="24"/>
      <c r="N11" s="36" t="n">
        <f aca="false">M11/(1+N$5)^L11</f>
        <v>0</v>
      </c>
      <c r="O11" s="34"/>
      <c r="P11" s="24"/>
      <c r="Q11" s="36" t="n">
        <f aca="false">P11/(1+N$5)^L11</f>
        <v>0</v>
      </c>
    </row>
    <row r="12" customFormat="false" ht="15" hidden="false" customHeight="false" outlineLevel="0" collapsed="false">
      <c r="B12" s="4" t="s">
        <v>158</v>
      </c>
      <c r="C12" s="36" t="n">
        <v>10</v>
      </c>
      <c r="E12" s="8" t="n">
        <v>10</v>
      </c>
      <c r="L12" s="46" t="n">
        <v>4</v>
      </c>
      <c r="M12" s="24"/>
      <c r="N12" s="36" t="n">
        <f aca="false">M12/(1+N$5)^L12</f>
        <v>0</v>
      </c>
      <c r="O12" s="34"/>
      <c r="P12" s="24"/>
      <c r="Q12" s="36" t="n">
        <f aca="false">P12/(1+N$5)^L12</f>
        <v>0</v>
      </c>
    </row>
    <row r="13" customFormat="false" ht="15" hidden="false" customHeight="false" outlineLevel="0" collapsed="false">
      <c r="B13" s="4"/>
      <c r="L13" s="46" t="n">
        <v>5</v>
      </c>
      <c r="M13" s="24" t="n">
        <f aca="false">-1500+200</f>
        <v>-1300</v>
      </c>
      <c r="N13" s="36" t="n">
        <f aca="false">M13/(1+N$5)^L13</f>
        <v>-926.882033328769</v>
      </c>
      <c r="O13" s="34"/>
      <c r="P13" s="24"/>
      <c r="Q13" s="36" t="n">
        <f aca="false">P13/(1+N$5)^L13</f>
        <v>0</v>
      </c>
    </row>
    <row r="14" customFormat="false" ht="15" hidden="false" customHeight="false" outlineLevel="0" collapsed="false">
      <c r="C14" s="47"/>
      <c r="E14" s="47"/>
      <c r="L14" s="46" t="n">
        <v>6</v>
      </c>
      <c r="M14" s="24"/>
      <c r="N14" s="36" t="n">
        <f aca="false">M14/(1+N$5)^L14</f>
        <v>0</v>
      </c>
      <c r="O14" s="34"/>
      <c r="P14" s="24"/>
      <c r="Q14" s="36" t="n">
        <f aca="false">P14/(1+N$5)^L14</f>
        <v>0</v>
      </c>
    </row>
    <row r="15" customFormat="false" ht="15" hidden="false" customHeight="false" outlineLevel="0" collapsed="false">
      <c r="L15" s="46" t="n">
        <v>7</v>
      </c>
      <c r="M15" s="24"/>
      <c r="N15" s="36" t="n">
        <f aca="false">M15/(1+N$5)^L15</f>
        <v>0</v>
      </c>
      <c r="O15" s="34"/>
      <c r="P15" s="24"/>
      <c r="Q15" s="36" t="n">
        <f aca="false">P15/(1+N$5)^L15</f>
        <v>0</v>
      </c>
    </row>
    <row r="16" customFormat="false" ht="15" hidden="false" customHeight="false" outlineLevel="0" collapsed="false">
      <c r="B16" s="4" t="s">
        <v>159</v>
      </c>
      <c r="C16" s="24" t="n">
        <f aca="false">C8</f>
        <v>-1500</v>
      </c>
      <c r="E16" s="24" t="n">
        <f aca="false">E8</f>
        <v>-1600</v>
      </c>
      <c r="L16" s="46" t="n">
        <v>8</v>
      </c>
      <c r="M16" s="24"/>
      <c r="N16" s="36" t="n">
        <f aca="false">M16/(1+N$5)^L16</f>
        <v>0</v>
      </c>
      <c r="O16" s="34"/>
      <c r="P16" s="24"/>
      <c r="Q16" s="36" t="n">
        <f aca="false">P16/(1+N$5)^L16</f>
        <v>0</v>
      </c>
    </row>
    <row r="17" customFormat="false" ht="15" hidden="false" customHeight="false" outlineLevel="0" collapsed="false">
      <c r="B17" s="4" t="s">
        <v>160</v>
      </c>
      <c r="C17" s="24" t="n">
        <f aca="false">C9/(1+C5)^C11</f>
        <v>-926.882033328769</v>
      </c>
      <c r="D17" s="32"/>
      <c r="E17" s="57" t="n">
        <f aca="false">E9*(((1+C$5)^E11)-1)/(C5*(1+C5)^E11)</f>
        <v>0</v>
      </c>
      <c r="L17" s="46" t="n">
        <v>9</v>
      </c>
      <c r="M17" s="24"/>
      <c r="N17" s="36" t="n">
        <f aca="false">M17/(1+N$5)^L17</f>
        <v>0</v>
      </c>
      <c r="O17" s="34"/>
      <c r="P17" s="24"/>
      <c r="Q17" s="36" t="n">
        <f aca="false">P17/(1+N$5)^L17</f>
        <v>0</v>
      </c>
    </row>
    <row r="18" customFormat="false" ht="15" hidden="false" customHeight="false" outlineLevel="0" collapsed="false">
      <c r="B18" s="4" t="s">
        <v>161</v>
      </c>
      <c r="C18" s="24" t="n">
        <f aca="false">C10/(1+C5)^C12</f>
        <v>101.669858426944</v>
      </c>
      <c r="D18" s="32"/>
      <c r="E18" s="24" t="n">
        <f aca="false">E10/(1+C5)^E12</f>
        <v>165.213519943783</v>
      </c>
      <c r="L18" s="46" t="n">
        <v>10</v>
      </c>
      <c r="M18" s="24" t="n">
        <v>200</v>
      </c>
      <c r="N18" s="36" t="n">
        <f aca="false">M18/(1+N$5)^L18</f>
        <v>101.669858426944</v>
      </c>
      <c r="O18" s="34"/>
      <c r="P18" s="24" t="n">
        <v>325</v>
      </c>
      <c r="Q18" s="36" t="n">
        <f aca="false">P18/(1+N$5)^L18</f>
        <v>165.213519943783</v>
      </c>
    </row>
    <row r="19" customFormat="false" ht="15" hidden="false" customHeight="false" outlineLevel="0" collapsed="false">
      <c r="B19" s="4"/>
      <c r="C19" s="28"/>
      <c r="D19" s="28"/>
      <c r="E19" s="28"/>
    </row>
    <row r="20" customFormat="false" ht="15" hidden="false" customHeight="false" outlineLevel="0" collapsed="false">
      <c r="B20" s="4" t="s">
        <v>58</v>
      </c>
      <c r="C20" s="60" t="n">
        <f aca="false">SUM(C16:C18)</f>
        <v>-2325.21217490183</v>
      </c>
      <c r="E20" s="60" t="n">
        <f aca="false">SUM(E16:E18)</f>
        <v>-1434.78648005622</v>
      </c>
      <c r="L20" s="61" t="s">
        <v>143</v>
      </c>
      <c r="M20" s="61"/>
      <c r="N20" s="62" t="n">
        <f aca="false">SUM(N8:N18)</f>
        <v>-2325.21217490183</v>
      </c>
      <c r="O20" s="34"/>
      <c r="P20" s="61"/>
      <c r="Q20" s="62" t="n">
        <f aca="false">SUM(Q8:Q18)</f>
        <v>-1434.78648005622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4"/>
    <col collapsed="false" customWidth="true" hidden="false" outlineLevel="0" max="3" min="3" style="0" width="11.57"/>
    <col collapsed="false" customWidth="true" hidden="false" outlineLevel="0" max="4" min="4" style="0" width="4.29"/>
    <col collapsed="false" customWidth="true" hidden="false" outlineLevel="0" max="5" min="5" style="0" width="3.42"/>
    <col collapsed="false" customWidth="true" hidden="false" outlineLevel="0" max="8" min="8" style="0" width="13.15"/>
    <col collapsed="false" customWidth="true" hidden="false" outlineLevel="0" max="9" min="9" style="0" width="16.43"/>
    <col collapsed="false" customWidth="true" hidden="false" outlineLevel="0" max="10" min="10" style="0" width="6.14"/>
  </cols>
  <sheetData>
    <row r="1" customFormat="false" ht="15" hidden="false" customHeight="false" outlineLevel="0" collapsed="false">
      <c r="A1" s="0" t="s">
        <v>5</v>
      </c>
      <c r="C1" s="0" t="s">
        <v>6</v>
      </c>
    </row>
    <row r="4" customFormat="false" ht="15" hidden="false" customHeight="false" outlineLevel="0" collapsed="false">
      <c r="B4" s="5" t="s">
        <v>7</v>
      </c>
      <c r="C4" s="5"/>
      <c r="G4" s="5" t="s">
        <v>8</v>
      </c>
      <c r="H4" s="5"/>
      <c r="I4" s="5"/>
    </row>
    <row r="6" customFormat="false" ht="15" hidden="false" customHeight="false" outlineLevel="0" collapsed="false">
      <c r="B6" s="0" t="s">
        <v>9</v>
      </c>
      <c r="C6" s="6" t="n">
        <v>0.06</v>
      </c>
      <c r="G6" s="0" t="s">
        <v>0</v>
      </c>
      <c r="I6" s="7" t="n">
        <f aca="false">C8</f>
        <v>0.005</v>
      </c>
    </row>
    <row r="7" customFormat="false" ht="15" hidden="false" customHeight="false" outlineLevel="0" collapsed="false">
      <c r="B7" s="0" t="s">
        <v>10</v>
      </c>
      <c r="C7" s="8" t="n">
        <v>12</v>
      </c>
    </row>
    <row r="8" customFormat="false" ht="39" hidden="false" customHeight="true" outlineLevel="0" collapsed="false">
      <c r="B8" s="0" t="s">
        <v>11</v>
      </c>
      <c r="C8" s="9" t="n">
        <f aca="false">C6/C7</f>
        <v>0.005</v>
      </c>
      <c r="G8" s="0" t="s">
        <v>12</v>
      </c>
      <c r="H8" s="0" t="s">
        <v>13</v>
      </c>
      <c r="I8" s="10" t="s">
        <v>14</v>
      </c>
    </row>
    <row r="9" customFormat="false" ht="15" hidden="false" customHeight="false" outlineLevel="0" collapsed="false">
      <c r="B9" s="0" t="s">
        <v>15</v>
      </c>
      <c r="C9" s="0" t="n">
        <f aca="false">$C$8/((1+$C$8)^C7-1)</f>
        <v>0.0810664297070832</v>
      </c>
      <c r="G9" s="0" t="n">
        <v>1</v>
      </c>
      <c r="H9" s="11" t="n">
        <v>81.07</v>
      </c>
      <c r="I9" s="12" t="n">
        <f aca="false">H9*(1+$I$6)^($C$7-G9)</f>
        <v>85.6420101570695</v>
      </c>
    </row>
    <row r="10" customFormat="false" ht="15" hidden="false" customHeight="false" outlineLevel="0" collapsed="false">
      <c r="G10" s="0" t="n">
        <v>2</v>
      </c>
      <c r="H10" s="12" t="n">
        <f aca="false">H9</f>
        <v>81.07</v>
      </c>
      <c r="I10" s="12" t="n">
        <f aca="false">H10*(1+$I$6)^($C$7-G10)</f>
        <v>85.2159305045468</v>
      </c>
    </row>
    <row r="11" customFormat="false" ht="15" hidden="false" customHeight="false" outlineLevel="0" collapsed="false">
      <c r="G11" s="0" t="n">
        <v>3</v>
      </c>
      <c r="H11" s="12" t="n">
        <f aca="false">H10</f>
        <v>81.07</v>
      </c>
      <c r="I11" s="12" t="n">
        <f aca="false">H11*(1+$I$6)^($C$7-G11)</f>
        <v>84.7919706512904</v>
      </c>
    </row>
    <row r="12" customFormat="false" ht="15" hidden="false" customHeight="false" outlineLevel="0" collapsed="false">
      <c r="B12" s="0" t="s">
        <v>16</v>
      </c>
      <c r="C12" s="13" t="n">
        <v>1000</v>
      </c>
      <c r="G12" s="0" t="n">
        <v>4</v>
      </c>
      <c r="H12" s="12" t="n">
        <f aca="false">H11</f>
        <v>81.07</v>
      </c>
      <c r="I12" s="12" t="n">
        <f aca="false">H12*(1+$I$6)^($C$7-G12)</f>
        <v>84.3701200510352</v>
      </c>
    </row>
    <row r="13" customFormat="false" ht="15" hidden="false" customHeight="false" outlineLevel="0" collapsed="false">
      <c r="G13" s="0" t="n">
        <v>5</v>
      </c>
      <c r="H13" s="12" t="n">
        <f aca="false">H12</f>
        <v>81.07</v>
      </c>
      <c r="I13" s="12" t="n">
        <f aca="false">H13*(1+$I$6)^($C$7-G13)</f>
        <v>83.9503682099853</v>
      </c>
    </row>
    <row r="14" customFormat="false" ht="15" hidden="false" customHeight="false" outlineLevel="0" collapsed="false">
      <c r="B14" s="0" t="s">
        <v>17</v>
      </c>
      <c r="C14" s="14" t="n">
        <f aca="false">C9*C12</f>
        <v>81.0664297070832</v>
      </c>
      <c r="G14" s="0" t="n">
        <v>6</v>
      </c>
      <c r="H14" s="12" t="n">
        <f aca="false">H13</f>
        <v>81.07</v>
      </c>
      <c r="I14" s="12" t="n">
        <f aca="false">H14*(1+$I$6)^($C$7-G14)</f>
        <v>83.5327046865525</v>
      </c>
    </row>
    <row r="15" customFormat="false" ht="15" hidden="false" customHeight="false" outlineLevel="0" collapsed="false">
      <c r="G15" s="0" t="n">
        <v>7</v>
      </c>
      <c r="H15" s="12" t="n">
        <f aca="false">H14</f>
        <v>81.07</v>
      </c>
      <c r="I15" s="12" t="n">
        <f aca="false">H15*(1+$I$6)^($C$7-G15)</f>
        <v>83.117119091097</v>
      </c>
    </row>
    <row r="16" customFormat="false" ht="15" hidden="false" customHeight="false" outlineLevel="0" collapsed="false">
      <c r="G16" s="0" t="n">
        <v>8</v>
      </c>
      <c r="H16" s="12" t="n">
        <f aca="false">H15</f>
        <v>81.07</v>
      </c>
      <c r="I16" s="12" t="n">
        <f aca="false">H16*(1+$I$6)^($C$7-G16)</f>
        <v>82.7036010856687</v>
      </c>
    </row>
    <row r="17" customFormat="false" ht="15" hidden="false" customHeight="false" outlineLevel="0" collapsed="false">
      <c r="G17" s="0" t="n">
        <v>9</v>
      </c>
      <c r="H17" s="12" t="n">
        <f aca="false">H16</f>
        <v>81.07</v>
      </c>
      <c r="I17" s="12" t="n">
        <f aca="false">H17*(1+$I$6)^($C$7-G17)</f>
        <v>82.29214038375</v>
      </c>
    </row>
    <row r="18" customFormat="false" ht="15" hidden="false" customHeight="false" outlineLevel="0" collapsed="false">
      <c r="G18" s="0" t="n">
        <v>10</v>
      </c>
      <c r="H18" s="12" t="n">
        <f aca="false">H17</f>
        <v>81.07</v>
      </c>
      <c r="I18" s="12" t="n">
        <f aca="false">H18*(1+$I$6)^($C$7-G18)</f>
        <v>81.88272675</v>
      </c>
    </row>
    <row r="19" customFormat="false" ht="15" hidden="false" customHeight="false" outlineLevel="0" collapsed="false">
      <c r="G19" s="0" t="n">
        <v>11</v>
      </c>
      <c r="H19" s="12" t="n">
        <f aca="false">H18</f>
        <v>81.07</v>
      </c>
      <c r="I19" s="12" t="n">
        <f aca="false">H19*(1+$I$6)^($C$7-G19)</f>
        <v>81.47535</v>
      </c>
    </row>
    <row r="20" customFormat="false" ht="15" hidden="false" customHeight="false" outlineLevel="0" collapsed="false">
      <c r="G20" s="0" t="n">
        <v>12</v>
      </c>
      <c r="H20" s="12" t="n">
        <f aca="false">H19</f>
        <v>81.07</v>
      </c>
      <c r="I20" s="12" t="n">
        <f aca="false">H20*(1+$I$6)^($C$7-G20)</f>
        <v>81.07</v>
      </c>
    </row>
    <row r="22" customFormat="false" ht="15" hidden="false" customHeight="false" outlineLevel="0" collapsed="false">
      <c r="I22" s="15" t="n">
        <f aca="false">SUM(I9:I20)</f>
        <v>1000.044041571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2.86"/>
    <col collapsed="false" customWidth="true" hidden="false" outlineLevel="0" max="3" min="3" style="0" width="16.43"/>
    <col collapsed="false" customWidth="true" hidden="false" outlineLevel="0" max="4" min="4" style="0" width="7.42"/>
    <col collapsed="false" customWidth="true" hidden="false" outlineLevel="0" max="5" min="5" style="0" width="7.57"/>
    <col collapsed="false" customWidth="true" hidden="false" outlineLevel="0" max="6" min="6" style="0" width="18.29"/>
    <col collapsed="false" customWidth="true" hidden="false" outlineLevel="0" max="7" min="7" style="0" width="13.57"/>
    <col collapsed="false" customWidth="true" hidden="false" outlineLevel="0" max="8" min="8" style="0" width="7"/>
    <col collapsed="false" customWidth="true" hidden="false" outlineLevel="0" max="9" min="9" style="0" width="19.14"/>
    <col collapsed="false" customWidth="true" hidden="false" outlineLevel="0" max="10" min="10" style="0" width="14.71"/>
    <col collapsed="false" customWidth="true" hidden="false" outlineLevel="0" max="11" min="11" style="0" width="6.29"/>
    <col collapsed="false" customWidth="true" hidden="false" outlineLevel="0" max="12" min="12" style="0" width="7.57"/>
    <col collapsed="false" customWidth="true" hidden="false" outlineLevel="0" max="13" min="13" style="0" width="18.29"/>
    <col collapsed="false" customWidth="true" hidden="false" outlineLevel="0" max="14" min="14" style="0" width="13.57"/>
    <col collapsed="false" customWidth="true" hidden="false" outlineLevel="0" max="15" min="15" style="0" width="7"/>
    <col collapsed="false" customWidth="true" hidden="false" outlineLevel="0" max="16" min="16" style="0" width="17.86"/>
    <col collapsed="false" customWidth="true" hidden="false" outlineLevel="0" max="17" min="17" style="0" width="14.71"/>
  </cols>
  <sheetData>
    <row r="1" customFormat="false" ht="15" hidden="false" customHeight="false" outlineLevel="0" collapsed="false">
      <c r="A1" s="29" t="s">
        <v>162</v>
      </c>
    </row>
    <row r="2" customFormat="false" ht="15" hidden="false" customHeight="false" outlineLevel="0" collapsed="false">
      <c r="A2" s="29"/>
      <c r="B2" s="5" t="s">
        <v>96</v>
      </c>
      <c r="C2" s="5"/>
      <c r="F2" s="5" t="s">
        <v>163</v>
      </c>
      <c r="G2" s="5"/>
      <c r="H2" s="5"/>
      <c r="M2" s="5" t="s">
        <v>164</v>
      </c>
      <c r="N2" s="5"/>
      <c r="O2" s="5"/>
    </row>
    <row r="3" customFormat="false" ht="15" hidden="false" customHeight="false" outlineLevel="0" collapsed="false">
      <c r="F3" s="5" t="s">
        <v>133</v>
      </c>
      <c r="G3" s="5"/>
      <c r="H3" s="27"/>
      <c r="I3" s="5" t="s">
        <v>134</v>
      </c>
      <c r="J3" s="5"/>
      <c r="M3" s="5" t="s">
        <v>133</v>
      </c>
      <c r="N3" s="5"/>
      <c r="O3" s="27"/>
      <c r="P3" s="5" t="s">
        <v>134</v>
      </c>
      <c r="Q3" s="5"/>
    </row>
    <row r="5" customFormat="false" ht="15" hidden="false" customHeight="false" outlineLevel="0" collapsed="false">
      <c r="F5" s="0" t="s">
        <v>0</v>
      </c>
      <c r="G5" s="34" t="n">
        <v>0.08</v>
      </c>
      <c r="H5" s="34"/>
      <c r="J5" s="34"/>
      <c r="M5" s="0" t="s">
        <v>0</v>
      </c>
      <c r="N5" s="34" t="n">
        <v>0.08</v>
      </c>
      <c r="O5" s="34"/>
    </row>
    <row r="7" customFormat="false" ht="15" hidden="false" customHeight="false" outlineLevel="0" collapsed="false">
      <c r="E7" s="5" t="s">
        <v>33</v>
      </c>
      <c r="F7" s="5" t="s">
        <v>148</v>
      </c>
      <c r="G7" s="5" t="s">
        <v>136</v>
      </c>
      <c r="H7" s="34"/>
      <c r="I7" s="5" t="s">
        <v>148</v>
      </c>
      <c r="J7" s="5" t="s">
        <v>136</v>
      </c>
      <c r="L7" s="5" t="s">
        <v>33</v>
      </c>
      <c r="M7" s="5" t="s">
        <v>148</v>
      </c>
      <c r="N7" s="5" t="s">
        <v>136</v>
      </c>
      <c r="O7" s="34"/>
      <c r="P7" s="5" t="s">
        <v>148</v>
      </c>
      <c r="Q7" s="5" t="s">
        <v>136</v>
      </c>
    </row>
    <row r="8" customFormat="false" ht="15" hidden="false" customHeight="false" outlineLevel="0" collapsed="false">
      <c r="E8" s="46" t="n">
        <v>0</v>
      </c>
      <c r="F8" s="24" t="n">
        <v>-50000</v>
      </c>
      <c r="G8" s="36" t="n">
        <f aca="false">F8/(1+G$5)^E8</f>
        <v>-50000</v>
      </c>
      <c r="H8" s="34"/>
      <c r="I8" s="24" t="n">
        <v>-75000</v>
      </c>
      <c r="J8" s="36" t="n">
        <f aca="false">I8/(1+J$5)^H8</f>
        <v>-75000</v>
      </c>
      <c r="L8" s="46" t="n">
        <v>0</v>
      </c>
      <c r="M8" s="24" t="n">
        <v>-50000</v>
      </c>
      <c r="N8" s="36" t="n">
        <f aca="false">M8/(1+N$5)^L8</f>
        <v>-50000</v>
      </c>
      <c r="O8" s="34"/>
      <c r="P8" s="24" t="n">
        <v>-75000</v>
      </c>
      <c r="Q8" s="36" t="n">
        <f aca="false">P8/(1+Q$5)^O8</f>
        <v>-75000</v>
      </c>
    </row>
    <row r="9" customFormat="false" ht="15" hidden="false" customHeight="false" outlineLevel="0" collapsed="false">
      <c r="B9" s="0" t="s">
        <v>165</v>
      </c>
      <c r="E9" s="46" t="n">
        <v>1</v>
      </c>
      <c r="F9" s="24"/>
      <c r="G9" s="36" t="n">
        <f aca="false">F9/(1+G$5)^E9</f>
        <v>0</v>
      </c>
      <c r="H9" s="34"/>
      <c r="I9" s="24"/>
      <c r="J9" s="36" t="n">
        <f aca="false">I9/(1+G$5)^E9</f>
        <v>0</v>
      </c>
      <c r="L9" s="46" t="n">
        <v>1</v>
      </c>
      <c r="M9" s="24"/>
      <c r="N9" s="36" t="n">
        <f aca="false">M9/(1+N$5)^L9</f>
        <v>0</v>
      </c>
      <c r="O9" s="34"/>
      <c r="P9" s="24"/>
      <c r="Q9" s="36" t="n">
        <f aca="false">P9/(1+N$5)^L9</f>
        <v>0</v>
      </c>
    </row>
    <row r="10" customFormat="false" ht="15" hidden="false" customHeight="false" outlineLevel="0" collapsed="false">
      <c r="E10" s="46" t="n">
        <v>2</v>
      </c>
      <c r="F10" s="24"/>
      <c r="G10" s="36" t="n">
        <f aca="false">F10/(1+G$5)^E10</f>
        <v>0</v>
      </c>
      <c r="H10" s="34"/>
      <c r="I10" s="24"/>
      <c r="J10" s="36" t="n">
        <f aca="false">I10/(1+G$5)^E10</f>
        <v>0</v>
      </c>
      <c r="L10" s="46" t="n">
        <v>2</v>
      </c>
      <c r="M10" s="24"/>
      <c r="N10" s="36" t="n">
        <f aca="false">M10/(1+N$5)^L10</f>
        <v>0</v>
      </c>
      <c r="O10" s="34"/>
      <c r="P10" s="24"/>
      <c r="Q10" s="36" t="n">
        <f aca="false">P10/(1+N$5)^L10</f>
        <v>0</v>
      </c>
    </row>
    <row r="11" customFormat="false" ht="15" hidden="false" customHeight="false" outlineLevel="0" collapsed="false">
      <c r="E11" s="46" t="n">
        <v>3</v>
      </c>
      <c r="F11" s="24"/>
      <c r="G11" s="36" t="n">
        <f aca="false">F11/(1+G$5)^E11</f>
        <v>0</v>
      </c>
      <c r="H11" s="34"/>
      <c r="I11" s="24"/>
      <c r="J11" s="36" t="n">
        <f aca="false">I11/(1+G$5)^E11</f>
        <v>0</v>
      </c>
      <c r="L11" s="46" t="n">
        <v>3</v>
      </c>
      <c r="M11" s="24"/>
      <c r="N11" s="36" t="n">
        <f aca="false">M11/(1+N$5)^L11</f>
        <v>0</v>
      </c>
      <c r="O11" s="34"/>
      <c r="P11" s="24"/>
      <c r="Q11" s="36" t="n">
        <f aca="false">P11/(1+N$5)^L11</f>
        <v>0</v>
      </c>
    </row>
    <row r="12" customFormat="false" ht="15" hidden="false" customHeight="false" outlineLevel="0" collapsed="false">
      <c r="E12" s="46" t="n">
        <v>4</v>
      </c>
      <c r="F12" s="24"/>
      <c r="G12" s="36" t="n">
        <f aca="false">F12/(1+G$5)^E12</f>
        <v>0</v>
      </c>
      <c r="H12" s="34"/>
      <c r="I12" s="24"/>
      <c r="J12" s="36" t="n">
        <f aca="false">I12/(1+G$5)^E12</f>
        <v>0</v>
      </c>
      <c r="L12" s="46" t="n">
        <v>4</v>
      </c>
      <c r="M12" s="24"/>
      <c r="N12" s="36" t="n">
        <f aca="false">M12/(1+N$5)^L12</f>
        <v>0</v>
      </c>
      <c r="O12" s="34"/>
      <c r="P12" s="24"/>
      <c r="Q12" s="36" t="n">
        <f aca="false">P12/(1+N$5)^L12</f>
        <v>0</v>
      </c>
    </row>
    <row r="13" customFormat="false" ht="15" hidden="false" customHeight="false" outlineLevel="0" collapsed="false">
      <c r="E13" s="46" t="n">
        <v>5</v>
      </c>
      <c r="F13" s="24"/>
      <c r="G13" s="36" t="n">
        <f aca="false">F13/(1+G$5)^E13</f>
        <v>0</v>
      </c>
      <c r="H13" s="34"/>
      <c r="I13" s="24"/>
      <c r="J13" s="36" t="n">
        <f aca="false">I13/(1+G$5)^E13</f>
        <v>0</v>
      </c>
      <c r="L13" s="46" t="n">
        <v>5</v>
      </c>
      <c r="M13" s="24"/>
      <c r="N13" s="36" t="n">
        <f aca="false">M13/(1+N$5)^L13</f>
        <v>0</v>
      </c>
      <c r="O13" s="34"/>
      <c r="P13" s="24"/>
      <c r="Q13" s="36" t="n">
        <f aca="false">P13/(1+N$5)^L13</f>
        <v>0</v>
      </c>
    </row>
    <row r="14" customFormat="false" ht="15" hidden="false" customHeight="false" outlineLevel="0" collapsed="false">
      <c r="E14" s="46" t="n">
        <v>6</v>
      </c>
      <c r="F14" s="24"/>
      <c r="G14" s="36" t="n">
        <f aca="false">F14/(1+G$5)^E14</f>
        <v>0</v>
      </c>
      <c r="H14" s="34"/>
      <c r="I14" s="24"/>
      <c r="J14" s="36" t="n">
        <f aca="false">I14/(1+G$5)^E14</f>
        <v>0</v>
      </c>
      <c r="L14" s="46" t="n">
        <v>6</v>
      </c>
      <c r="M14" s="24"/>
      <c r="N14" s="36" t="n">
        <f aca="false">M14/(1+N$5)^L14</f>
        <v>0</v>
      </c>
      <c r="O14" s="34"/>
      <c r="P14" s="24"/>
      <c r="Q14" s="36" t="n">
        <f aca="false">P14/(1+N$5)^L14</f>
        <v>0</v>
      </c>
    </row>
    <row r="15" customFormat="false" ht="15" hidden="false" customHeight="false" outlineLevel="0" collapsed="false">
      <c r="E15" s="46" t="n">
        <v>7</v>
      </c>
      <c r="F15" s="24" t="n">
        <f aca="false">10000-50000</f>
        <v>-40000</v>
      </c>
      <c r="G15" s="36" t="n">
        <f aca="false">F15/(1+G$5)^E15</f>
        <v>-23339.6158104854</v>
      </c>
      <c r="H15" s="34"/>
      <c r="I15" s="24"/>
      <c r="J15" s="36" t="n">
        <f aca="false">I15/(1+G$5)^E15</f>
        <v>0</v>
      </c>
      <c r="L15" s="46" t="n">
        <v>7</v>
      </c>
      <c r="M15" s="24" t="n">
        <f aca="false">10000-50000</f>
        <v>-40000</v>
      </c>
      <c r="N15" s="36" t="n">
        <f aca="false">M15/(1+N$5)^L15</f>
        <v>-23339.6158104854</v>
      </c>
      <c r="O15" s="34"/>
      <c r="P15" s="24"/>
      <c r="Q15" s="36" t="n">
        <f aca="false">P15/(1+N$5)^L15</f>
        <v>0</v>
      </c>
    </row>
    <row r="16" customFormat="false" ht="15" hidden="false" customHeight="false" outlineLevel="0" collapsed="false">
      <c r="E16" s="46" t="n">
        <v>8</v>
      </c>
      <c r="F16" s="24"/>
      <c r="G16" s="36" t="n">
        <f aca="false">F16/(1+G$5)^E16</f>
        <v>0</v>
      </c>
      <c r="H16" s="34"/>
      <c r="I16" s="24"/>
      <c r="J16" s="36" t="n">
        <f aca="false">I16/(1+G$5)^E16</f>
        <v>0</v>
      </c>
      <c r="L16" s="46" t="n">
        <v>8</v>
      </c>
      <c r="M16" s="24"/>
      <c r="N16" s="36" t="n">
        <f aca="false">M16/(1+N$5)^L16</f>
        <v>0</v>
      </c>
      <c r="O16" s="34"/>
      <c r="P16" s="24"/>
      <c r="Q16" s="36" t="n">
        <f aca="false">P16/(1+N$5)^L16</f>
        <v>0</v>
      </c>
    </row>
    <row r="17" customFormat="false" ht="15" hidden="false" customHeight="false" outlineLevel="0" collapsed="false">
      <c r="E17" s="46" t="n">
        <v>9</v>
      </c>
      <c r="F17" s="24"/>
      <c r="G17" s="36" t="n">
        <f aca="false">F17/(1+G$5)^E17</f>
        <v>0</v>
      </c>
      <c r="H17" s="34"/>
      <c r="I17" s="24"/>
      <c r="J17" s="36" t="n">
        <f aca="false">I17/(1+G$5)^E17</f>
        <v>0</v>
      </c>
      <c r="L17" s="46" t="n">
        <v>9</v>
      </c>
      <c r="M17" s="24"/>
      <c r="N17" s="36" t="n">
        <f aca="false">M17/(1+N$5)^L17</f>
        <v>0</v>
      </c>
      <c r="O17" s="34"/>
      <c r="P17" s="24"/>
      <c r="Q17" s="36" t="n">
        <f aca="false">P17/(1+N$5)^L17</f>
        <v>0</v>
      </c>
    </row>
    <row r="18" customFormat="false" ht="15" hidden="false" customHeight="false" outlineLevel="0" collapsed="false">
      <c r="E18" s="46" t="n">
        <v>10</v>
      </c>
      <c r="F18" s="24"/>
      <c r="G18" s="36" t="n">
        <f aca="false">F18/(1+G$5)^E18</f>
        <v>0</v>
      </c>
      <c r="H18" s="34"/>
      <c r="I18" s="24"/>
      <c r="J18" s="36" t="n">
        <f aca="false">I18/(1+G$5)^E18</f>
        <v>0</v>
      </c>
      <c r="L18" s="46" t="n">
        <v>10</v>
      </c>
      <c r="M18" s="24" t="n">
        <v>20000</v>
      </c>
      <c r="N18" s="36" t="n">
        <f aca="false">M18/(1+N$5)^L18</f>
        <v>9263.86976169368</v>
      </c>
      <c r="O18" s="34"/>
      <c r="P18" s="24" t="n">
        <v>15000</v>
      </c>
      <c r="Q18" s="36" t="n">
        <f aca="false">P18/(1+N$5)^L18</f>
        <v>6947.90232127026</v>
      </c>
    </row>
    <row r="19" customFormat="false" ht="15" hidden="false" customHeight="false" outlineLevel="0" collapsed="false">
      <c r="E19" s="46" t="n">
        <v>11</v>
      </c>
      <c r="F19" s="24"/>
      <c r="G19" s="36" t="n">
        <f aca="false">F19/(1+G$5)^E19</f>
        <v>0</v>
      </c>
      <c r="H19" s="34"/>
      <c r="I19" s="24"/>
      <c r="J19" s="36" t="n">
        <f aca="false">I19/(1+G$5)^E19</f>
        <v>0</v>
      </c>
      <c r="L19" s="46" t="n">
        <v>11</v>
      </c>
      <c r="M19" s="24"/>
      <c r="N19" s="36" t="n">
        <f aca="false">M19/(1+N$5)^L19</f>
        <v>0</v>
      </c>
      <c r="O19" s="34"/>
      <c r="P19" s="24"/>
      <c r="Q19" s="36" t="n">
        <f aca="false">P19/(1+N$5)^L19</f>
        <v>0</v>
      </c>
    </row>
    <row r="20" customFormat="false" ht="15" hidden="false" customHeight="false" outlineLevel="0" collapsed="false">
      <c r="E20" s="46" t="n">
        <v>12</v>
      </c>
      <c r="F20" s="24"/>
      <c r="G20" s="36" t="n">
        <f aca="false">F20/(1+G$5)^E20</f>
        <v>0</v>
      </c>
      <c r="H20" s="34"/>
      <c r="I20" s="24"/>
      <c r="J20" s="36" t="n">
        <f aca="false">I20/(1+G$5)^E20</f>
        <v>0</v>
      </c>
      <c r="L20" s="46" t="n">
        <v>12</v>
      </c>
      <c r="M20" s="24"/>
      <c r="N20" s="36" t="n">
        <f aca="false">M20/(1+N$5)^L20</f>
        <v>0</v>
      </c>
      <c r="O20" s="34"/>
      <c r="P20" s="24"/>
      <c r="Q20" s="36" t="n">
        <f aca="false">P20/(1+N$5)^L20</f>
        <v>0</v>
      </c>
    </row>
    <row r="21" customFormat="false" ht="15" hidden="false" customHeight="false" outlineLevel="0" collapsed="false">
      <c r="E21" s="46" t="n">
        <v>13</v>
      </c>
      <c r="F21" s="63"/>
      <c r="G21" s="64" t="n">
        <f aca="false">F21/(1+G$5)^E21</f>
        <v>0</v>
      </c>
      <c r="H21" s="34"/>
      <c r="I21" s="24" t="n">
        <v>12000</v>
      </c>
      <c r="J21" s="36" t="n">
        <f aca="false">I21/(1+G$5)^E21</f>
        <v>4412.37509606657</v>
      </c>
      <c r="L21" s="46" t="n">
        <v>13</v>
      </c>
      <c r="M21" s="24"/>
      <c r="N21" s="36" t="n">
        <f aca="false">M21/(1+N$5)^L21</f>
        <v>0</v>
      </c>
      <c r="O21" s="34"/>
      <c r="P21" s="24"/>
      <c r="Q21" s="36"/>
    </row>
    <row r="23" customFormat="false" ht="15" hidden="false" customHeight="false" outlineLevel="0" collapsed="false">
      <c r="E23" s="61" t="s">
        <v>143</v>
      </c>
      <c r="F23" s="61"/>
      <c r="G23" s="62" t="n">
        <f aca="false">SUM(G8:G21)</f>
        <v>-73339.6158104854</v>
      </c>
      <c r="H23" s="34"/>
      <c r="I23" s="61"/>
      <c r="J23" s="62" t="n">
        <f aca="false">SUM(J8:J21)</f>
        <v>-70587.6249039334</v>
      </c>
      <c r="L23" s="61" t="s">
        <v>143</v>
      </c>
      <c r="M23" s="61"/>
      <c r="N23" s="62" t="n">
        <f aca="false">SUM(N8:N21)</f>
        <v>-64075.7460487917</v>
      </c>
      <c r="O23" s="34"/>
      <c r="P23" s="61"/>
      <c r="Q23" s="62" t="n">
        <f aca="false">SUM(Q8:Q21)</f>
        <v>-68052.0976787297</v>
      </c>
    </row>
    <row r="25" customFormat="false" ht="15" hidden="false" customHeight="false" outlineLevel="0" collapsed="false">
      <c r="F25" s="65" t="s">
        <v>166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7" activeCellId="0" sqref="A3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2.86"/>
    <col collapsed="false" customWidth="true" hidden="false" outlineLevel="0" max="3" min="3" style="0" width="16.43"/>
    <col collapsed="false" customWidth="true" hidden="false" outlineLevel="0" max="4" min="4" style="0" width="4.29"/>
    <col collapsed="false" customWidth="true" hidden="false" outlineLevel="0" max="5" min="5" style="0" width="19.14"/>
    <col collapsed="false" customWidth="true" hidden="false" outlineLevel="0" max="8" min="6" style="0" width="7.42"/>
    <col collapsed="false" customWidth="true" hidden="false" outlineLevel="0" max="9" min="9" style="0" width="10.42"/>
    <col collapsed="false" customWidth="true" hidden="false" outlineLevel="0" max="10" min="10" style="0" width="9.42"/>
    <col collapsed="false" customWidth="true" hidden="false" outlineLevel="0" max="11" min="11" style="0" width="7.57"/>
    <col collapsed="false" customWidth="true" hidden="false" outlineLevel="0" max="12" min="12" style="0" width="18.29"/>
    <col collapsed="false" customWidth="true" hidden="false" outlineLevel="0" max="13" min="13" style="0" width="13.57"/>
    <col collapsed="false" customWidth="true" hidden="false" outlineLevel="0" max="14" min="14" style="0" width="7"/>
  </cols>
  <sheetData>
    <row r="1" customFormat="false" ht="15" hidden="false" customHeight="false" outlineLevel="0" collapsed="false">
      <c r="A1" s="29" t="s">
        <v>167</v>
      </c>
    </row>
    <row r="2" customFormat="false" ht="15" hidden="false" customHeight="false" outlineLevel="0" collapsed="false">
      <c r="A2" s="29"/>
      <c r="B2" s="5" t="s">
        <v>96</v>
      </c>
      <c r="C2" s="5"/>
      <c r="D2" s="5"/>
      <c r="L2" s="5" t="s">
        <v>163</v>
      </c>
      <c r="M2" s="5"/>
      <c r="N2" s="5"/>
    </row>
    <row r="3" customFormat="false" ht="15" hidden="false" customHeight="false" outlineLevel="0" collapsed="false">
      <c r="E3" s="27"/>
      <c r="L3" s="5" t="s">
        <v>133</v>
      </c>
      <c r="M3" s="5"/>
      <c r="N3" s="27"/>
    </row>
    <row r="4" customFormat="false" ht="15" hidden="false" customHeight="false" outlineLevel="0" collapsed="false">
      <c r="B4" s="0" t="s">
        <v>168</v>
      </c>
    </row>
    <row r="5" customFormat="false" ht="15" hidden="false" customHeight="false" outlineLevel="0" collapsed="false">
      <c r="B5" s="4" t="s">
        <v>11</v>
      </c>
      <c r="C5" s="55" t="n">
        <v>0.07</v>
      </c>
      <c r="L5" s="0" t="s">
        <v>0</v>
      </c>
      <c r="M5" s="34" t="n">
        <v>0.07</v>
      </c>
      <c r="N5" s="34"/>
    </row>
    <row r="6" customFormat="false" ht="15" hidden="false" customHeight="false" outlineLevel="0" collapsed="false">
      <c r="B6" s="4" t="s">
        <v>125</v>
      </c>
      <c r="C6" s="21" t="n">
        <v>8000000</v>
      </c>
    </row>
    <row r="7" customFormat="false" ht="15" hidden="false" customHeight="false" outlineLevel="0" collapsed="false">
      <c r="B7" s="4" t="s">
        <v>10</v>
      </c>
      <c r="C7" s="0" t="n">
        <v>70</v>
      </c>
      <c r="K7" s="5" t="s">
        <v>33</v>
      </c>
      <c r="L7" s="5" t="s">
        <v>148</v>
      </c>
      <c r="M7" s="5" t="s">
        <v>136</v>
      </c>
      <c r="N7" s="34"/>
    </row>
    <row r="8" customFormat="false" ht="15" hidden="false" customHeight="false" outlineLevel="0" collapsed="false">
      <c r="K8" s="46" t="n">
        <v>0</v>
      </c>
      <c r="L8" s="24" t="n">
        <v>-8000000</v>
      </c>
      <c r="M8" s="36" t="n">
        <f aca="false">L8/(1+M$5)^K8</f>
        <v>-8000000</v>
      </c>
      <c r="N8" s="34"/>
    </row>
    <row r="9" customFormat="false" ht="15" hidden="false" customHeight="false" outlineLevel="0" collapsed="false">
      <c r="B9" s="4" t="s">
        <v>112</v>
      </c>
      <c r="C9" s="21" t="n">
        <f aca="false">C6*(C5/((1+C5)^C7-1))</f>
        <v>4956.21747411905</v>
      </c>
      <c r="K9" s="46" t="n">
        <v>1</v>
      </c>
      <c r="L9" s="24"/>
      <c r="M9" s="36" t="n">
        <f aca="false">L9/(1+M$5)^K9</f>
        <v>0</v>
      </c>
      <c r="N9" s="34"/>
    </row>
    <row r="10" customFormat="false" ht="15" hidden="false" customHeight="false" outlineLevel="0" collapsed="false">
      <c r="B10" s="4"/>
      <c r="C10" s="21"/>
      <c r="K10" s="46" t="n">
        <v>2</v>
      </c>
      <c r="L10" s="24"/>
      <c r="M10" s="36" t="n">
        <f aca="false">L10/(1+M$5)^K10</f>
        <v>0</v>
      </c>
      <c r="N10" s="34"/>
    </row>
    <row r="11" customFormat="false" ht="15" hidden="false" customHeight="false" outlineLevel="0" collapsed="false">
      <c r="B11" s="4" t="s">
        <v>169</v>
      </c>
      <c r="C11" s="24" t="n">
        <f aca="false">C6</f>
        <v>8000000</v>
      </c>
      <c r="K11" s="46" t="n">
        <v>3</v>
      </c>
      <c r="L11" s="24"/>
      <c r="M11" s="36" t="n">
        <f aca="false">L11/(1+M$5)^K11</f>
        <v>0</v>
      </c>
      <c r="N11" s="34"/>
    </row>
    <row r="12" customFormat="false" ht="15" hidden="false" customHeight="false" outlineLevel="0" collapsed="false">
      <c r="B12" s="4" t="s">
        <v>170</v>
      </c>
      <c r="C12" s="21" t="n">
        <f aca="false">C9/C5</f>
        <v>70803.1067731293</v>
      </c>
      <c r="K12" s="46" t="n">
        <v>4</v>
      </c>
      <c r="L12" s="24"/>
      <c r="M12" s="36" t="n">
        <f aca="false">L12/(1+M$5)^K12</f>
        <v>0</v>
      </c>
      <c r="N12" s="34"/>
    </row>
    <row r="13" customFormat="false" ht="15" hidden="false" customHeight="false" outlineLevel="0" collapsed="false">
      <c r="B13" s="4"/>
      <c r="C13" s="36"/>
      <c r="K13" s="46" t="n">
        <v>5</v>
      </c>
      <c r="L13" s="24"/>
      <c r="M13" s="36" t="n">
        <f aca="false">L13/(1+M$5)^K13</f>
        <v>0</v>
      </c>
      <c r="N13" s="34"/>
    </row>
    <row r="14" customFormat="false" ht="15" hidden="false" customHeight="false" outlineLevel="0" collapsed="false">
      <c r="B14" s="4" t="s">
        <v>171</v>
      </c>
      <c r="C14" s="24" t="n">
        <f aca="false">SUM(C11:C12)</f>
        <v>8070803.10677313</v>
      </c>
      <c r="K14" s="46" t="s">
        <v>172</v>
      </c>
      <c r="L14" s="24"/>
      <c r="M14" s="36"/>
      <c r="N14" s="34"/>
    </row>
    <row r="15" customFormat="false" ht="15" hidden="false" customHeight="false" outlineLevel="0" collapsed="false">
      <c r="C15" s="47"/>
      <c r="K15" s="46" t="n">
        <v>70</v>
      </c>
      <c r="L15" s="24" t="n">
        <v>-8000000</v>
      </c>
      <c r="M15" s="36" t="n">
        <f aca="false">L15/(1+M$5)^K15</f>
        <v>-70181.9690917352</v>
      </c>
      <c r="N15" s="34"/>
    </row>
    <row r="16" customFormat="false" ht="15" hidden="false" customHeight="false" outlineLevel="0" collapsed="false">
      <c r="C16" s="47"/>
      <c r="K16" s="66" t="s">
        <v>172</v>
      </c>
      <c r="L16" s="67"/>
      <c r="M16" s="36"/>
      <c r="N16" s="34"/>
    </row>
    <row r="17" customFormat="false" ht="15" hidden="false" customHeight="false" outlineLevel="0" collapsed="false">
      <c r="C17" s="47"/>
      <c r="D17" s="32"/>
      <c r="K17" s="68" t="n">
        <v>140</v>
      </c>
      <c r="L17" s="69" t="n">
        <v>-8000000</v>
      </c>
      <c r="M17" s="70" t="n">
        <f aca="false">L17/(1+M$5)^K17</f>
        <v>-615.688598199164</v>
      </c>
      <c r="N17" s="34"/>
      <c r="O17" s="71" t="s">
        <v>173</v>
      </c>
    </row>
    <row r="18" customFormat="false" ht="15" hidden="false" customHeight="false" outlineLevel="0" collapsed="false">
      <c r="C18" s="47"/>
      <c r="D18" s="32"/>
      <c r="K18" s="66"/>
      <c r="L18" s="67"/>
      <c r="M18" s="36"/>
      <c r="N18" s="34"/>
      <c r="O18" s="71" t="s">
        <v>174</v>
      </c>
    </row>
    <row r="19" customFormat="false" ht="15" hidden="false" customHeight="false" outlineLevel="0" collapsed="false">
      <c r="C19" s="47"/>
      <c r="D19" s="28"/>
      <c r="K19" s="61" t="s">
        <v>143</v>
      </c>
      <c r="L19" s="61"/>
      <c r="M19" s="62" t="n">
        <f aca="false">SUM(M8:M15)</f>
        <v>-8070181.96909174</v>
      </c>
      <c r="N19" s="34"/>
    </row>
    <row r="20" customFormat="false" ht="15" hidden="false" customHeight="false" outlineLevel="0" collapsed="false">
      <c r="C20" s="47"/>
    </row>
    <row r="21" customFormat="false" ht="15" hidden="false" customHeight="false" outlineLevel="0" collapsed="false">
      <c r="C21" s="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7" activeCellId="0" sqref="B2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38.29"/>
    <col collapsed="false" customWidth="true" hidden="false" outlineLevel="0" max="3" min="3" style="0" width="16.43"/>
    <col collapsed="false" customWidth="true" hidden="false" outlineLevel="0" max="4" min="4" style="0" width="12"/>
    <col collapsed="false" customWidth="true" hidden="false" outlineLevel="0" max="5" min="5" style="0" width="19.14"/>
    <col collapsed="false" customWidth="true" hidden="false" outlineLevel="0" max="8" min="6" style="0" width="7.42"/>
    <col collapsed="false" customWidth="true" hidden="false" outlineLevel="0" max="9" min="9" style="0" width="10.42"/>
    <col collapsed="false" customWidth="true" hidden="false" outlineLevel="0" max="10" min="10" style="0" width="9.42"/>
    <col collapsed="false" customWidth="true" hidden="false" outlineLevel="0" max="18" min="18" style="0" width="11.71"/>
    <col collapsed="false" customWidth="true" hidden="false" outlineLevel="0" max="19" min="19" style="0" width="10.57"/>
    <col collapsed="false" customWidth="true" hidden="false" outlineLevel="0" max="20" min="20" style="0" width="12.42"/>
    <col collapsed="false" customWidth="true" hidden="false" outlineLevel="0" max="21" min="21" style="0" width="11.71"/>
    <col collapsed="false" customWidth="true" hidden="false" outlineLevel="0" max="23" min="23" style="0" width="10.71"/>
    <col collapsed="false" customWidth="true" hidden="false" outlineLevel="0" max="25" min="25" style="0" width="11.71"/>
    <col collapsed="false" customWidth="true" hidden="false" outlineLevel="0" max="26" min="26" style="0" width="12"/>
  </cols>
  <sheetData>
    <row r="1" customFormat="false" ht="15" hidden="false" customHeight="false" outlineLevel="0" collapsed="false">
      <c r="A1" s="29" t="s">
        <v>175</v>
      </c>
    </row>
    <row r="2" customFormat="false" ht="15" hidden="false" customHeight="false" outlineLevel="0" collapsed="false">
      <c r="A2" s="29"/>
      <c r="B2" s="5" t="s">
        <v>96</v>
      </c>
      <c r="C2" s="5"/>
      <c r="D2" s="5"/>
    </row>
    <row r="4" customFormat="false" ht="15" hidden="false" customHeight="false" outlineLevel="0" collapsed="false">
      <c r="A4" s="0" t="s">
        <v>112</v>
      </c>
      <c r="B4" s="0" t="s">
        <v>169</v>
      </c>
      <c r="C4" s="21" t="n">
        <v>-500000</v>
      </c>
    </row>
    <row r="6" customFormat="false" ht="15" hidden="false" customHeight="false" outlineLevel="0" collapsed="false">
      <c r="A6" s="0" t="s">
        <v>176</v>
      </c>
      <c r="B6" s="4" t="s">
        <v>11</v>
      </c>
      <c r="C6" s="55" t="n">
        <v>0.1</v>
      </c>
      <c r="Q6" s="0" t="s">
        <v>177</v>
      </c>
      <c r="R6" s="0" t="s">
        <v>178</v>
      </c>
      <c r="S6" s="0" t="s">
        <v>179</v>
      </c>
      <c r="T6" s="0" t="s">
        <v>180</v>
      </c>
      <c r="W6" s="0" t="s">
        <v>181</v>
      </c>
      <c r="X6" s="0" t="s">
        <v>179</v>
      </c>
      <c r="Y6" s="0" t="s">
        <v>182</v>
      </c>
      <c r="Z6" s="0" t="s">
        <v>183</v>
      </c>
    </row>
    <row r="7" customFormat="false" ht="15" hidden="false" customHeight="false" outlineLevel="0" collapsed="false">
      <c r="B7" s="4" t="s">
        <v>112</v>
      </c>
      <c r="C7" s="21" t="n">
        <v>-10000</v>
      </c>
      <c r="L7" s="0" t="n">
        <v>0</v>
      </c>
      <c r="M7" s="0" t="n">
        <f aca="false">6294.676</f>
        <v>6294.676</v>
      </c>
      <c r="N7" s="0" t="n">
        <f aca="false">M7*(1+$C$6)^L7</f>
        <v>6294.676</v>
      </c>
      <c r="O7" s="28" t="n">
        <f aca="false">M7/(1+$C$6)^L7</f>
        <v>6294.676</v>
      </c>
      <c r="Q7" s="0" t="n">
        <v>1</v>
      </c>
      <c r="R7" s="36" t="n">
        <v>0</v>
      </c>
      <c r="S7" s="36" t="n">
        <f aca="false">R7*$C$6</f>
        <v>0</v>
      </c>
      <c r="T7" s="36" t="n">
        <f aca="false">-C15*C6</f>
        <v>6294.75537747444</v>
      </c>
      <c r="U7" s="36" t="n">
        <f aca="false">T7+S7</f>
        <v>6294.75537747444</v>
      </c>
      <c r="W7" s="24" t="n">
        <v>62947.5537747444</v>
      </c>
      <c r="X7" s="36" t="n">
        <f aca="false">W7*$C$6</f>
        <v>6294.75537747444</v>
      </c>
      <c r="Z7" s="24" t="n">
        <f aca="false">W7+X7</f>
        <v>69242.3091522189</v>
      </c>
      <c r="AB7" s="0" t="n">
        <f aca="false">AB8*(1+$C$6)^15</f>
        <v>200000</v>
      </c>
    </row>
    <row r="8" customFormat="false" ht="15" hidden="false" customHeight="false" outlineLevel="0" collapsed="false">
      <c r="B8" s="4" t="s">
        <v>170</v>
      </c>
      <c r="C8" s="21" t="n">
        <f aca="false">C7/C6</f>
        <v>-100000</v>
      </c>
      <c r="L8" s="0" t="n">
        <f aca="false">L7+1</f>
        <v>1</v>
      </c>
      <c r="M8" s="0" t="n">
        <f aca="false">6294.676</f>
        <v>6294.676</v>
      </c>
      <c r="N8" s="0" t="n">
        <f aca="false">M8*(1+$C$6)^L8</f>
        <v>6924.1436</v>
      </c>
      <c r="O8" s="28" t="n">
        <f aca="false">M8/(1+$C$6)^L8</f>
        <v>5722.43272727273</v>
      </c>
      <c r="Q8" s="0" t="n">
        <v>2</v>
      </c>
      <c r="R8" s="36" t="n">
        <f aca="false">U7</f>
        <v>6294.75537747444</v>
      </c>
      <c r="S8" s="36" t="n">
        <f aca="false">R8*$C$6</f>
        <v>629.475537747444</v>
      </c>
      <c r="T8" s="36" t="n">
        <f aca="false">T7</f>
        <v>6294.75537747444</v>
      </c>
      <c r="U8" s="36" t="n">
        <f aca="false">R8+T8+S8</f>
        <v>13218.9862926963</v>
      </c>
      <c r="W8" s="24" t="n">
        <f aca="false">Z7</f>
        <v>69242.3091522189</v>
      </c>
      <c r="X8" s="36" t="n">
        <f aca="false">W8*$C$6</f>
        <v>6924.23091522189</v>
      </c>
      <c r="Z8" s="24" t="n">
        <f aca="false">W8+X8</f>
        <v>76166.5400674407</v>
      </c>
      <c r="AB8" s="0" t="n">
        <v>47878.4098738327</v>
      </c>
    </row>
    <row r="9" customFormat="false" ht="15" hidden="false" customHeight="false" outlineLevel="0" collapsed="false">
      <c r="L9" s="0" t="n">
        <f aca="false">L8+1</f>
        <v>2</v>
      </c>
      <c r="M9" s="0" t="n">
        <f aca="false">6294.676</f>
        <v>6294.676</v>
      </c>
      <c r="N9" s="0" t="n">
        <f aca="false">M9*(1+$C$6)^L9</f>
        <v>7616.55796</v>
      </c>
      <c r="O9" s="28" t="n">
        <f aca="false">M9/(1+$C$6)^L9</f>
        <v>5202.21157024793</v>
      </c>
      <c r="Q9" s="0" t="n">
        <v>3</v>
      </c>
      <c r="R9" s="36" t="n">
        <f aca="false">U8</f>
        <v>13218.9862926963</v>
      </c>
      <c r="S9" s="36" t="n">
        <f aca="false">R9*$C$6</f>
        <v>1321.89862926963</v>
      </c>
      <c r="T9" s="36" t="n">
        <f aca="false">T8</f>
        <v>6294.75537747444</v>
      </c>
      <c r="U9" s="36" t="n">
        <f aca="false">R9+T9+S9</f>
        <v>20835.6402994404</v>
      </c>
      <c r="W9" s="24" t="n">
        <f aca="false">Z8</f>
        <v>76166.5400674407</v>
      </c>
      <c r="X9" s="36" t="n">
        <f aca="false">W9*$C$6</f>
        <v>7616.65400674408</v>
      </c>
      <c r="Z9" s="24" t="n">
        <f aca="false">W9+X9</f>
        <v>83783.1940741848</v>
      </c>
    </row>
    <row r="10" customFormat="false" ht="15" hidden="false" customHeight="false" outlineLevel="0" collapsed="false">
      <c r="A10" s="0" t="s">
        <v>184</v>
      </c>
      <c r="B10" s="4" t="s">
        <v>185</v>
      </c>
      <c r="C10" s="0" t="n">
        <v>15</v>
      </c>
      <c r="L10" s="0" t="n">
        <f aca="false">L9+1</f>
        <v>3</v>
      </c>
      <c r="M10" s="0" t="n">
        <f aca="false">6294.676</f>
        <v>6294.676</v>
      </c>
      <c r="N10" s="0" t="n">
        <f aca="false">M10*(1+$C$6)^L10</f>
        <v>8378.213756</v>
      </c>
      <c r="O10" s="28" t="n">
        <f aca="false">M10/(1+$C$6)^L10</f>
        <v>4729.28324567994</v>
      </c>
      <c r="Q10" s="0" t="n">
        <v>4</v>
      </c>
      <c r="R10" s="36" t="n">
        <f aca="false">U9</f>
        <v>20835.6402994404</v>
      </c>
      <c r="S10" s="36" t="n">
        <f aca="false">R10*$C$6</f>
        <v>2083.56402994404</v>
      </c>
      <c r="T10" s="36" t="n">
        <f aca="false">T9</f>
        <v>6294.75537747444</v>
      </c>
      <c r="U10" s="36" t="n">
        <f aca="false">R10+T10+S10</f>
        <v>29213.9597068589</v>
      </c>
      <c r="W10" s="24" t="n">
        <f aca="false">Z9</f>
        <v>83783.1940741848</v>
      </c>
      <c r="X10" s="36" t="n">
        <f aca="false">W10*$C$6</f>
        <v>8378.31940741848</v>
      </c>
      <c r="Z10" s="24" t="n">
        <f aca="false">W10+X10</f>
        <v>92161.5134816033</v>
      </c>
    </row>
    <row r="11" customFormat="false" ht="15" hidden="false" customHeight="false" outlineLevel="0" collapsed="false">
      <c r="B11" s="4" t="s">
        <v>186</v>
      </c>
      <c r="C11" s="21" t="n">
        <v>-200000</v>
      </c>
      <c r="L11" s="0" t="n">
        <f aca="false">L10+1</f>
        <v>4</v>
      </c>
      <c r="M11" s="0" t="n">
        <f aca="false">6294.676</f>
        <v>6294.676</v>
      </c>
      <c r="N11" s="0" t="n">
        <f aca="false">M11*(1+$C$6)^L11</f>
        <v>9216.0351316</v>
      </c>
      <c r="O11" s="28" t="n">
        <f aca="false">M11/(1+$C$6)^L11</f>
        <v>4299.34840516358</v>
      </c>
      <c r="Q11" s="0" t="n">
        <v>5</v>
      </c>
      <c r="R11" s="36" t="n">
        <f aca="false">U10</f>
        <v>29213.9597068589</v>
      </c>
      <c r="S11" s="36" t="n">
        <f aca="false">R11*$C$6</f>
        <v>2921.39597068589</v>
      </c>
      <c r="T11" s="36" t="n">
        <f aca="false">T10</f>
        <v>6294.75537747444</v>
      </c>
      <c r="U11" s="36" t="n">
        <f aca="false">R11+T11+S11</f>
        <v>38430.1110550192</v>
      </c>
      <c r="W11" s="24" t="n">
        <f aca="false">Z10</f>
        <v>92161.5134816033</v>
      </c>
      <c r="X11" s="36" t="n">
        <f aca="false">W11*$C$6</f>
        <v>9216.15134816033</v>
      </c>
      <c r="Z11" s="24" t="n">
        <f aca="false">W11+X11</f>
        <v>101377.664829764</v>
      </c>
    </row>
    <row r="12" customFormat="false" ht="15" hidden="false" customHeight="false" outlineLevel="0" collapsed="false">
      <c r="C12" s="73" t="n">
        <f aca="false">((C6)/((1+C6)^C10-1))</f>
        <v>0.0314737768873722</v>
      </c>
      <c r="J12" s="4" t="s">
        <v>187</v>
      </c>
      <c r="K12" s="74" t="n">
        <f aca="false">C$6/((1+C$6)^C$10-1)</f>
        <v>0.0314737768873722</v>
      </c>
      <c r="L12" s="0" t="n">
        <f aca="false">L11+1</f>
        <v>5</v>
      </c>
      <c r="M12" s="0" t="n">
        <f aca="false">6294.676</f>
        <v>6294.676</v>
      </c>
      <c r="N12" s="0" t="n">
        <f aca="false">M12*(1+$C$6)^L12</f>
        <v>10137.63864476</v>
      </c>
      <c r="O12" s="28" t="n">
        <f aca="false">M12/(1+$C$6)^L12</f>
        <v>3908.49855014871</v>
      </c>
      <c r="Q12" s="0" t="n">
        <v>6</v>
      </c>
      <c r="R12" s="36" t="n">
        <f aca="false">U11</f>
        <v>38430.1110550192</v>
      </c>
      <c r="S12" s="36" t="n">
        <f aca="false">R12*$C$6</f>
        <v>3843.01110550192</v>
      </c>
      <c r="T12" s="36" t="n">
        <f aca="false">T11</f>
        <v>6294.75537747444</v>
      </c>
      <c r="U12" s="36" t="n">
        <f aca="false">R12+T12+S12</f>
        <v>48567.8775379955</v>
      </c>
      <c r="W12" s="24" t="n">
        <f aca="false">Z11</f>
        <v>101377.664829764</v>
      </c>
      <c r="X12" s="36" t="n">
        <f aca="false">W12*$C$6</f>
        <v>10137.7664829764</v>
      </c>
      <c r="Z12" s="24" t="n">
        <f aca="false">W12+X12</f>
        <v>111515.43131274</v>
      </c>
    </row>
    <row r="13" customFormat="false" ht="15" hidden="false" customHeight="false" outlineLevel="0" collapsed="false">
      <c r="B13" s="46" t="s">
        <v>188</v>
      </c>
      <c r="C13" s="12" t="n">
        <f aca="false">C11*((C6)/((1+C6)^C10-1))</f>
        <v>-6294.75537747444</v>
      </c>
      <c r="D13" s="31"/>
      <c r="J13" s="0" t="s">
        <v>112</v>
      </c>
      <c r="K13" s="0" t="n">
        <f aca="false">C11*K12</f>
        <v>-6294.75537747444</v>
      </c>
      <c r="L13" s="0" t="n">
        <f aca="false">L12+1</f>
        <v>6</v>
      </c>
      <c r="M13" s="0" t="n">
        <f aca="false">6294.676</f>
        <v>6294.676</v>
      </c>
      <c r="N13" s="0" t="n">
        <f aca="false">M13*(1+$C$6)^L13</f>
        <v>11151.402509236</v>
      </c>
      <c r="O13" s="28" t="n">
        <f aca="false">M13/(1+$C$6)^L13</f>
        <v>3553.18050013519</v>
      </c>
      <c r="Q13" s="0" t="n">
        <v>7</v>
      </c>
      <c r="R13" s="36" t="n">
        <f aca="false">U12</f>
        <v>48567.8775379955</v>
      </c>
      <c r="S13" s="36" t="n">
        <f aca="false">R13*$C$6</f>
        <v>4856.78775379955</v>
      </c>
      <c r="T13" s="36" t="n">
        <f aca="false">T12</f>
        <v>6294.75537747444</v>
      </c>
      <c r="U13" s="36" t="n">
        <f aca="false">R13+T13+S13</f>
        <v>59719.4206692695</v>
      </c>
      <c r="W13" s="24" t="n">
        <f aca="false">Z12</f>
        <v>111515.43131274</v>
      </c>
      <c r="X13" s="36" t="n">
        <f aca="false">W13*$C$6</f>
        <v>11151.543131274</v>
      </c>
      <c r="Z13" s="24" t="n">
        <f aca="false">W13+X13</f>
        <v>122666.974444014</v>
      </c>
    </row>
    <row r="14" customFormat="false" ht="15" hidden="false" customHeight="false" outlineLevel="0" collapsed="false">
      <c r="B14" s="46" t="s">
        <v>189</v>
      </c>
      <c r="L14" s="0" t="n">
        <f aca="false">L13+1</f>
        <v>7</v>
      </c>
      <c r="M14" s="0" t="n">
        <f aca="false">6294.676</f>
        <v>6294.676</v>
      </c>
      <c r="N14" s="0" t="n">
        <f aca="false">M14*(1+$C$6)^L14</f>
        <v>12266.5427601596</v>
      </c>
      <c r="O14" s="28" t="n">
        <f aca="false">M14/(1+$C$6)^L14</f>
        <v>3230.16409103199</v>
      </c>
      <c r="Q14" s="0" t="n">
        <v>8</v>
      </c>
      <c r="R14" s="36" t="n">
        <f aca="false">U13</f>
        <v>59719.4206692695</v>
      </c>
      <c r="S14" s="36" t="n">
        <f aca="false">R14*$C$6</f>
        <v>5971.94206692695</v>
      </c>
      <c r="T14" s="36" t="n">
        <f aca="false">T13</f>
        <v>6294.75537747444</v>
      </c>
      <c r="U14" s="36" t="n">
        <f aca="false">R14+T14+S14</f>
        <v>71986.1181136709</v>
      </c>
      <c r="W14" s="24" t="n">
        <f aca="false">Z13</f>
        <v>122666.974444014</v>
      </c>
      <c r="X14" s="36" t="n">
        <f aca="false">W14*$C$6</f>
        <v>12266.6974444014</v>
      </c>
      <c r="Z14" s="24" t="n">
        <f aca="false">W14+X14</f>
        <v>134933.671888415</v>
      </c>
    </row>
    <row r="15" customFormat="false" ht="15" hidden="false" customHeight="false" outlineLevel="0" collapsed="false">
      <c r="B15" s="4" t="s">
        <v>190</v>
      </c>
      <c r="C15" s="21" t="n">
        <f aca="false">C13/C6</f>
        <v>-62947.5537747444</v>
      </c>
      <c r="D15" s="31"/>
      <c r="L15" s="0" t="n">
        <f aca="false">L14+1</f>
        <v>8</v>
      </c>
      <c r="M15" s="0" t="n">
        <f aca="false">6294.676</f>
        <v>6294.676</v>
      </c>
      <c r="N15" s="0" t="n">
        <f aca="false">M15*(1+$C$6)^L15</f>
        <v>13493.1970361756</v>
      </c>
      <c r="O15" s="28" t="n">
        <f aca="false">M15/(1+$C$6)^L15</f>
        <v>2936.51281002908</v>
      </c>
      <c r="Q15" s="0" t="n">
        <v>9</v>
      </c>
      <c r="R15" s="36" t="n">
        <f aca="false">U14</f>
        <v>71986.1181136709</v>
      </c>
      <c r="S15" s="36" t="n">
        <f aca="false">R15*$C$6</f>
        <v>7198.61181136709</v>
      </c>
      <c r="T15" s="36" t="n">
        <f aca="false">T14</f>
        <v>6294.75537747444</v>
      </c>
      <c r="U15" s="36" t="n">
        <f aca="false">R15+T15+S15</f>
        <v>85479.4853025124</v>
      </c>
      <c r="W15" s="24" t="n">
        <f aca="false">Z14</f>
        <v>134933.671888415</v>
      </c>
      <c r="X15" s="36" t="n">
        <f aca="false">W15*$C$6</f>
        <v>13493.3671888415</v>
      </c>
      <c r="Z15" s="24" t="n">
        <f aca="false">W15+X15</f>
        <v>148427.039077257</v>
      </c>
    </row>
    <row r="16" customFormat="false" ht="15" hidden="false" customHeight="false" outlineLevel="0" collapsed="false">
      <c r="L16" s="0" t="n">
        <f aca="false">L15+1</f>
        <v>9</v>
      </c>
      <c r="M16" s="0" t="n">
        <f aca="false">6294.676</f>
        <v>6294.676</v>
      </c>
      <c r="N16" s="0" t="n">
        <f aca="false">M16*(1+$C$6)^L16</f>
        <v>14842.5167397931</v>
      </c>
      <c r="O16" s="28" t="n">
        <f aca="false">M16/(1+$C$6)^L16</f>
        <v>2669.55710002644</v>
      </c>
      <c r="Q16" s="0" t="n">
        <v>10</v>
      </c>
      <c r="R16" s="36" t="n">
        <f aca="false">U15</f>
        <v>85479.4853025124</v>
      </c>
      <c r="S16" s="36" t="n">
        <f aca="false">R16*$C$6</f>
        <v>8547.94853025124</v>
      </c>
      <c r="T16" s="36" t="n">
        <f aca="false">T15</f>
        <v>6294.75537747444</v>
      </c>
      <c r="U16" s="36" t="n">
        <f aca="false">R16+T16+S16</f>
        <v>100322.189210238</v>
      </c>
      <c r="W16" s="24" t="n">
        <f aca="false">Z15</f>
        <v>148427.039077257</v>
      </c>
      <c r="X16" s="36" t="n">
        <f aca="false">W16*$C$6</f>
        <v>14842.7039077257</v>
      </c>
      <c r="Z16" s="24" t="n">
        <f aca="false">W16+X16</f>
        <v>163269.742984983</v>
      </c>
    </row>
    <row r="17" customFormat="false" ht="15" hidden="false" customHeight="false" outlineLevel="0" collapsed="false">
      <c r="B17" s="4" t="s">
        <v>171</v>
      </c>
      <c r="C17" s="75" t="n">
        <f aca="false">C4+C8+C15</f>
        <v>-662947.553774744</v>
      </c>
      <c r="D17" s="32"/>
      <c r="L17" s="0" t="n">
        <f aca="false">L16+1</f>
        <v>10</v>
      </c>
      <c r="M17" s="0" t="n">
        <f aca="false">6294.676</f>
        <v>6294.676</v>
      </c>
      <c r="N17" s="0" t="n">
        <f aca="false">M17*(1+$C$6)^L17</f>
        <v>16326.7684137724</v>
      </c>
      <c r="O17" s="28" t="n">
        <f aca="false">M17/(1+$C$6)^L17</f>
        <v>2426.87009093313</v>
      </c>
      <c r="Q17" s="0" t="n">
        <v>11</v>
      </c>
      <c r="R17" s="36" t="n">
        <f aca="false">U16</f>
        <v>100322.189210238</v>
      </c>
      <c r="S17" s="36" t="n">
        <f aca="false">R17*$C$6</f>
        <v>10032.2189210238</v>
      </c>
      <c r="T17" s="36" t="n">
        <f aca="false">T16</f>
        <v>6294.75537747444</v>
      </c>
      <c r="U17" s="36" t="n">
        <f aca="false">R17+T17+S17</f>
        <v>116649.163508736</v>
      </c>
      <c r="W17" s="24" t="n">
        <f aca="false">Z16</f>
        <v>163269.742984983</v>
      </c>
      <c r="X17" s="36" t="n">
        <f aca="false">W17*$C$6</f>
        <v>16326.9742984983</v>
      </c>
      <c r="Z17" s="24" t="n">
        <f aca="false">W17+X17</f>
        <v>179596.717283481</v>
      </c>
    </row>
    <row r="18" customFormat="false" ht="15" hidden="false" customHeight="false" outlineLevel="0" collapsed="false">
      <c r="C18" s="47"/>
      <c r="D18" s="32"/>
      <c r="L18" s="0" t="n">
        <f aca="false">L17+1</f>
        <v>11</v>
      </c>
      <c r="M18" s="0" t="n">
        <f aca="false">6294.676</f>
        <v>6294.676</v>
      </c>
      <c r="N18" s="0" t="n">
        <f aca="false">M18*(1+$C$6)^L18</f>
        <v>17959.4452551497</v>
      </c>
      <c r="O18" s="28" t="n">
        <f aca="false">M18/(1+$C$6)^L18</f>
        <v>2206.24553721193</v>
      </c>
      <c r="Q18" s="0" t="n">
        <v>12</v>
      </c>
      <c r="R18" s="36" t="n">
        <f aca="false">U17</f>
        <v>116649.163508736</v>
      </c>
      <c r="S18" s="36" t="n">
        <f aca="false">R18*$C$6</f>
        <v>11664.9163508736</v>
      </c>
      <c r="T18" s="36" t="n">
        <f aca="false">T17</f>
        <v>6294.75537747444</v>
      </c>
      <c r="U18" s="36" t="n">
        <f aca="false">R18+T18+S18</f>
        <v>134608.835237084</v>
      </c>
      <c r="W18" s="24" t="n">
        <f aca="false">Z17</f>
        <v>179596.717283481</v>
      </c>
      <c r="X18" s="36" t="n">
        <f aca="false">W18*$C$6</f>
        <v>17959.6717283481</v>
      </c>
      <c r="Z18" s="24" t="n">
        <f aca="false">W18+X18</f>
        <v>197556.389011829</v>
      </c>
    </row>
    <row r="19" customFormat="false" ht="15" hidden="false" customHeight="false" outlineLevel="0" collapsed="false">
      <c r="B19" s="0" t="s">
        <v>187</v>
      </c>
      <c r="C19" s="47" t="n">
        <f aca="false">(C6)/((1+C6)^C10-1)</f>
        <v>0.0314737768873722</v>
      </c>
      <c r="D19" s="28"/>
      <c r="L19" s="0" t="n">
        <f aca="false">L18+1</f>
        <v>12</v>
      </c>
      <c r="M19" s="0" t="n">
        <f aca="false">6294.676</f>
        <v>6294.676</v>
      </c>
      <c r="N19" s="0" t="n">
        <f aca="false">M19*(1+$C$6)^L19</f>
        <v>19755.3897806647</v>
      </c>
      <c r="O19" s="28" t="n">
        <f aca="false">M19/(1+$C$6)^L19</f>
        <v>2005.67776110176</v>
      </c>
      <c r="Q19" s="0" t="n">
        <v>13</v>
      </c>
      <c r="R19" s="36" t="n">
        <f aca="false">U18</f>
        <v>134608.835237084</v>
      </c>
      <c r="S19" s="36" t="n">
        <f aca="false">R19*$C$6</f>
        <v>13460.8835237084</v>
      </c>
      <c r="T19" s="36" t="n">
        <f aca="false">T18</f>
        <v>6294.75537747444</v>
      </c>
      <c r="U19" s="36" t="n">
        <f aca="false">R19+T19+S19</f>
        <v>154364.474138267</v>
      </c>
      <c r="W19" s="24" t="n">
        <f aca="false">Z18</f>
        <v>197556.389011829</v>
      </c>
      <c r="X19" s="36" t="n">
        <f aca="false">W19*$C$6</f>
        <v>19755.6389011829</v>
      </c>
      <c r="Z19" s="24" t="n">
        <f aca="false">W19+X19</f>
        <v>217312.027913012</v>
      </c>
    </row>
    <row r="20" customFormat="false" ht="15" hidden="false" customHeight="false" outlineLevel="0" collapsed="false">
      <c r="B20" s="0" t="s">
        <v>112</v>
      </c>
      <c r="C20" s="47" t="n">
        <f aca="false">C19*C11</f>
        <v>-6294.75537747444</v>
      </c>
      <c r="I20" s="0" t="n">
        <f aca="false">-C11/(1+C6)^C10</f>
        <v>47878.4098738327</v>
      </c>
      <c r="L20" s="0" t="n">
        <f aca="false">L19+1</f>
        <v>13</v>
      </c>
      <c r="M20" s="0" t="n">
        <f aca="false">6294.676</f>
        <v>6294.676</v>
      </c>
      <c r="N20" s="0" t="n">
        <f aca="false">M20*(1+$C$6)^L20</f>
        <v>21730.9287587311</v>
      </c>
      <c r="O20" s="28" t="n">
        <f aca="false">M20/(1+$C$6)^L20</f>
        <v>1823.34341918341</v>
      </c>
      <c r="Q20" s="0" t="n">
        <v>14</v>
      </c>
      <c r="R20" s="36" t="n">
        <f aca="false">U19</f>
        <v>154364.474138267</v>
      </c>
      <c r="S20" s="36" t="n">
        <f aca="false">R20*$C$6</f>
        <v>15436.4474138267</v>
      </c>
      <c r="T20" s="36" t="n">
        <f aca="false">T19</f>
        <v>6294.75537747444</v>
      </c>
      <c r="U20" s="36" t="n">
        <f aca="false">R20+T20+S20</f>
        <v>176095.676929568</v>
      </c>
      <c r="W20" s="24" t="n">
        <f aca="false">Z19</f>
        <v>217312.027913012</v>
      </c>
      <c r="X20" s="36" t="n">
        <f aca="false">W20*$C$6</f>
        <v>21731.2027913012</v>
      </c>
      <c r="Z20" s="24" t="n">
        <f aca="false">W20+X20</f>
        <v>239043.230704313</v>
      </c>
    </row>
    <row r="21" customFormat="false" ht="15" hidden="false" customHeight="false" outlineLevel="0" collapsed="false">
      <c r="C21" s="47"/>
      <c r="I21" s="0" t="n">
        <f aca="false">I20*C12</f>
        <v>1506.91439009117</v>
      </c>
      <c r="L21" s="0" t="n">
        <f aca="false">L20+1</f>
        <v>14</v>
      </c>
      <c r="M21" s="0" t="n">
        <f aca="false">6294.676</f>
        <v>6294.676</v>
      </c>
      <c r="N21" s="0" t="n">
        <f aca="false">M21*(1+$C$6)^L21</f>
        <v>23904.0216346042</v>
      </c>
      <c r="O21" s="28" t="n">
        <f aca="false">M21/(1+$C$6)^L21</f>
        <v>1657.58492653038</v>
      </c>
      <c r="P21" s="28" t="n">
        <f aca="false">SUM(O7:O21)</f>
        <v>52665.5867346962</v>
      </c>
      <c r="Q21" s="0" t="n">
        <v>15</v>
      </c>
      <c r="R21" s="36" t="n">
        <f aca="false">U20</f>
        <v>176095.676929568</v>
      </c>
      <c r="S21" s="36" t="n">
        <f aca="false">R21*$C$6</f>
        <v>17609.5676929568</v>
      </c>
      <c r="T21" s="36" t="n">
        <f aca="false">T20</f>
        <v>6294.75537747444</v>
      </c>
      <c r="U21" s="36" t="n">
        <f aca="false">R21+T21+S21</f>
        <v>200000</v>
      </c>
      <c r="W21" s="24" t="n">
        <f aca="false">Z20</f>
        <v>239043.230704313</v>
      </c>
      <c r="X21" s="36" t="n">
        <f aca="false">W21*$C$6</f>
        <v>23904.3230704313</v>
      </c>
      <c r="Y21" s="0" t="n">
        <v>-200000</v>
      </c>
      <c r="Z21" s="24" t="n">
        <f aca="false">W21+X21+Y21</f>
        <v>62947.5537747444</v>
      </c>
    </row>
    <row r="22" customFormat="false" ht="15" hidden="false" customHeight="false" outlineLevel="0" collapsed="false">
      <c r="B22" s="65" t="s">
        <v>191</v>
      </c>
      <c r="C22" s="47"/>
    </row>
    <row r="23" customFormat="false" ht="15" hidden="false" customHeight="false" outlineLevel="0" collapsed="false">
      <c r="B23" s="65" t="s">
        <v>192</v>
      </c>
      <c r="C23" s="47"/>
      <c r="N23" s="0" t="n">
        <f aca="false">SUM(N7:N21)</f>
        <v>199997.477980646</v>
      </c>
      <c r="X23" s="56" t="n">
        <f aca="false">SUM(X7:X21)</f>
        <v>200000</v>
      </c>
    </row>
    <row r="24" customFormat="false" ht="15" hidden="false" customHeight="false" outlineLevel="0" collapsed="false">
      <c r="B24" s="65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5" activeCellId="0" sqref="G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7.57"/>
    <col collapsed="false" customWidth="true" hidden="false" outlineLevel="0" max="3" min="3" style="0" width="18.29"/>
    <col collapsed="false" customWidth="true" hidden="false" outlineLevel="0" max="4" min="4" style="0" width="13.57"/>
    <col collapsed="false" customWidth="true" hidden="false" outlineLevel="0" max="5" min="5" style="0" width="4.71"/>
    <col collapsed="false" customWidth="true" hidden="false" outlineLevel="0" max="6" min="6" style="0" width="10.29"/>
    <col collapsed="false" customWidth="true" hidden="false" outlineLevel="0" max="8" min="8" style="0" width="4.14"/>
    <col collapsed="false" customWidth="true" hidden="false" outlineLevel="0" max="9" min="9" style="0" width="10.42"/>
    <col collapsed="false" customWidth="true" hidden="false" outlineLevel="0" max="11" min="11" style="0" width="4.14"/>
    <col collapsed="false" customWidth="true" hidden="false" outlineLevel="0" max="12" min="12" style="0" width="10.71"/>
  </cols>
  <sheetData>
    <row r="1" customFormat="false" ht="15" hidden="false" customHeight="false" outlineLevel="0" collapsed="false">
      <c r="A1" s="29" t="s">
        <v>175</v>
      </c>
    </row>
    <row r="2" customFormat="false" ht="15" hidden="false" customHeight="false" outlineLevel="0" collapsed="false">
      <c r="A2" s="29"/>
      <c r="C2" s="5" t="s">
        <v>194</v>
      </c>
      <c r="D2" s="5"/>
      <c r="E2" s="5"/>
    </row>
    <row r="3" customFormat="false" ht="15" hidden="false" customHeight="false" outlineLevel="0" collapsed="false">
      <c r="C3" s="5" t="s">
        <v>133</v>
      </c>
      <c r="D3" s="5"/>
      <c r="E3" s="27"/>
      <c r="F3" s="5" t="s">
        <v>134</v>
      </c>
      <c r="G3" s="5"/>
      <c r="I3" s="5" t="s">
        <v>195</v>
      </c>
      <c r="J3" s="5"/>
      <c r="L3" s="5" t="s">
        <v>196</v>
      </c>
      <c r="M3" s="5"/>
    </row>
    <row r="4" customFormat="false" ht="15" hidden="false" customHeight="false" outlineLevel="0" collapsed="false">
      <c r="D4" s="21"/>
      <c r="E4" s="21"/>
    </row>
    <row r="5" customFormat="false" ht="15" hidden="false" customHeight="false" outlineLevel="0" collapsed="false">
      <c r="C5" s="0" t="s">
        <v>0</v>
      </c>
      <c r="D5" s="34" t="n">
        <v>0.07</v>
      </c>
      <c r="E5" s="34"/>
      <c r="G5" s="34"/>
    </row>
    <row r="7" customFormat="false" ht="15" hidden="false" customHeight="false" outlineLevel="0" collapsed="false">
      <c r="B7" s="5" t="s">
        <v>33</v>
      </c>
      <c r="C7" s="5" t="s">
        <v>148</v>
      </c>
      <c r="D7" s="5" t="s">
        <v>136</v>
      </c>
      <c r="E7" s="34"/>
      <c r="F7" s="5" t="s">
        <v>148</v>
      </c>
      <c r="G7" s="5" t="s">
        <v>197</v>
      </c>
      <c r="I7" s="5" t="s">
        <v>148</v>
      </c>
      <c r="J7" s="5" t="s">
        <v>197</v>
      </c>
      <c r="L7" s="5" t="s">
        <v>148</v>
      </c>
      <c r="M7" s="5" t="s">
        <v>197</v>
      </c>
    </row>
    <row r="8" customFormat="false" ht="15" hidden="false" customHeight="false" outlineLevel="0" collapsed="false">
      <c r="B8" s="46" t="n">
        <v>0</v>
      </c>
      <c r="C8" s="76" t="n">
        <v>-22000</v>
      </c>
      <c r="D8" s="36" t="n">
        <f aca="false">C8/(1+$D$5)^$B8</f>
        <v>-22000</v>
      </c>
      <c r="E8" s="34"/>
      <c r="F8" s="76" t="n">
        <v>-23000</v>
      </c>
      <c r="G8" s="36" t="n">
        <f aca="false">F8/(1+$D$5)^$B8</f>
        <v>-23000</v>
      </c>
      <c r="I8" s="76" t="n">
        <v>-25000</v>
      </c>
      <c r="J8" s="36" t="n">
        <f aca="false">I8/(1+$D$5)^$B8</f>
        <v>-25000</v>
      </c>
      <c r="K8" s="36"/>
      <c r="L8" s="76" t="n">
        <v>-30000</v>
      </c>
      <c r="M8" s="36" t="n">
        <f aca="false">L8/(1+$D$5)^$B8</f>
        <v>-30000</v>
      </c>
    </row>
    <row r="9" customFormat="false" ht="15" hidden="false" customHeight="false" outlineLevel="0" collapsed="false">
      <c r="B9" s="46" t="n">
        <v>1</v>
      </c>
      <c r="C9" s="76" t="n">
        <f aca="false">2000*-1.2</f>
        <v>-2400</v>
      </c>
      <c r="D9" s="36" t="n">
        <f aca="false">C9/(1+$D$5)^$B9</f>
        <v>-2242.99065420561</v>
      </c>
      <c r="E9" s="34"/>
      <c r="F9" s="76" t="n">
        <f aca="false">2000*-0.65</f>
        <v>-1300</v>
      </c>
      <c r="G9" s="36" t="n">
        <f aca="false">F9/(1+$D$5)^$B9</f>
        <v>-1214.95327102804</v>
      </c>
      <c r="I9" s="76" t="n">
        <f aca="false">2000*-0.5</f>
        <v>-1000</v>
      </c>
      <c r="J9" s="36" t="n">
        <f aca="false">I9/(1+$D$5)^$B9</f>
        <v>-934.579439252336</v>
      </c>
      <c r="L9" s="76" t="n">
        <f aca="false">2000*-0.4</f>
        <v>-800</v>
      </c>
      <c r="M9" s="36" t="n">
        <f aca="false">L9/(1+$D$5)^$B9</f>
        <v>-747.663551401869</v>
      </c>
    </row>
    <row r="10" customFormat="false" ht="15" hidden="false" customHeight="false" outlineLevel="0" collapsed="false">
      <c r="B10" s="46" t="n">
        <v>2</v>
      </c>
      <c r="C10" s="24" t="n">
        <f aca="false">2000*-1.2</f>
        <v>-2400</v>
      </c>
      <c r="D10" s="36" t="n">
        <f aca="false">C10/(1+$D$5)^$B10</f>
        <v>-2096.25294785571</v>
      </c>
      <c r="E10" s="34"/>
      <c r="F10" s="24" t="n">
        <f aca="false">2000*-0.65</f>
        <v>-1300</v>
      </c>
      <c r="G10" s="36" t="n">
        <f aca="false">F10/(1+$D$5)^$B10</f>
        <v>-1135.47034675518</v>
      </c>
      <c r="I10" s="24" t="n">
        <f aca="false">2000*-0.5</f>
        <v>-1000</v>
      </c>
      <c r="J10" s="36" t="n">
        <f aca="false">I10/(1+$D$5)^$B10</f>
        <v>-873.438728273212</v>
      </c>
      <c r="L10" s="24" t="n">
        <f aca="false">2000*-0.4</f>
        <v>-800</v>
      </c>
      <c r="M10" s="36" t="n">
        <f aca="false">L10/(1+$D$5)^$B10</f>
        <v>-698.750982618569</v>
      </c>
    </row>
    <row r="11" customFormat="false" ht="15" hidden="false" customHeight="false" outlineLevel="0" collapsed="false">
      <c r="B11" s="46" t="n">
        <v>3</v>
      </c>
      <c r="C11" s="24" t="n">
        <f aca="false">2000*-1.2</f>
        <v>-2400</v>
      </c>
      <c r="D11" s="36" t="n">
        <f aca="false">C11/(1+$D$5)^$B11</f>
        <v>-1959.11490453804</v>
      </c>
      <c r="E11" s="34"/>
      <c r="F11" s="24" t="n">
        <f aca="false">2000*-0.65</f>
        <v>-1300</v>
      </c>
      <c r="G11" s="36" t="n">
        <f aca="false">F11/(1+$D$5)^$B11</f>
        <v>-1061.18723995811</v>
      </c>
      <c r="I11" s="24" t="n">
        <f aca="false">2000*-0.5</f>
        <v>-1000</v>
      </c>
      <c r="J11" s="36" t="n">
        <f aca="false">I11/(1+$D$5)^$B11</f>
        <v>-816.297876890852</v>
      </c>
      <c r="L11" s="24" t="n">
        <f aca="false">2000*-0.4</f>
        <v>-800</v>
      </c>
      <c r="M11" s="36" t="n">
        <f aca="false">L11/(1+$D$5)^$B11</f>
        <v>-653.038301512682</v>
      </c>
    </row>
    <row r="12" customFormat="false" ht="15" hidden="false" customHeight="false" outlineLevel="0" collapsed="false">
      <c r="B12" s="46" t="n">
        <v>4</v>
      </c>
      <c r="C12" s="24" t="n">
        <f aca="false">2000*-1.2</f>
        <v>-2400</v>
      </c>
      <c r="D12" s="36" t="n">
        <f aca="false">C12/(1+$D$5)^$B12</f>
        <v>-1830.94850891406</v>
      </c>
      <c r="E12" s="34"/>
      <c r="F12" s="24" t="n">
        <f aca="false">2000*-0.65</f>
        <v>-1300</v>
      </c>
      <c r="G12" s="36" t="n">
        <f aca="false">F12/(1+$D$5)^$B12</f>
        <v>-991.763775661783</v>
      </c>
      <c r="I12" s="24" t="n">
        <f aca="false">2000*-0.5</f>
        <v>-1000</v>
      </c>
      <c r="J12" s="36" t="n">
        <f aca="false">I12/(1+$D$5)^$B12</f>
        <v>-762.895212047525</v>
      </c>
      <c r="L12" s="24" t="n">
        <f aca="false">2000*-0.4</f>
        <v>-800</v>
      </c>
      <c r="M12" s="36" t="n">
        <f aca="false">L12/(1+$D$5)^$B12</f>
        <v>-610.31616963802</v>
      </c>
    </row>
    <row r="13" customFormat="false" ht="15" hidden="false" customHeight="false" outlineLevel="0" collapsed="false">
      <c r="B13" s="46" t="n">
        <v>5</v>
      </c>
      <c r="C13" s="24" t="n">
        <f aca="false">2000*-1.2</f>
        <v>-2400</v>
      </c>
      <c r="D13" s="36" t="n">
        <f aca="false">C13/(1+$D$5)^$B13</f>
        <v>-1711.1668307608</v>
      </c>
      <c r="E13" s="34"/>
      <c r="F13" s="24" t="n">
        <f aca="false">2000*-0.65</f>
        <v>-1300</v>
      </c>
      <c r="G13" s="36" t="n">
        <f aca="false">F13/(1+$D$5)^$B13</f>
        <v>-926.882033328769</v>
      </c>
      <c r="I13" s="24" t="n">
        <f aca="false">2000*-0.5</f>
        <v>-1000</v>
      </c>
      <c r="J13" s="36" t="n">
        <f aca="false">I13/(1+$D$5)^$B13</f>
        <v>-712.986179483668</v>
      </c>
      <c r="L13" s="24" t="n">
        <f aca="false">2000*-0.4</f>
        <v>-800</v>
      </c>
      <c r="M13" s="36" t="n">
        <f aca="false">L13/(1+$D$5)^$B13</f>
        <v>-570.388943586935</v>
      </c>
    </row>
    <row r="14" customFormat="false" ht="15" hidden="false" customHeight="false" outlineLevel="0" collapsed="false">
      <c r="B14" s="46"/>
      <c r="C14" s="24"/>
      <c r="D14" s="36"/>
      <c r="E14" s="34"/>
      <c r="F14" s="24"/>
      <c r="G14" s="36"/>
      <c r="I14" s="24"/>
      <c r="J14" s="36"/>
    </row>
    <row r="15" customFormat="false" ht="15" hidden="false" customHeight="false" outlineLevel="0" collapsed="false">
      <c r="B15" s="61" t="s">
        <v>143</v>
      </c>
      <c r="C15" s="61"/>
      <c r="D15" s="62" t="n">
        <f aca="false">SUM(D8:D13)</f>
        <v>-31840.4738462742</v>
      </c>
      <c r="E15" s="34"/>
      <c r="F15" s="61"/>
      <c r="G15" s="62" t="n">
        <f aca="false">SUM(G8:G13)</f>
        <v>-28330.2566667319</v>
      </c>
      <c r="I15" s="61"/>
      <c r="J15" s="62" t="n">
        <f aca="false">SUM(J8:J13)</f>
        <v>-29100.1974359476</v>
      </c>
      <c r="L15" s="61"/>
      <c r="M15" s="62" t="n">
        <f aca="false">SUM(M8:M13)</f>
        <v>-33280.1579487581</v>
      </c>
    </row>
    <row r="16" customFormat="false" ht="15" hidden="false" customHeight="false" outlineLevel="0" collapsed="false">
      <c r="B16" s="66"/>
      <c r="C16" s="67"/>
      <c r="D16" s="36"/>
    </row>
    <row r="17" customFormat="false" ht="15" hidden="false" customHeight="false" outlineLevel="0" collapsed="false">
      <c r="B17" s="66"/>
      <c r="C17" s="67"/>
      <c r="D17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9" activeCellId="0" sqref="I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9.71"/>
    <col collapsed="false" customWidth="true" hidden="false" outlineLevel="0" max="3" min="3" style="0" width="20.42"/>
    <col collapsed="false" customWidth="true" hidden="false" outlineLevel="0" max="4" min="4" style="0" width="13.57"/>
    <col collapsed="false" customWidth="true" hidden="false" outlineLevel="0" max="5" min="5" style="0" width="4.71"/>
    <col collapsed="false" customWidth="true" hidden="false" outlineLevel="0" max="6" min="6" style="0" width="26.29"/>
  </cols>
  <sheetData>
    <row r="1" customFormat="false" ht="15" hidden="false" customHeight="false" outlineLevel="0" collapsed="false">
      <c r="A1" s="29" t="s">
        <v>198</v>
      </c>
    </row>
    <row r="2" customFormat="false" ht="15" hidden="false" customHeight="false" outlineLevel="0" collapsed="false">
      <c r="A2" s="29"/>
      <c r="C2" s="5" t="s">
        <v>194</v>
      </c>
      <c r="D2" s="5"/>
      <c r="E2" s="5"/>
    </row>
    <row r="3" customFormat="false" ht="15" hidden="false" customHeight="false" outlineLevel="0" collapsed="false">
      <c r="C3" s="5" t="s">
        <v>199</v>
      </c>
      <c r="D3" s="5"/>
      <c r="E3" s="27"/>
      <c r="F3" s="5" t="s">
        <v>200</v>
      </c>
      <c r="G3" s="5"/>
    </row>
    <row r="4" customFormat="false" ht="15" hidden="false" customHeight="false" outlineLevel="0" collapsed="false">
      <c r="B4" s="0" t="s">
        <v>201</v>
      </c>
      <c r="D4" s="13" t="n">
        <v>-1000</v>
      </c>
      <c r="E4" s="21"/>
      <c r="F4" s="0" t="s">
        <v>201</v>
      </c>
      <c r="G4" s="21" t="n">
        <v>-1000</v>
      </c>
    </row>
    <row r="6" customFormat="false" ht="15" hidden="false" customHeight="false" outlineLevel="0" collapsed="false">
      <c r="B6" s="0" t="s">
        <v>202</v>
      </c>
      <c r="D6" s="33" t="n">
        <v>0.08</v>
      </c>
      <c r="E6" s="34"/>
      <c r="F6" s="0" t="s">
        <v>202</v>
      </c>
      <c r="G6" s="42" t="n">
        <v>0.1236</v>
      </c>
    </row>
    <row r="7" customFormat="false" ht="15" hidden="false" customHeight="false" outlineLevel="0" collapsed="false">
      <c r="B7" s="0" t="s">
        <v>203</v>
      </c>
      <c r="D7" s="16" t="n">
        <f aca="false">D6/2</f>
        <v>0.04</v>
      </c>
      <c r="E7" s="34"/>
      <c r="F7" s="0" t="s">
        <v>203</v>
      </c>
      <c r="G7" s="73" t="n">
        <f aca="false">(1+G6)^0.5-1</f>
        <v>0.0600000000000001</v>
      </c>
    </row>
    <row r="8" customFormat="false" ht="15" hidden="false" customHeight="false" outlineLevel="0" collapsed="false">
      <c r="B8" s="0" t="s">
        <v>204</v>
      </c>
      <c r="D8" s="48" t="n">
        <v>0.1236</v>
      </c>
      <c r="F8" s="0" t="s">
        <v>0</v>
      </c>
      <c r="G8" s="42" t="n">
        <v>0.1236</v>
      </c>
    </row>
    <row r="9" customFormat="false" ht="15" hidden="false" customHeight="false" outlineLevel="0" collapsed="false">
      <c r="B9" s="0" t="s">
        <v>205</v>
      </c>
      <c r="D9" s="9" t="n">
        <f aca="false">(1+D8)^0.5-1</f>
        <v>0.0600000000000001</v>
      </c>
      <c r="E9" s="34"/>
      <c r="F9" s="0" t="s">
        <v>206</v>
      </c>
      <c r="G9" s="0" t="n">
        <f aca="false">(1+G8)^0.5-1</f>
        <v>0.0600000000000001</v>
      </c>
      <c r="I9" s="65" t="s">
        <v>207</v>
      </c>
    </row>
    <row r="11" customFormat="false" ht="15" hidden="false" customHeight="false" outlineLevel="0" collapsed="false">
      <c r="B11" s="5" t="s">
        <v>208</v>
      </c>
      <c r="C11" s="5" t="s">
        <v>209</v>
      </c>
      <c r="D11" s="5" t="s">
        <v>136</v>
      </c>
      <c r="E11" s="34"/>
      <c r="F11" s="5" t="s">
        <v>209</v>
      </c>
      <c r="G11" s="5" t="s">
        <v>136</v>
      </c>
    </row>
    <row r="12" customFormat="false" ht="15" hidden="false" customHeight="false" outlineLevel="0" collapsed="false">
      <c r="B12" s="46" t="n">
        <v>0</v>
      </c>
      <c r="C12" s="24"/>
      <c r="D12" s="36"/>
      <c r="E12" s="34"/>
      <c r="F12" s="24"/>
      <c r="G12" s="36"/>
    </row>
    <row r="13" customFormat="false" ht="15" hidden="false" customHeight="false" outlineLevel="0" collapsed="false">
      <c r="B13" s="46" t="n">
        <v>1</v>
      </c>
      <c r="C13" s="24" t="n">
        <f aca="false">-D$4*D$7</f>
        <v>40</v>
      </c>
      <c r="D13" s="36" t="n">
        <f aca="false">C13/(1+$D$9)^$B13</f>
        <v>37.7358490566038</v>
      </c>
      <c r="E13" s="34"/>
      <c r="F13" s="24" t="n">
        <f aca="false">-G$4*G$9</f>
        <v>60.0000000000001</v>
      </c>
      <c r="G13" s="36" t="n">
        <f aca="false">F13/(1+$G$9)^$B13</f>
        <v>56.6037735849057</v>
      </c>
    </row>
    <row r="14" customFormat="false" ht="15" hidden="false" customHeight="false" outlineLevel="0" collapsed="false">
      <c r="B14" s="46" t="n">
        <v>2</v>
      </c>
      <c r="C14" s="24" t="n">
        <f aca="false">-D$4*D$7</f>
        <v>40</v>
      </c>
      <c r="D14" s="36" t="n">
        <f aca="false">C14/(1+$D$9)^$B14</f>
        <v>35.5998576005696</v>
      </c>
      <c r="E14" s="34"/>
      <c r="F14" s="24" t="n">
        <f aca="false">-G$4*G$9</f>
        <v>60.0000000000001</v>
      </c>
      <c r="G14" s="36" t="n">
        <f aca="false">F14/(1+$G$9)^$B14</f>
        <v>53.3997864008544</v>
      </c>
    </row>
    <row r="15" customFormat="false" ht="15" hidden="false" customHeight="false" outlineLevel="0" collapsed="false">
      <c r="B15" s="46" t="n">
        <v>3</v>
      </c>
      <c r="C15" s="24" t="n">
        <f aca="false">-D$4*D$7</f>
        <v>40</v>
      </c>
      <c r="D15" s="36" t="n">
        <f aca="false">C15/(1+$D$9)^$B15</f>
        <v>33.5847713212921</v>
      </c>
      <c r="E15" s="34"/>
      <c r="F15" s="24" t="n">
        <f aca="false">-G$4*G$9</f>
        <v>60.0000000000001</v>
      </c>
      <c r="G15" s="36" t="n">
        <f aca="false">F15/(1+$G$9)^$B15</f>
        <v>50.3771569819382</v>
      </c>
    </row>
    <row r="16" customFormat="false" ht="15" hidden="false" customHeight="false" outlineLevel="0" collapsed="false">
      <c r="B16" s="46" t="n">
        <v>4</v>
      </c>
      <c r="C16" s="24" t="n">
        <f aca="false">-D$4*D$7</f>
        <v>40</v>
      </c>
      <c r="D16" s="36" t="n">
        <f aca="false">C16/(1+$D$9)^$B16</f>
        <v>31.6837465295208</v>
      </c>
      <c r="E16" s="34"/>
      <c r="F16" s="24" t="n">
        <f aca="false">-G$4*G$9</f>
        <v>60.0000000000001</v>
      </c>
      <c r="G16" s="36" t="n">
        <f aca="false">F16/(1+$G$9)^$B16</f>
        <v>47.5256197942813</v>
      </c>
    </row>
    <row r="17" customFormat="false" ht="15" hidden="false" customHeight="false" outlineLevel="0" collapsed="false">
      <c r="B17" s="46" t="n">
        <v>5</v>
      </c>
      <c r="C17" s="24" t="n">
        <f aca="false">-D$4*D$7</f>
        <v>40</v>
      </c>
      <c r="D17" s="36" t="n">
        <f aca="false">C17/(1+$D$9)^$B17</f>
        <v>29.8903269146423</v>
      </c>
      <c r="E17" s="34"/>
      <c r="F17" s="24" t="n">
        <f aca="false">-G$4*G$9</f>
        <v>60.0000000000001</v>
      </c>
      <c r="G17" s="36" t="n">
        <f aca="false">F17/(1+$G$9)^$B17</f>
        <v>44.8354903719635</v>
      </c>
    </row>
    <row r="18" customFormat="false" ht="15" hidden="false" customHeight="false" outlineLevel="0" collapsed="false">
      <c r="B18" s="46" t="n">
        <v>6</v>
      </c>
      <c r="C18" s="24" t="n">
        <f aca="false">-D$4*D$7</f>
        <v>40</v>
      </c>
      <c r="D18" s="36" t="n">
        <f aca="false">C18/(1+$D$9)^$B18</f>
        <v>28.1984216175871</v>
      </c>
      <c r="E18" s="34"/>
      <c r="F18" s="24" t="n">
        <f aca="false">-G$4*G$9</f>
        <v>60.0000000000001</v>
      </c>
      <c r="G18" s="36" t="n">
        <f aca="false">F18/(1+$G$9)^$B18</f>
        <v>42.2976324263806</v>
      </c>
    </row>
    <row r="19" customFormat="false" ht="15" hidden="false" customHeight="false" outlineLevel="0" collapsed="false">
      <c r="B19" s="46" t="n">
        <v>7</v>
      </c>
      <c r="C19" s="24" t="n">
        <f aca="false">-D$4*D$7</f>
        <v>40</v>
      </c>
      <c r="D19" s="36" t="n">
        <f aca="false">C19/(1+$D$9)^$B19</f>
        <v>26.6022845448934</v>
      </c>
      <c r="E19" s="34"/>
      <c r="F19" s="24" t="n">
        <f aca="false">-G$4*G$9</f>
        <v>60.0000000000001</v>
      </c>
      <c r="G19" s="36" t="n">
        <f aca="false">F19/(1+$G$9)^$B19</f>
        <v>39.9034268173402</v>
      </c>
    </row>
    <row r="20" customFormat="false" ht="15" hidden="false" customHeight="false" outlineLevel="0" collapsed="false">
      <c r="B20" s="46" t="n">
        <v>8</v>
      </c>
      <c r="C20" s="24" t="n">
        <f aca="false">-D$4*D$7</f>
        <v>40</v>
      </c>
      <c r="D20" s="36" t="n">
        <f aca="false">C20/(1+$D$9)^$B20</f>
        <v>25.0964948536731</v>
      </c>
      <c r="E20" s="34"/>
      <c r="F20" s="24" t="n">
        <f aca="false">-G$4*G$9</f>
        <v>60.0000000000001</v>
      </c>
      <c r="G20" s="36" t="n">
        <f aca="false">F20/(1+$G$9)^$B20</f>
        <v>37.6447422805096</v>
      </c>
    </row>
    <row r="21" customFormat="false" ht="15" hidden="false" customHeight="false" outlineLevel="0" collapsed="false">
      <c r="B21" s="46" t="n">
        <v>9</v>
      </c>
      <c r="C21" s="24" t="n">
        <f aca="false">-D$4*D$7</f>
        <v>40</v>
      </c>
      <c r="D21" s="36" t="n">
        <f aca="false">C21/(1+$D$9)^$B21</f>
        <v>23.675938541201</v>
      </c>
      <c r="E21" s="34"/>
      <c r="F21" s="24" t="n">
        <f aca="false">-G$4*G$9</f>
        <v>60.0000000000001</v>
      </c>
      <c r="G21" s="36" t="n">
        <f aca="false">F21/(1+$G$9)^$B21</f>
        <v>35.5139078118015</v>
      </c>
    </row>
    <row r="22" customFormat="false" ht="15" hidden="false" customHeight="false" outlineLevel="0" collapsed="false">
      <c r="B22" s="46" t="n">
        <v>10</v>
      </c>
      <c r="C22" s="24" t="n">
        <f aca="false">-D$4*D$7</f>
        <v>40</v>
      </c>
      <c r="D22" s="36" t="n">
        <f aca="false">C22/(1+$D$9)^$B22</f>
        <v>22.3357910766047</v>
      </c>
      <c r="E22" s="34"/>
      <c r="F22" s="24" t="n">
        <f aca="false">-G$4*G$9</f>
        <v>60.0000000000001</v>
      </c>
      <c r="G22" s="36" t="n">
        <f aca="false">F22/(1+$G$9)^$B22</f>
        <v>33.5036866149071</v>
      </c>
    </row>
    <row r="23" customFormat="false" ht="15" hidden="false" customHeight="false" outlineLevel="0" collapsed="false">
      <c r="B23" s="46" t="n">
        <v>11</v>
      </c>
      <c r="C23" s="24" t="n">
        <f aca="false">-D$4*D$7</f>
        <v>40</v>
      </c>
      <c r="D23" s="36" t="n">
        <f aca="false">C23/(1+$D$9)^$B23</f>
        <v>21.0715010156648</v>
      </c>
      <c r="E23" s="34"/>
      <c r="F23" s="24" t="n">
        <f aca="false">-G$4*G$9</f>
        <v>60.0000000000001</v>
      </c>
      <c r="G23" s="36" t="n">
        <f aca="false">F23/(1+$G$9)^$B23</f>
        <v>31.6072515234973</v>
      </c>
    </row>
    <row r="24" customFormat="false" ht="15" hidden="false" customHeight="false" outlineLevel="0" collapsed="false">
      <c r="B24" s="46" t="n">
        <v>12</v>
      </c>
      <c r="C24" s="24" t="n">
        <f aca="false">-D$4*D$7</f>
        <v>40</v>
      </c>
      <c r="D24" s="36" t="n">
        <f aca="false">C24/(1+$D$9)^$B24</f>
        <v>19.87877454308</v>
      </c>
      <c r="E24" s="34"/>
      <c r="F24" s="24" t="n">
        <f aca="false">-G$4*G$9</f>
        <v>60.0000000000001</v>
      </c>
      <c r="G24" s="36" t="n">
        <f aca="false">F24/(1+$G$9)^$B24</f>
        <v>29.8181618146201</v>
      </c>
    </row>
    <row r="25" customFormat="false" ht="15" hidden="false" customHeight="false" outlineLevel="0" collapsed="false">
      <c r="B25" s="46" t="n">
        <v>13</v>
      </c>
      <c r="C25" s="24" t="n">
        <f aca="false">-D$4*D$7</f>
        <v>40</v>
      </c>
      <c r="D25" s="36" t="n">
        <f aca="false">C25/(1+$D$9)^$B25</f>
        <v>18.7535608896981</v>
      </c>
      <c r="E25" s="34"/>
      <c r="F25" s="24" t="n">
        <f aca="false">-G$4*G$9</f>
        <v>60.0000000000001</v>
      </c>
      <c r="G25" s="36" t="n">
        <f aca="false">F25/(1+$G$9)^$B25</f>
        <v>28.1303413345472</v>
      </c>
    </row>
    <row r="26" customFormat="false" ht="15" hidden="false" customHeight="false" outlineLevel="0" collapsed="false">
      <c r="B26" s="46" t="n">
        <v>14</v>
      </c>
      <c r="C26" s="24" t="n">
        <f aca="false">-D$4*D$7</f>
        <v>40</v>
      </c>
      <c r="D26" s="36" t="n">
        <f aca="false">C26/(1+$D$9)^$B26</f>
        <v>17.6920385751869</v>
      </c>
      <c r="E26" s="34"/>
      <c r="F26" s="24" t="n">
        <f aca="false">-G$4*G$9</f>
        <v>60.0000000000001</v>
      </c>
      <c r="G26" s="36" t="n">
        <f aca="false">F26/(1+$G$9)^$B26</f>
        <v>26.5380578627804</v>
      </c>
    </row>
    <row r="27" customFormat="false" ht="15" hidden="false" customHeight="false" outlineLevel="0" collapsed="false">
      <c r="B27" s="46" t="n">
        <v>15</v>
      </c>
      <c r="C27" s="24" t="n">
        <f aca="false">-D$4*D$7</f>
        <v>40</v>
      </c>
      <c r="D27" s="36" t="n">
        <f aca="false">C27/(1+$D$9)^$B27</f>
        <v>16.6906024294216</v>
      </c>
      <c r="E27" s="34"/>
      <c r="F27" s="24" t="n">
        <f aca="false">-G$4*G$9</f>
        <v>60.0000000000001</v>
      </c>
      <c r="G27" s="36" t="n">
        <f aca="false">F27/(1+$G$9)^$B27</f>
        <v>25.0359036441325</v>
      </c>
    </row>
    <row r="28" customFormat="false" ht="15" hidden="false" customHeight="false" outlineLevel="0" collapsed="false">
      <c r="B28" s="46" t="n">
        <v>16</v>
      </c>
      <c r="C28" s="24" t="n">
        <f aca="false">-D$4*D$7</f>
        <v>40</v>
      </c>
      <c r="D28" s="36" t="n">
        <f aca="false">C28/(1+$D$9)^$B28</f>
        <v>15.745851348511</v>
      </c>
      <c r="E28" s="34"/>
      <c r="F28" s="24" t="n">
        <f aca="false">-G$4*G$9</f>
        <v>60.0000000000001</v>
      </c>
      <c r="G28" s="36" t="n">
        <f aca="false">F28/(1+$G$9)^$B28</f>
        <v>23.6187770227665</v>
      </c>
    </row>
    <row r="29" customFormat="false" ht="15" hidden="false" customHeight="false" outlineLevel="0" collapsed="false">
      <c r="B29" s="46" t="n">
        <v>17</v>
      </c>
      <c r="C29" s="24" t="n">
        <f aca="false">-D$4*D$7</f>
        <v>40</v>
      </c>
      <c r="D29" s="36" t="n">
        <f aca="false">C29/(1+$D$9)^$B29</f>
        <v>14.8545767438783</v>
      </c>
      <c r="E29" s="34"/>
      <c r="F29" s="24" t="n">
        <f aca="false">-G$4*G$9</f>
        <v>60.0000000000001</v>
      </c>
      <c r="G29" s="36" t="n">
        <f aca="false">F29/(1+$G$9)^$B29</f>
        <v>22.2818651158174</v>
      </c>
    </row>
    <row r="30" customFormat="false" ht="15" hidden="false" customHeight="false" outlineLevel="0" collapsed="false">
      <c r="B30" s="46" t="n">
        <v>18</v>
      </c>
      <c r="C30" s="24" t="n">
        <f aca="false">-D$4*D$7</f>
        <v>40</v>
      </c>
      <c r="D30" s="36" t="n">
        <f aca="false">C30/(1+$D$9)^$B30</f>
        <v>14.0137516451682</v>
      </c>
      <c r="E30" s="34"/>
      <c r="F30" s="24" t="n">
        <f aca="false">-G$4*G$9</f>
        <v>60.0000000000001</v>
      </c>
      <c r="G30" s="36" t="n">
        <f aca="false">F30/(1+$G$9)^$B30</f>
        <v>21.0206274677523</v>
      </c>
    </row>
    <row r="31" customFormat="false" ht="15" hidden="false" customHeight="false" outlineLevel="0" collapsed="false">
      <c r="B31" s="46" t="n">
        <v>19</v>
      </c>
      <c r="C31" s="24" t="n">
        <f aca="false">-D$4*D$7</f>
        <v>40</v>
      </c>
      <c r="D31" s="36" t="n">
        <f aca="false">C31/(1+$D$9)^$B31</f>
        <v>13.22052041997</v>
      </c>
      <c r="E31" s="34"/>
      <c r="F31" s="24" t="n">
        <f aca="false">-G$4*G$9</f>
        <v>60.0000000000001</v>
      </c>
      <c r="G31" s="36" t="n">
        <f aca="false">F31/(1+$G$9)^$B31</f>
        <v>19.830780629955</v>
      </c>
    </row>
    <row r="32" customFormat="false" ht="15" hidden="false" customHeight="false" outlineLevel="0" collapsed="false">
      <c r="B32" s="46" t="n">
        <v>20</v>
      </c>
      <c r="C32" s="24" t="n">
        <f aca="false">-D$4*D$7-D4</f>
        <v>1040</v>
      </c>
      <c r="D32" s="36" t="n">
        <f aca="false">C32/(1+$D$9)^$B32</f>
        <v>324.276915961528</v>
      </c>
      <c r="E32" s="34"/>
      <c r="F32" s="24" t="n">
        <f aca="false">-G$4*G$9-G4</f>
        <v>1060</v>
      </c>
      <c r="G32" s="36" t="n">
        <f aca="false">F32/(1+$G$9)^$B32</f>
        <v>330.513010499249</v>
      </c>
    </row>
    <row r="33" customFormat="false" ht="15" hidden="false" customHeight="false" outlineLevel="0" collapsed="false">
      <c r="B33" s="46"/>
      <c r="C33" s="24"/>
      <c r="D33" s="36"/>
      <c r="E33" s="34"/>
      <c r="F33" s="24"/>
    </row>
    <row r="34" customFormat="false" ht="15" hidden="false" customHeight="false" outlineLevel="0" collapsed="false">
      <c r="B34" s="61" t="s">
        <v>143</v>
      </c>
      <c r="C34" s="61"/>
      <c r="D34" s="62" t="n">
        <f aca="false">SUM(D13:D32)</f>
        <v>770.601575628694</v>
      </c>
      <c r="E34" s="34"/>
      <c r="F34" s="61"/>
      <c r="G34" s="62" t="n">
        <f aca="false">SUM(G13:G32)</f>
        <v>1000</v>
      </c>
    </row>
    <row r="35" customFormat="false" ht="15" hidden="false" customHeight="false" outlineLevel="0" collapsed="false">
      <c r="B35" s="46"/>
      <c r="C35" s="24"/>
      <c r="D35" s="36"/>
      <c r="E35" s="34"/>
      <c r="F35" s="0" t="s">
        <v>210</v>
      </c>
    </row>
    <row r="36" customFormat="false" ht="15" hidden="false" customHeight="false" outlineLevel="0" collapsed="false">
      <c r="B36" s="46"/>
      <c r="C36" s="24"/>
      <c r="D36" s="36"/>
      <c r="E36" s="34"/>
      <c r="F36" s="0" t="s">
        <v>211</v>
      </c>
    </row>
    <row r="37" customFormat="false" ht="15" hidden="false" customHeight="false" outlineLevel="0" collapsed="false">
      <c r="B37" s="46"/>
      <c r="C37" s="24"/>
      <c r="D37" s="36"/>
    </row>
    <row r="38" customFormat="false" ht="15" hidden="false" customHeight="false" outlineLevel="0" collapsed="false">
      <c r="B38" s="46"/>
      <c r="C38" s="24"/>
      <c r="D38" s="36"/>
    </row>
    <row r="39" customFormat="false" ht="15" hidden="false" customHeight="false" outlineLevel="0" collapsed="false">
      <c r="B39" s="46"/>
      <c r="C39" s="24"/>
      <c r="D39" s="36"/>
    </row>
    <row r="40" customFormat="false" ht="15" hidden="false" customHeight="false" outlineLevel="0" collapsed="false">
      <c r="B40" s="46"/>
      <c r="C40" s="24"/>
      <c r="D40" s="36"/>
    </row>
    <row r="41" customFormat="false" ht="15" hidden="false" customHeight="false" outlineLevel="0" collapsed="false">
      <c r="B41" s="46"/>
      <c r="C41" s="24"/>
      <c r="D41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2" activeCellId="0" sqref="C3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9.71"/>
    <col collapsed="false" customWidth="true" hidden="false" outlineLevel="0" max="3" min="3" style="0" width="20.42"/>
    <col collapsed="false" customWidth="true" hidden="false" outlineLevel="0" max="4" min="4" style="0" width="13.57"/>
    <col collapsed="false" customWidth="true" hidden="false" outlineLevel="0" max="5" min="5" style="0" width="4.71"/>
    <col collapsed="false" customWidth="true" hidden="false" outlineLevel="0" max="6" min="6" style="0" width="26.29"/>
  </cols>
  <sheetData>
    <row r="1" customFormat="false" ht="15" hidden="false" customHeight="false" outlineLevel="0" collapsed="false">
      <c r="A1" s="29" t="s">
        <v>198</v>
      </c>
    </row>
    <row r="2" customFormat="false" ht="15" hidden="false" customHeight="false" outlineLevel="0" collapsed="false">
      <c r="A2" s="29"/>
      <c r="C2" s="5" t="s">
        <v>194</v>
      </c>
      <c r="D2" s="5"/>
      <c r="E2" s="5"/>
    </row>
    <row r="3" customFormat="false" ht="15" hidden="false" customHeight="false" outlineLevel="0" collapsed="false">
      <c r="C3" s="5" t="s">
        <v>199</v>
      </c>
      <c r="D3" s="5"/>
      <c r="E3" s="27"/>
      <c r="F3" s="5" t="s">
        <v>200</v>
      </c>
      <c r="G3" s="5"/>
    </row>
    <row r="4" customFormat="false" ht="15" hidden="false" customHeight="false" outlineLevel="0" collapsed="false">
      <c r="B4" s="0" t="s">
        <v>201</v>
      </c>
      <c r="D4" s="13" t="n">
        <v>-1000</v>
      </c>
      <c r="E4" s="21"/>
      <c r="F4" s="0" t="s">
        <v>201</v>
      </c>
      <c r="G4" s="21" t="n">
        <v>-1000</v>
      </c>
    </row>
    <row r="6" customFormat="false" ht="15" hidden="false" customHeight="false" outlineLevel="0" collapsed="false">
      <c r="B6" s="0" t="s">
        <v>202</v>
      </c>
      <c r="D6" s="33" t="n">
        <v>0.08</v>
      </c>
      <c r="E6" s="34"/>
      <c r="F6" s="0" t="s">
        <v>202</v>
      </c>
      <c r="G6" s="42" t="n">
        <v>0.1236</v>
      </c>
    </row>
    <row r="7" customFormat="false" ht="15" hidden="false" customHeight="false" outlineLevel="0" collapsed="false">
      <c r="B7" s="0" t="s">
        <v>203</v>
      </c>
      <c r="D7" s="16" t="n">
        <f aca="false">D6/2</f>
        <v>0.04</v>
      </c>
      <c r="E7" s="34"/>
      <c r="F7" s="0" t="s">
        <v>203</v>
      </c>
      <c r="G7" s="73" t="n">
        <f aca="false">(1+G6)^0.5-1</f>
        <v>0.0600000000000001</v>
      </c>
    </row>
    <row r="8" customFormat="false" ht="15" hidden="false" customHeight="false" outlineLevel="0" collapsed="false">
      <c r="B8" s="0" t="s">
        <v>204</v>
      </c>
      <c r="D8" s="77" t="n">
        <v>0.042</v>
      </c>
      <c r="F8" s="0" t="s">
        <v>0</v>
      </c>
      <c r="G8" s="42" t="n">
        <v>0.1236</v>
      </c>
    </row>
    <row r="9" customFormat="false" ht="15" hidden="false" customHeight="false" outlineLevel="0" collapsed="false">
      <c r="B9" s="0" t="s">
        <v>205</v>
      </c>
      <c r="D9" s="9" t="n">
        <f aca="false">(1+D8)^0.5-1</f>
        <v>0.0207840124139875</v>
      </c>
      <c r="E9" s="34"/>
      <c r="F9" s="0" t="s">
        <v>206</v>
      </c>
      <c r="G9" s="0" t="n">
        <f aca="false">(1+G8)^0.5-1</f>
        <v>0.0600000000000001</v>
      </c>
      <c r="I9" s="65" t="s">
        <v>212</v>
      </c>
    </row>
    <row r="11" customFormat="false" ht="15" hidden="false" customHeight="false" outlineLevel="0" collapsed="false">
      <c r="B11" s="5" t="s">
        <v>208</v>
      </c>
      <c r="C11" s="5" t="s">
        <v>209</v>
      </c>
      <c r="D11" s="5" t="s">
        <v>136</v>
      </c>
      <c r="E11" s="34"/>
      <c r="F11" s="5" t="s">
        <v>209</v>
      </c>
      <c r="G11" s="5" t="s">
        <v>136</v>
      </c>
    </row>
    <row r="12" customFormat="false" ht="15" hidden="false" customHeight="false" outlineLevel="0" collapsed="false">
      <c r="B12" s="46" t="n">
        <v>0</v>
      </c>
      <c r="C12" s="24"/>
      <c r="D12" s="36"/>
      <c r="E12" s="34"/>
      <c r="F12" s="24"/>
      <c r="G12" s="36"/>
    </row>
    <row r="13" customFormat="false" ht="15" hidden="false" customHeight="false" outlineLevel="0" collapsed="false">
      <c r="B13" s="46" t="n">
        <v>1</v>
      </c>
      <c r="C13" s="24" t="n">
        <f aca="false">-D$4*D$7</f>
        <v>40</v>
      </c>
      <c r="D13" s="36" t="n">
        <f aca="false">C13/(1+$D$9)^$B13</f>
        <v>39.1855666953546</v>
      </c>
      <c r="E13" s="34"/>
      <c r="F13" s="24" t="n">
        <f aca="false">-G$4*G$9</f>
        <v>60.0000000000001</v>
      </c>
      <c r="G13" s="36" t="n">
        <f aca="false">F13/(1+$G$9)^$B13</f>
        <v>56.6037735849057</v>
      </c>
    </row>
    <row r="14" customFormat="false" ht="15" hidden="false" customHeight="false" outlineLevel="0" collapsed="false">
      <c r="B14" s="46" t="n">
        <v>2</v>
      </c>
      <c r="C14" s="24" t="n">
        <f aca="false">-D$4*D$7</f>
        <v>40</v>
      </c>
      <c r="D14" s="36" t="n">
        <f aca="false">C14/(1+$D$9)^$B14</f>
        <v>38.3877159309021</v>
      </c>
      <c r="E14" s="34"/>
      <c r="F14" s="24" t="n">
        <f aca="false">-G$4*G$9</f>
        <v>60.0000000000001</v>
      </c>
      <c r="G14" s="36" t="n">
        <f aca="false">F14/(1+$G$9)^$B14</f>
        <v>53.3997864008544</v>
      </c>
    </row>
    <row r="15" customFormat="false" ht="15" hidden="false" customHeight="false" outlineLevel="0" collapsed="false">
      <c r="B15" s="46" t="n">
        <v>3</v>
      </c>
      <c r="C15" s="24" t="n">
        <f aca="false">-D$4*D$7</f>
        <v>40</v>
      </c>
      <c r="D15" s="36" t="n">
        <f aca="false">C15/(1+$D$9)^$B15</f>
        <v>37.6061100723173</v>
      </c>
      <c r="E15" s="34"/>
      <c r="F15" s="24" t="n">
        <f aca="false">-G$4*G$9</f>
        <v>60.0000000000001</v>
      </c>
      <c r="G15" s="36" t="n">
        <f aca="false">F15/(1+$G$9)^$B15</f>
        <v>50.3771569819382</v>
      </c>
    </row>
    <row r="16" customFormat="false" ht="15" hidden="false" customHeight="false" outlineLevel="0" collapsed="false">
      <c r="B16" s="46" t="n">
        <v>4</v>
      </c>
      <c r="C16" s="24" t="n">
        <f aca="false">-D$4*D$7</f>
        <v>40</v>
      </c>
      <c r="D16" s="36" t="n">
        <f aca="false">C16/(1+$D$9)^$B16</f>
        <v>36.8404183597909</v>
      </c>
      <c r="E16" s="34"/>
      <c r="F16" s="24" t="n">
        <f aca="false">-G$4*G$9</f>
        <v>60.0000000000001</v>
      </c>
      <c r="G16" s="36" t="n">
        <f aca="false">F16/(1+$G$9)^$B16</f>
        <v>47.5256197942813</v>
      </c>
    </row>
    <row r="17" customFormat="false" ht="15" hidden="false" customHeight="false" outlineLevel="0" collapsed="false">
      <c r="B17" s="46" t="n">
        <v>5</v>
      </c>
      <c r="C17" s="24" t="n">
        <f aca="false">-D$4*D$7</f>
        <v>40</v>
      </c>
      <c r="D17" s="36" t="n">
        <f aca="false">C17/(1+$D$9)^$B17</f>
        <v>36.0903167680588</v>
      </c>
      <c r="E17" s="34"/>
      <c r="F17" s="24" t="n">
        <f aca="false">-G$4*G$9</f>
        <v>60.0000000000001</v>
      </c>
      <c r="G17" s="36" t="n">
        <f aca="false">F17/(1+$G$9)^$B17</f>
        <v>44.8354903719635</v>
      </c>
    </row>
    <row r="18" customFormat="false" ht="15" hidden="false" customHeight="false" outlineLevel="0" collapsed="false">
      <c r="B18" s="46" t="n">
        <v>6</v>
      </c>
      <c r="C18" s="24" t="n">
        <f aca="false">-D$4*D$7</f>
        <v>40</v>
      </c>
      <c r="D18" s="36" t="n">
        <f aca="false">C18/(1+$D$9)^$B18</f>
        <v>35.3554878692811</v>
      </c>
      <c r="E18" s="34"/>
      <c r="F18" s="24" t="n">
        <f aca="false">-G$4*G$9</f>
        <v>60.0000000000001</v>
      </c>
      <c r="G18" s="36" t="n">
        <f aca="false">F18/(1+$G$9)^$B18</f>
        <v>42.2976324263806</v>
      </c>
    </row>
    <row r="19" customFormat="false" ht="15" hidden="false" customHeight="false" outlineLevel="0" collapsed="false">
      <c r="B19" s="46" t="n">
        <v>7</v>
      </c>
      <c r="C19" s="24" t="n">
        <f aca="false">-D$4*D$7</f>
        <v>40</v>
      </c>
      <c r="D19" s="36" t="n">
        <f aca="false">C19/(1+$D$9)^$B19</f>
        <v>34.6356206987129</v>
      </c>
      <c r="E19" s="34"/>
      <c r="F19" s="24" t="n">
        <f aca="false">-G$4*G$9</f>
        <v>60.0000000000001</v>
      </c>
      <c r="G19" s="36" t="n">
        <f aca="false">F19/(1+$G$9)^$B19</f>
        <v>39.9034268173402</v>
      </c>
    </row>
    <row r="20" customFormat="false" ht="15" hidden="false" customHeight="false" outlineLevel="0" collapsed="false">
      <c r="B20" s="46" t="n">
        <v>8</v>
      </c>
      <c r="C20" s="24" t="n">
        <f aca="false">-D$4*D$7</f>
        <v>40</v>
      </c>
      <c r="D20" s="36" t="n">
        <f aca="false">C20/(1+$D$9)^$B20</f>
        <v>33.9304106231105</v>
      </c>
      <c r="E20" s="34"/>
      <c r="F20" s="24" t="n">
        <f aca="false">-G$4*G$9</f>
        <v>60.0000000000001</v>
      </c>
      <c r="G20" s="36" t="n">
        <f aca="false">F20/(1+$G$9)^$B20</f>
        <v>37.6447422805096</v>
      </c>
    </row>
    <row r="21" customFormat="false" ht="15" hidden="false" customHeight="false" outlineLevel="0" collapsed="false">
      <c r="B21" s="46" t="n">
        <v>9</v>
      </c>
      <c r="C21" s="24" t="n">
        <f aca="false">-D$4*D$7</f>
        <v>40</v>
      </c>
      <c r="D21" s="36" t="n">
        <f aca="false">C21/(1+$D$9)^$B21</f>
        <v>33.2395592118166</v>
      </c>
      <c r="E21" s="34"/>
      <c r="F21" s="24" t="n">
        <f aca="false">-G$4*G$9</f>
        <v>60.0000000000001</v>
      </c>
      <c r="G21" s="36" t="n">
        <f aca="false">F21/(1+$G$9)^$B21</f>
        <v>35.5139078118015</v>
      </c>
    </row>
    <row r="22" customFormat="false" ht="15" hidden="false" customHeight="false" outlineLevel="0" collapsed="false">
      <c r="B22" s="46" t="n">
        <v>10</v>
      </c>
      <c r="C22" s="24" t="n">
        <f aca="false">-D$4*D$7</f>
        <v>40</v>
      </c>
      <c r="D22" s="36" t="n">
        <f aca="false">C22/(1+$D$9)^$B22</f>
        <v>32.5627741104707</v>
      </c>
      <c r="E22" s="34"/>
      <c r="F22" s="24" t="n">
        <f aca="false">-G$4*G$9</f>
        <v>60.0000000000001</v>
      </c>
      <c r="G22" s="36" t="n">
        <f aca="false">F22/(1+$G$9)^$B22</f>
        <v>33.5036866149071</v>
      </c>
    </row>
    <row r="23" customFormat="false" ht="15" hidden="false" customHeight="false" outlineLevel="0" collapsed="false">
      <c r="B23" s="46" t="n">
        <v>11</v>
      </c>
      <c r="C23" s="24" t="n">
        <f aca="false">-D$4*D$7</f>
        <v>40</v>
      </c>
      <c r="D23" s="36" t="n">
        <f aca="false">C23/(1+$D$9)^$B23</f>
        <v>31.8997689172904</v>
      </c>
      <c r="E23" s="34"/>
      <c r="F23" s="24" t="n">
        <f aca="false">-G$4*G$9</f>
        <v>60.0000000000001</v>
      </c>
      <c r="G23" s="36" t="n">
        <f aca="false">F23/(1+$G$9)^$B23</f>
        <v>31.6072515234973</v>
      </c>
    </row>
    <row r="24" customFormat="false" ht="15" hidden="false" customHeight="false" outlineLevel="0" collapsed="false">
      <c r="B24" s="46" t="n">
        <v>12</v>
      </c>
      <c r="C24" s="24" t="n">
        <f aca="false">-D$4*D$7</f>
        <v>40</v>
      </c>
      <c r="D24" s="36" t="n">
        <f aca="false">C24/(1+$D$9)^$B24</f>
        <v>31.2502630618721</v>
      </c>
      <c r="E24" s="34"/>
      <c r="F24" s="24" t="n">
        <f aca="false">-G$4*G$9</f>
        <v>60.0000000000001</v>
      </c>
      <c r="G24" s="36" t="n">
        <f aca="false">F24/(1+$G$9)^$B24</f>
        <v>29.8181618146201</v>
      </c>
    </row>
    <row r="25" customFormat="false" ht="15" hidden="false" customHeight="false" outlineLevel="0" collapsed="false">
      <c r="B25" s="46" t="n">
        <v>13</v>
      </c>
      <c r="C25" s="24" t="n">
        <f aca="false">-D$4*D$7</f>
        <v>40</v>
      </c>
      <c r="D25" s="36" t="n">
        <f aca="false">C25/(1+$D$9)^$B25</f>
        <v>30.6139816864591</v>
      </c>
      <c r="E25" s="34"/>
      <c r="F25" s="24" t="n">
        <f aca="false">-G$4*G$9</f>
        <v>60.0000000000001</v>
      </c>
      <c r="G25" s="36" t="n">
        <f aca="false">F25/(1+$G$9)^$B25</f>
        <v>28.1303413345472</v>
      </c>
    </row>
    <row r="26" customFormat="false" ht="15" hidden="false" customHeight="false" outlineLevel="0" collapsed="false">
      <c r="B26" s="46" t="n">
        <v>14</v>
      </c>
      <c r="C26" s="24" t="n">
        <f aca="false">-D$4*D$7</f>
        <v>40</v>
      </c>
      <c r="D26" s="36" t="n">
        <f aca="false">C26/(1+$D$9)^$B26</f>
        <v>29.9906555296277</v>
      </c>
      <c r="E26" s="34"/>
      <c r="F26" s="24" t="n">
        <f aca="false">-G$4*G$9</f>
        <v>60.0000000000001</v>
      </c>
      <c r="G26" s="36" t="n">
        <f aca="false">F26/(1+$G$9)^$B26</f>
        <v>26.5380578627804</v>
      </c>
    </row>
    <row r="27" customFormat="false" ht="15" hidden="false" customHeight="false" outlineLevel="0" collapsed="false">
      <c r="B27" s="46" t="n">
        <v>15</v>
      </c>
      <c r="C27" s="24" t="n">
        <f aca="false">-D$4*D$7</f>
        <v>40</v>
      </c>
      <c r="D27" s="36" t="n">
        <f aca="false">C27/(1+$D$9)^$B27</f>
        <v>29.3800208123408</v>
      </c>
      <c r="E27" s="34"/>
      <c r="F27" s="24" t="n">
        <f aca="false">-G$4*G$9</f>
        <v>60.0000000000001</v>
      </c>
      <c r="G27" s="36" t="n">
        <f aca="false">F27/(1+$G$9)^$B27</f>
        <v>25.0359036441325</v>
      </c>
    </row>
    <row r="28" customFormat="false" ht="15" hidden="false" customHeight="false" outlineLevel="0" collapsed="false">
      <c r="B28" s="46" t="n">
        <v>16</v>
      </c>
      <c r="C28" s="24" t="n">
        <f aca="false">-D$4*D$7</f>
        <v>40</v>
      </c>
      <c r="D28" s="36" t="n">
        <f aca="false">C28/(1+$D$9)^$B28</f>
        <v>28.7818191263222</v>
      </c>
      <c r="E28" s="34"/>
      <c r="F28" s="24" t="n">
        <f aca="false">-G$4*G$9</f>
        <v>60.0000000000001</v>
      </c>
      <c r="G28" s="36" t="n">
        <f aca="false">F28/(1+$G$9)^$B28</f>
        <v>23.6187770227665</v>
      </c>
    </row>
    <row r="29" customFormat="false" ht="15" hidden="false" customHeight="false" outlineLevel="0" collapsed="false">
      <c r="B29" s="46" t="n">
        <v>17</v>
      </c>
      <c r="C29" s="24" t="n">
        <f aca="false">-D$4*D$7</f>
        <v>40</v>
      </c>
      <c r="D29" s="36" t="n">
        <f aca="false">C29/(1+$D$9)^$B29</f>
        <v>28.1957973247033</v>
      </c>
      <c r="E29" s="34"/>
      <c r="F29" s="24" t="n">
        <f aca="false">-G$4*G$9</f>
        <v>60.0000000000001</v>
      </c>
      <c r="G29" s="36" t="n">
        <f aca="false">F29/(1+$G$9)^$B29</f>
        <v>22.2818651158174</v>
      </c>
    </row>
    <row r="30" customFormat="false" ht="15" hidden="false" customHeight="false" outlineLevel="0" collapsed="false">
      <c r="B30" s="46" t="n">
        <v>18</v>
      </c>
      <c r="C30" s="24" t="n">
        <f aca="false">-D$4*D$7</f>
        <v>40</v>
      </c>
      <c r="D30" s="36" t="n">
        <f aca="false">C30/(1+$D$9)^$B30</f>
        <v>27.6217074148965</v>
      </c>
      <c r="E30" s="34"/>
      <c r="F30" s="24" t="n">
        <f aca="false">-G$4*G$9</f>
        <v>60.0000000000001</v>
      </c>
      <c r="G30" s="36" t="n">
        <f aca="false">F30/(1+$G$9)^$B30</f>
        <v>21.0206274677523</v>
      </c>
    </row>
    <row r="31" customFormat="false" ht="15" hidden="false" customHeight="false" outlineLevel="0" collapsed="false">
      <c r="B31" s="46" t="n">
        <v>19</v>
      </c>
      <c r="C31" s="24" t="n">
        <f aca="false">-D$4*D$7</f>
        <v>40</v>
      </c>
      <c r="D31" s="36" t="n">
        <f aca="false">C31/(1+$D$9)^$B31</f>
        <v>27.05930645365</v>
      </c>
      <c r="E31" s="34"/>
      <c r="F31" s="24" t="n">
        <f aca="false">-G$4*G$9</f>
        <v>60.0000000000001</v>
      </c>
      <c r="G31" s="36" t="n">
        <f aca="false">F31/(1+$G$9)^$B31</f>
        <v>19.830780629955</v>
      </c>
    </row>
    <row r="32" customFormat="false" ht="15" hidden="false" customHeight="false" outlineLevel="0" collapsed="false">
      <c r="B32" s="46" t="n">
        <v>20</v>
      </c>
      <c r="C32" s="24" t="n">
        <f aca="false">-D$4*D$7-D4</f>
        <v>1040</v>
      </c>
      <c r="D32" s="36" t="n">
        <f aca="false">C32/(1+$D$9)^$B32</f>
        <v>689.217267550202</v>
      </c>
      <c r="E32" s="34"/>
      <c r="F32" s="24" t="n">
        <f aca="false">-G$4*G$9-G4</f>
        <v>1060</v>
      </c>
      <c r="G32" s="36" t="n">
        <f aca="false">F32/(1+$G$9)^$B32</f>
        <v>330.513010499249</v>
      </c>
    </row>
    <row r="33" customFormat="false" ht="15" hidden="false" customHeight="false" outlineLevel="0" collapsed="false">
      <c r="B33" s="46"/>
      <c r="C33" s="24"/>
      <c r="D33" s="36"/>
      <c r="E33" s="34"/>
      <c r="F33" s="24"/>
    </row>
    <row r="34" customFormat="false" ht="15" hidden="false" customHeight="false" outlineLevel="0" collapsed="false">
      <c r="B34" s="61" t="s">
        <v>143</v>
      </c>
      <c r="C34" s="61"/>
      <c r="D34" s="62" t="n">
        <f aca="false">SUM(D13:D32)</f>
        <v>1311.84456821718</v>
      </c>
      <c r="E34" s="34"/>
      <c r="F34" s="61"/>
      <c r="G34" s="62" t="n">
        <f aca="false">SUM(G13:G32)</f>
        <v>1000</v>
      </c>
    </row>
    <row r="35" customFormat="false" ht="15" hidden="false" customHeight="false" outlineLevel="0" collapsed="false">
      <c r="B35" s="46"/>
      <c r="C35" s="24"/>
      <c r="D35" s="36"/>
      <c r="E35" s="34"/>
      <c r="F35" s="0" t="s">
        <v>210</v>
      </c>
    </row>
    <row r="36" customFormat="false" ht="15" hidden="false" customHeight="false" outlineLevel="0" collapsed="false">
      <c r="B36" s="46"/>
      <c r="C36" s="24"/>
      <c r="D36" s="36"/>
      <c r="E36" s="34"/>
      <c r="F36" s="0" t="s">
        <v>211</v>
      </c>
    </row>
    <row r="37" customFormat="false" ht="15" hidden="false" customHeight="false" outlineLevel="0" collapsed="false">
      <c r="B37" s="46"/>
      <c r="C37" s="24"/>
      <c r="D37" s="36"/>
    </row>
    <row r="38" customFormat="false" ht="15" hidden="false" customHeight="false" outlineLevel="0" collapsed="false">
      <c r="B38" s="46"/>
      <c r="C38" s="24"/>
      <c r="D38" s="36"/>
    </row>
    <row r="39" customFormat="false" ht="15" hidden="false" customHeight="false" outlineLevel="0" collapsed="false">
      <c r="B39" s="46"/>
      <c r="C39" s="24"/>
      <c r="D39" s="36"/>
    </row>
    <row r="40" customFormat="false" ht="15" hidden="false" customHeight="false" outlineLevel="0" collapsed="false">
      <c r="B40" s="46"/>
      <c r="C40" s="24"/>
      <c r="D40" s="36"/>
    </row>
    <row r="41" customFormat="false" ht="15" hidden="false" customHeight="false" outlineLevel="0" collapsed="false">
      <c r="B41" s="46"/>
      <c r="C41" s="24"/>
      <c r="D41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4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U6" activeCellId="0" sqref="U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6.14"/>
    <col collapsed="false" customWidth="true" hidden="false" outlineLevel="0" max="3" min="3" style="0" width="28.86"/>
    <col collapsed="false" customWidth="true" hidden="false" outlineLevel="0" max="4" min="4" style="0" width="30"/>
    <col collapsed="false" customWidth="true" hidden="false" outlineLevel="0" max="5" min="5" style="0" width="33"/>
    <col collapsed="false" customWidth="true" hidden="false" outlineLevel="0" max="7" min="7" style="0" width="3.15"/>
    <col collapsed="false" customWidth="true" hidden="false" outlineLevel="0" max="8" min="8" style="78" width="3.15"/>
    <col collapsed="false" customWidth="true" hidden="false" outlineLevel="0" max="10" min="10" style="0" width="12.57"/>
    <col collapsed="false" customWidth="true" hidden="false" outlineLevel="0" max="15" min="15" style="0" width="4.71"/>
    <col collapsed="false" customWidth="true" hidden="false" outlineLevel="0" max="16" min="16" style="0" width="3.15"/>
  </cols>
  <sheetData>
    <row r="1" customFormat="false" ht="18.75" hidden="false" customHeight="false" outlineLevel="0" collapsed="false">
      <c r="A1" s="79" t="s">
        <v>213</v>
      </c>
      <c r="G1" s="80"/>
      <c r="I1" s="79" t="s">
        <v>214</v>
      </c>
    </row>
    <row r="2" customFormat="false" ht="18.75" hidden="false" customHeight="false" outlineLevel="0" collapsed="false">
      <c r="A2" s="79"/>
      <c r="G2" s="80"/>
    </row>
    <row r="3" customFormat="false" ht="15" hidden="false" customHeight="false" outlineLevel="0" collapsed="false">
      <c r="A3" s="81"/>
      <c r="B3" s="81" t="s">
        <v>215</v>
      </c>
      <c r="C3" s="82" t="s">
        <v>74</v>
      </c>
      <c r="D3" s="2" t="s">
        <v>125</v>
      </c>
      <c r="E3" s="2" t="s">
        <v>112</v>
      </c>
      <c r="G3" s="80"/>
    </row>
    <row r="4" customFormat="false" ht="15" hidden="false" customHeight="false" outlineLevel="0" collapsed="false">
      <c r="A4" s="83" t="s">
        <v>216</v>
      </c>
      <c r="B4" s="27"/>
      <c r="C4" s="27"/>
      <c r="D4" s="27"/>
      <c r="E4" s="27"/>
      <c r="G4" s="80"/>
    </row>
    <row r="5" customFormat="false" ht="54.75" hidden="false" customHeight="true" outlineLevel="0" collapsed="false">
      <c r="A5" s="84" t="s">
        <v>74</v>
      </c>
      <c r="B5" s="27"/>
      <c r="C5" s="80"/>
      <c r="G5" s="80"/>
      <c r="I5" s="85" t="s">
        <v>217</v>
      </c>
    </row>
    <row r="6" customFormat="false" ht="60.75" hidden="false" customHeight="true" outlineLevel="0" collapsed="false">
      <c r="A6" s="84" t="s">
        <v>218</v>
      </c>
      <c r="B6" s="27"/>
      <c r="D6" s="80"/>
      <c r="G6" s="80"/>
    </row>
    <row r="7" customFormat="false" ht="54.75" hidden="false" customHeight="true" outlineLevel="0" collapsed="false">
      <c r="A7" s="84" t="s">
        <v>112</v>
      </c>
      <c r="B7" s="27"/>
      <c r="E7" s="80"/>
      <c r="G7" s="80"/>
      <c r="I7" s="86" t="s">
        <v>219</v>
      </c>
    </row>
    <row r="8" customFormat="false" ht="15" hidden="false" customHeight="false" outlineLevel="0" collapsed="false">
      <c r="G8" s="80"/>
    </row>
    <row r="9" customFormat="false" ht="15" hidden="false" customHeight="false" outlineLevel="0" collapsed="false">
      <c r="G9" s="80"/>
    </row>
    <row r="10" customFormat="false" ht="23.25" hidden="false" customHeight="false" outlineLevel="0" collapsed="false">
      <c r="G10" s="80"/>
      <c r="I10" s="87" t="s">
        <v>220</v>
      </c>
    </row>
    <row r="11" customFormat="false" ht="15" hidden="false" customHeight="false" outlineLevel="0" collapsed="false">
      <c r="G11" s="80"/>
    </row>
    <row r="12" customFormat="false" ht="15" hidden="false" customHeight="false" outlineLevel="0" collapsed="false">
      <c r="G12" s="80"/>
    </row>
    <row r="13" customFormat="false" ht="15" hidden="false" customHeight="false" outlineLevel="0" collapsed="false">
      <c r="G13" s="80"/>
    </row>
    <row r="14" customFormat="false" ht="15" hidden="false" customHeight="false" outlineLevel="0" collapsed="false">
      <c r="G14" s="80"/>
    </row>
    <row r="15" customFormat="false" ht="15" hidden="false" customHeight="false" outlineLevel="0" collapsed="false">
      <c r="G15" s="80"/>
    </row>
    <row r="16" customFormat="false" ht="15" hidden="false" customHeight="false" outlineLevel="0" collapsed="false">
      <c r="G16" s="80"/>
    </row>
    <row r="17" customFormat="false" ht="15" hidden="false" customHeight="false" outlineLevel="0" collapsed="false">
      <c r="G17" s="80"/>
    </row>
    <row r="18" customFormat="false" ht="15" hidden="false" customHeight="false" outlineLevel="0" collapsed="false">
      <c r="G18" s="80"/>
    </row>
    <row r="19" customFormat="false" ht="15" hidden="false" customHeight="false" outlineLevel="0" collapsed="false">
      <c r="G19" s="80"/>
    </row>
    <row r="20" customFormat="false" ht="15" hidden="false" customHeight="false" outlineLevel="0" collapsed="false">
      <c r="G20" s="80"/>
    </row>
    <row r="21" customFormat="false" ht="15" hidden="false" customHeight="false" outlineLevel="0" collapsed="false">
      <c r="G21" s="80"/>
    </row>
    <row r="22" customFormat="false" ht="15" hidden="false" customHeight="false" outlineLevel="0" collapsed="false">
      <c r="G22" s="80"/>
    </row>
    <row r="23" customFormat="false" ht="15" hidden="false" customHeight="false" outlineLevel="0" collapsed="false">
      <c r="G23" s="80"/>
    </row>
    <row r="24" customFormat="false" ht="15" hidden="false" customHeight="false" outlineLevel="0" collapsed="false">
      <c r="G24" s="80"/>
    </row>
    <row r="25" customFormat="false" ht="15" hidden="false" customHeight="false" outlineLevel="0" collapsed="false">
      <c r="G25" s="80"/>
    </row>
    <row r="26" customFormat="false" ht="15" hidden="false" customHeight="false" outlineLevel="0" collapsed="false">
      <c r="G26" s="80"/>
    </row>
    <row r="27" customFormat="false" ht="15" hidden="false" customHeight="false" outlineLevel="0" collapsed="false">
      <c r="G27" s="80"/>
    </row>
    <row r="28" customFormat="false" ht="15" hidden="false" customHeight="false" outlineLevel="0" collapsed="false">
      <c r="G28" s="80"/>
    </row>
    <row r="29" customFormat="false" ht="15" hidden="false" customHeight="false" outlineLevel="0" collapsed="false">
      <c r="G29" s="80"/>
    </row>
    <row r="30" customFormat="false" ht="15" hidden="false" customHeight="false" outlineLevel="0" collapsed="false">
      <c r="G30" s="80"/>
    </row>
    <row r="31" customFormat="false" ht="15" hidden="false" customHeight="false" outlineLevel="0" collapsed="false">
      <c r="G31" s="80"/>
    </row>
    <row r="32" customFormat="false" ht="15" hidden="false" customHeight="false" outlineLevel="0" collapsed="false">
      <c r="G32" s="80"/>
    </row>
    <row r="33" customFormat="false" ht="15" hidden="false" customHeight="false" outlineLevel="0" collapsed="false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5" customFormat="false" ht="22.5" hidden="false" customHeight="false" outlineLevel="0" collapsed="false">
      <c r="I35" s="88" t="s">
        <v>221</v>
      </c>
    </row>
    <row r="37" customFormat="false" ht="28.5" hidden="false" customHeight="false" outlineLevel="0" collapsed="false">
      <c r="J37" s="89" t="s">
        <v>222</v>
      </c>
    </row>
    <row r="40" customFormat="false" ht="15" hidden="false" customHeight="false" outlineLevel="0" collapsed="false">
      <c r="J40" s="0" t="s">
        <v>11</v>
      </c>
      <c r="K40" s="9" t="n">
        <v>0.015</v>
      </c>
      <c r="M40" s="32" t="s">
        <v>223</v>
      </c>
    </row>
    <row r="41" customFormat="false" ht="15" hidden="false" customHeight="false" outlineLevel="0" collapsed="false">
      <c r="J41" s="0" t="s">
        <v>224</v>
      </c>
      <c r="K41" s="16" t="n">
        <v>0.02</v>
      </c>
      <c r="M41" s="32" t="s">
        <v>225</v>
      </c>
    </row>
    <row r="42" customFormat="false" ht="15" hidden="false" customHeight="false" outlineLevel="0" collapsed="false">
      <c r="J42" s="32" t="s">
        <v>226</v>
      </c>
      <c r="M42" s="32" t="s">
        <v>227</v>
      </c>
    </row>
    <row r="44" customFormat="false" ht="15" hidden="false" customHeight="false" outlineLevel="0" collapsed="false">
      <c r="K44" s="0" t="n">
        <f aca="false">(K40-K41)/(1+K41)</f>
        <v>-0.00490196078431373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3" activeCellId="0" sqref="F43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3.86"/>
    <col collapsed="false" customWidth="true" hidden="false" outlineLevel="0" max="9" min="9" style="0" width="11"/>
    <col collapsed="false" customWidth="true" hidden="false" outlineLevel="0" max="11" min="11" style="0" width="17.15"/>
    <col collapsed="false" customWidth="true" hidden="false" outlineLevel="0" max="12" min="12" style="0" width="11.29"/>
    <col collapsed="false" customWidth="true" hidden="false" outlineLevel="0" max="13" min="13" style="0" width="13.86"/>
    <col collapsed="false" customWidth="true" hidden="false" outlineLevel="0" max="14" min="14" style="0" width="17.71"/>
  </cols>
  <sheetData>
    <row r="1" customFormat="false" ht="15" hidden="false" customHeight="false" outlineLevel="0" collapsed="false">
      <c r="A1" s="29" t="s">
        <v>228</v>
      </c>
      <c r="B1" s="29"/>
      <c r="C1" s="29"/>
    </row>
    <row r="2" customFormat="false" ht="15" hidden="false" customHeight="false" outlineLevel="0" collapsed="false">
      <c r="B2" s="5" t="s">
        <v>229</v>
      </c>
      <c r="C2" s="5"/>
      <c r="I2" s="29"/>
      <c r="K2" s="5" t="s">
        <v>65</v>
      </c>
      <c r="L2" s="5"/>
      <c r="M2" s="27"/>
      <c r="N2" s="27"/>
    </row>
    <row r="4" customFormat="false" ht="15" hidden="false" customHeight="false" outlineLevel="0" collapsed="false">
      <c r="B4" s="0" t="s">
        <v>112</v>
      </c>
      <c r="C4" s="0" t="n">
        <f aca="false">85*26</f>
        <v>2210</v>
      </c>
      <c r="K4" s="0" t="s">
        <v>206</v>
      </c>
      <c r="M4" s="9" t="n">
        <f aca="false">5%/2</f>
        <v>0.025</v>
      </c>
      <c r="N4" s="34"/>
    </row>
    <row r="5" customFormat="false" ht="15" hidden="false" customHeight="false" outlineLevel="0" collapsed="false">
      <c r="B5" s="0" t="s">
        <v>11</v>
      </c>
      <c r="C5" s="9" t="n">
        <f aca="false">5%/2</f>
        <v>0.025</v>
      </c>
    </row>
    <row r="6" customFormat="false" ht="15" hidden="false" customHeight="false" outlineLevel="0" collapsed="false">
      <c r="B6" s="0" t="s">
        <v>10</v>
      </c>
      <c r="C6" s="0" t="n">
        <f aca="false">45*2</f>
        <v>90</v>
      </c>
      <c r="I6" s="5" t="s">
        <v>230</v>
      </c>
      <c r="J6" s="5" t="s">
        <v>208</v>
      </c>
      <c r="K6" s="5" t="s">
        <v>122</v>
      </c>
      <c r="L6" s="5" t="s">
        <v>68</v>
      </c>
      <c r="M6" s="5" t="s">
        <v>67</v>
      </c>
      <c r="N6" s="5" t="s">
        <v>69</v>
      </c>
    </row>
    <row r="7" customFormat="false" ht="15" hidden="false" customHeight="false" outlineLevel="0" collapsed="false">
      <c r="I7" s="0" t="n">
        <v>20.5</v>
      </c>
      <c r="J7" s="0" t="n">
        <v>1</v>
      </c>
      <c r="K7" s="36"/>
      <c r="L7" s="36"/>
      <c r="M7" s="36" t="n">
        <f aca="false">85*26</f>
        <v>2210</v>
      </c>
      <c r="N7" s="36" t="n">
        <f aca="false">K7+L7+M7</f>
        <v>2210</v>
      </c>
    </row>
    <row r="8" customFormat="false" ht="18.75" hidden="false" customHeight="false" outlineLevel="0" collapsed="false">
      <c r="B8" s="0" t="s">
        <v>125</v>
      </c>
      <c r="C8" s="90" t="n">
        <f aca="false">C4*((1+C5)^C6-1)/C5</f>
        <v>727430.899739149</v>
      </c>
      <c r="I8" s="0" t="n">
        <f aca="false">I7+0.5</f>
        <v>21</v>
      </c>
      <c r="J8" s="0" t="n">
        <v>2</v>
      </c>
      <c r="K8" s="36" t="n">
        <f aca="false">N7</f>
        <v>2210</v>
      </c>
      <c r="L8" s="36" t="n">
        <f aca="false">N7*(M$4)</f>
        <v>55.25</v>
      </c>
      <c r="M8" s="36" t="n">
        <f aca="false">85*26</f>
        <v>2210</v>
      </c>
      <c r="N8" s="36" t="n">
        <f aca="false">K8+M8+L8</f>
        <v>4475.25</v>
      </c>
    </row>
    <row r="9" customFormat="false" ht="15" hidden="false" customHeight="false" outlineLevel="0" collapsed="false">
      <c r="I9" s="0" t="n">
        <f aca="false">I8+0.5</f>
        <v>21.5</v>
      </c>
      <c r="J9" s="0" t="n">
        <v>3</v>
      </c>
      <c r="K9" s="36" t="n">
        <f aca="false">N8</f>
        <v>4475.25</v>
      </c>
      <c r="L9" s="36" t="n">
        <f aca="false">N8*(M$4)</f>
        <v>111.88125</v>
      </c>
      <c r="M9" s="36" t="n">
        <f aca="false">85*26</f>
        <v>2210</v>
      </c>
      <c r="N9" s="36" t="n">
        <f aca="false">K9+M9+L9</f>
        <v>6797.13125</v>
      </c>
    </row>
    <row r="10" customFormat="false" ht="15" hidden="false" customHeight="false" outlineLevel="0" collapsed="false">
      <c r="C10" s="0" t="s">
        <v>231</v>
      </c>
      <c r="I10" s="0" t="n">
        <f aca="false">I9+0.5</f>
        <v>22</v>
      </c>
      <c r="J10" s="0" t="n">
        <v>4</v>
      </c>
      <c r="K10" s="36" t="n">
        <f aca="false">N9</f>
        <v>6797.13125</v>
      </c>
      <c r="L10" s="36" t="n">
        <f aca="false">N9*(M$4)</f>
        <v>169.92828125</v>
      </c>
      <c r="M10" s="36" t="n">
        <f aca="false">85*26</f>
        <v>2210</v>
      </c>
      <c r="N10" s="36" t="n">
        <f aca="false">K10+M10+L10</f>
        <v>9177.05953125</v>
      </c>
    </row>
    <row r="11" customFormat="false" ht="15" hidden="false" customHeight="false" outlineLevel="0" collapsed="false">
      <c r="I11" s="0" t="n">
        <f aca="false">I10+0.5</f>
        <v>22.5</v>
      </c>
      <c r="J11" s="0" t="n">
        <v>5</v>
      </c>
      <c r="K11" s="36" t="n">
        <f aca="false">N10</f>
        <v>9177.05953125</v>
      </c>
      <c r="L11" s="36" t="n">
        <f aca="false">N10*(M$4)</f>
        <v>229.42648828125</v>
      </c>
      <c r="M11" s="36" t="n">
        <f aca="false">85*26</f>
        <v>2210</v>
      </c>
      <c r="N11" s="36" t="n">
        <f aca="false">K11+M11+L11</f>
        <v>11616.4860195313</v>
      </c>
    </row>
    <row r="12" customFormat="false" ht="15" hidden="false" customHeight="false" outlineLevel="0" collapsed="false">
      <c r="I12" s="0" t="n">
        <f aca="false">I11+0.5</f>
        <v>23</v>
      </c>
      <c r="J12" s="0" t="n">
        <v>6</v>
      </c>
      <c r="K12" s="36" t="n">
        <f aca="false">N11</f>
        <v>11616.4860195313</v>
      </c>
      <c r="L12" s="36" t="n">
        <f aca="false">N11*(M$4)</f>
        <v>290.412150488281</v>
      </c>
      <c r="M12" s="36" t="n">
        <f aca="false">85*26</f>
        <v>2210</v>
      </c>
      <c r="N12" s="36" t="n">
        <f aca="false">K12+M12+L12</f>
        <v>14116.8981700195</v>
      </c>
    </row>
    <row r="13" customFormat="false" ht="15" hidden="false" customHeight="false" outlineLevel="0" collapsed="false">
      <c r="B13" s="0" t="s">
        <v>232</v>
      </c>
      <c r="I13" s="0" t="n">
        <f aca="false">I12+0.5</f>
        <v>23.5</v>
      </c>
      <c r="J13" s="0" t="n">
        <v>7</v>
      </c>
      <c r="K13" s="36" t="n">
        <f aca="false">N12</f>
        <v>14116.8981700195</v>
      </c>
      <c r="L13" s="36" t="n">
        <f aca="false">N12*(M$4)</f>
        <v>352.922454250488</v>
      </c>
      <c r="M13" s="36" t="n">
        <f aca="false">85*26</f>
        <v>2210</v>
      </c>
      <c r="N13" s="36" t="n">
        <f aca="false">K13+M13+L13</f>
        <v>16679.82062427</v>
      </c>
    </row>
    <row r="14" customFormat="false" ht="15" hidden="false" customHeight="false" outlineLevel="0" collapsed="false">
      <c r="B14" s="91" t="s">
        <v>233</v>
      </c>
      <c r="I14" s="0" t="n">
        <f aca="false">I13+0.5</f>
        <v>24</v>
      </c>
      <c r="J14" s="0" t="n">
        <v>8</v>
      </c>
      <c r="K14" s="36" t="n">
        <f aca="false">N13</f>
        <v>16679.82062427</v>
      </c>
      <c r="L14" s="36" t="n">
        <f aca="false">N13*(M$4)</f>
        <v>416.995515606751</v>
      </c>
      <c r="M14" s="36" t="n">
        <f aca="false">85*26</f>
        <v>2210</v>
      </c>
      <c r="N14" s="36" t="n">
        <f aca="false">K14+M14+L14</f>
        <v>19306.8161398768</v>
      </c>
    </row>
    <row r="15" customFormat="false" ht="15" hidden="false" customHeight="false" outlineLevel="0" collapsed="false">
      <c r="B15" s="91" t="s">
        <v>112</v>
      </c>
      <c r="C15" s="91" t="n">
        <f aca="false">85*52/12</f>
        <v>368.333333333333</v>
      </c>
      <c r="I15" s="0" t="n">
        <f aca="false">I14+0.5</f>
        <v>24.5</v>
      </c>
      <c r="J15" s="0" t="n">
        <v>9</v>
      </c>
      <c r="K15" s="36" t="n">
        <f aca="false">N14</f>
        <v>19306.8161398768</v>
      </c>
      <c r="L15" s="36" t="n">
        <f aca="false">N14*(M$4)</f>
        <v>482.670403496919</v>
      </c>
      <c r="M15" s="36" t="n">
        <f aca="false">85*26</f>
        <v>2210</v>
      </c>
      <c r="N15" s="36" t="n">
        <f aca="false">K15+M15+L15</f>
        <v>21999.4865433737</v>
      </c>
    </row>
    <row r="16" customFormat="false" ht="15" hidden="false" customHeight="false" outlineLevel="0" collapsed="false">
      <c r="B16" s="91" t="s">
        <v>11</v>
      </c>
      <c r="C16" s="92" t="n">
        <f aca="false">5%/12</f>
        <v>0.00416666666666667</v>
      </c>
      <c r="I16" s="0" t="n">
        <f aca="false">I15+0.5</f>
        <v>25</v>
      </c>
      <c r="J16" s="0" t="n">
        <v>10</v>
      </c>
      <c r="K16" s="36" t="n">
        <f aca="false">N15</f>
        <v>21999.4865433737</v>
      </c>
      <c r="L16" s="36" t="n">
        <f aca="false">N15*(M$4)</f>
        <v>549.987163584342</v>
      </c>
      <c r="M16" s="36" t="n">
        <f aca="false">85*26</f>
        <v>2210</v>
      </c>
      <c r="N16" s="36" t="n">
        <f aca="false">K16+M16+L16</f>
        <v>24759.473706958</v>
      </c>
    </row>
    <row r="17" customFormat="false" ht="15" hidden="false" customHeight="false" outlineLevel="0" collapsed="false">
      <c r="B17" s="91" t="s">
        <v>10</v>
      </c>
      <c r="C17" s="91" t="n">
        <f aca="false">45*12</f>
        <v>540</v>
      </c>
      <c r="I17" s="0" t="n">
        <f aca="false">I16+0.5</f>
        <v>25.5</v>
      </c>
      <c r="J17" s="0" t="n">
        <v>11</v>
      </c>
      <c r="K17" s="36" t="n">
        <f aca="false">N16</f>
        <v>24759.473706958</v>
      </c>
      <c r="L17" s="36" t="n">
        <f aca="false">N16*(M$4)</f>
        <v>618.986842673951</v>
      </c>
      <c r="M17" s="36" t="n">
        <f aca="false">85*26</f>
        <v>2210</v>
      </c>
      <c r="N17" s="36" t="n">
        <f aca="false">K17+M17+L17</f>
        <v>27588.460549632</v>
      </c>
    </row>
    <row r="18" customFormat="false" ht="15" hidden="false" customHeight="false" outlineLevel="0" collapsed="false">
      <c r="B18" s="91"/>
      <c r="C18" s="91"/>
      <c r="I18" s="0" t="n">
        <f aca="false">I17+0.5</f>
        <v>26</v>
      </c>
      <c r="J18" s="0" t="n">
        <v>12</v>
      </c>
      <c r="K18" s="36" t="n">
        <f aca="false">N17</f>
        <v>27588.460549632</v>
      </c>
      <c r="L18" s="36" t="n">
        <f aca="false">N17*(M$4)</f>
        <v>689.7115137408</v>
      </c>
      <c r="M18" s="36" t="n">
        <f aca="false">85*26</f>
        <v>2210</v>
      </c>
      <c r="N18" s="36" t="n">
        <f aca="false">K18+M18+L18</f>
        <v>30488.1720633728</v>
      </c>
    </row>
    <row r="19" customFormat="false" ht="18.75" hidden="false" customHeight="false" outlineLevel="0" collapsed="false">
      <c r="B19" s="91" t="s">
        <v>125</v>
      </c>
      <c r="C19" s="93" t="n">
        <f aca="false">C15*((1+C16)^C17-1)/C16</f>
        <v>746404.403346996</v>
      </c>
      <c r="I19" s="0" t="n">
        <f aca="false">I18+0.5</f>
        <v>26.5</v>
      </c>
      <c r="J19" s="0" t="n">
        <v>13</v>
      </c>
      <c r="K19" s="36" t="n">
        <f aca="false">N18</f>
        <v>30488.1720633728</v>
      </c>
      <c r="L19" s="36" t="n">
        <f aca="false">N18*(M$4)</f>
        <v>762.20430158432</v>
      </c>
      <c r="M19" s="36" t="n">
        <f aca="false">85*26</f>
        <v>2210</v>
      </c>
      <c r="N19" s="36" t="n">
        <f aca="false">K19+M19+L19</f>
        <v>33460.3763649571</v>
      </c>
    </row>
    <row r="20" customFormat="false" ht="15" hidden="false" customHeight="false" outlineLevel="0" collapsed="false">
      <c r="C20" s="91" t="s">
        <v>234</v>
      </c>
      <c r="I20" s="0" t="n">
        <f aca="false">I19+0.5</f>
        <v>27</v>
      </c>
      <c r="J20" s="0" t="n">
        <v>14</v>
      </c>
      <c r="K20" s="36" t="n">
        <f aca="false">N19</f>
        <v>33460.3763649571</v>
      </c>
      <c r="L20" s="36" t="n">
        <f aca="false">N19*(M$4)</f>
        <v>836.509409123928</v>
      </c>
      <c r="M20" s="36" t="n">
        <f aca="false">85*26</f>
        <v>2210</v>
      </c>
      <c r="N20" s="36" t="n">
        <f aca="false">K20+M20+L20</f>
        <v>36506.885774081</v>
      </c>
    </row>
    <row r="21" customFormat="false" ht="15" hidden="false" customHeight="false" outlineLevel="0" collapsed="false">
      <c r="I21" s="0" t="n">
        <f aca="false">I20+0.5</f>
        <v>27.5</v>
      </c>
      <c r="J21" s="0" t="n">
        <v>15</v>
      </c>
      <c r="K21" s="36" t="n">
        <f aca="false">N20</f>
        <v>36506.885774081</v>
      </c>
      <c r="L21" s="36" t="n">
        <f aca="false">N20*(M$4)</f>
        <v>912.672144352026</v>
      </c>
      <c r="M21" s="36" t="n">
        <f aca="false">85*26</f>
        <v>2210</v>
      </c>
      <c r="N21" s="36" t="n">
        <f aca="false">K21+M21+L21</f>
        <v>39629.5579184331</v>
      </c>
    </row>
    <row r="22" customFormat="false" ht="15" hidden="false" customHeight="false" outlineLevel="0" collapsed="false">
      <c r="B22" s="94" t="s">
        <v>235</v>
      </c>
      <c r="I22" s="0" t="n">
        <f aca="false">I21+0.5</f>
        <v>28</v>
      </c>
      <c r="J22" s="0" t="n">
        <v>16</v>
      </c>
      <c r="K22" s="36" t="n">
        <f aca="false">N21</f>
        <v>39629.5579184331</v>
      </c>
      <c r="L22" s="36" t="n">
        <f aca="false">N21*(M$4)</f>
        <v>990.738947960827</v>
      </c>
      <c r="M22" s="36" t="n">
        <f aca="false">85*26</f>
        <v>2210</v>
      </c>
      <c r="N22" s="36" t="n">
        <f aca="false">K22+M22+L22</f>
        <v>42830.2968663939</v>
      </c>
    </row>
    <row r="23" customFormat="false" ht="15" hidden="false" customHeight="false" outlineLevel="0" collapsed="false">
      <c r="B23" s="94" t="s">
        <v>236</v>
      </c>
      <c r="I23" s="0" t="n">
        <f aca="false">I22+0.5</f>
        <v>28.5</v>
      </c>
      <c r="J23" s="0" t="n">
        <v>17</v>
      </c>
      <c r="K23" s="36" t="n">
        <f aca="false">N22</f>
        <v>42830.2968663939</v>
      </c>
      <c r="L23" s="36" t="n">
        <f aca="false">N22*(M$4)</f>
        <v>1070.75742165985</v>
      </c>
      <c r="M23" s="36" t="n">
        <f aca="false">85*26</f>
        <v>2210</v>
      </c>
      <c r="N23" s="36" t="n">
        <f aca="false">K23+M23+L23</f>
        <v>46111.0542880537</v>
      </c>
    </row>
    <row r="24" customFormat="false" ht="15" hidden="false" customHeight="false" outlineLevel="0" collapsed="false">
      <c r="B24" s="94" t="s">
        <v>237</v>
      </c>
      <c r="I24" s="0" t="n">
        <f aca="false">I23+0.5</f>
        <v>29</v>
      </c>
      <c r="J24" s="0" t="n">
        <v>18</v>
      </c>
      <c r="K24" s="36" t="n">
        <f aca="false">N23</f>
        <v>46111.0542880537</v>
      </c>
      <c r="L24" s="36" t="n">
        <f aca="false">N23*(M$4)</f>
        <v>1152.77635720134</v>
      </c>
      <c r="M24" s="36" t="n">
        <f aca="false">85*26</f>
        <v>2210</v>
      </c>
      <c r="N24" s="36" t="n">
        <f aca="false">K24+M24+L24</f>
        <v>49473.8306452551</v>
      </c>
    </row>
    <row r="25" customFormat="false" ht="15" hidden="false" customHeight="false" outlineLevel="0" collapsed="false">
      <c r="B25" s="94" t="s">
        <v>112</v>
      </c>
      <c r="C25" s="94" t="n">
        <f aca="false">85*52/12</f>
        <v>368.333333333333</v>
      </c>
      <c r="I25" s="0" t="n">
        <f aca="false">I24+0.5</f>
        <v>29.5</v>
      </c>
      <c r="J25" s="0" t="n">
        <v>19</v>
      </c>
      <c r="K25" s="36" t="n">
        <f aca="false">N24</f>
        <v>49473.8306452551</v>
      </c>
      <c r="L25" s="36" t="n">
        <f aca="false">N24*(M$4)</f>
        <v>1236.84576613138</v>
      </c>
      <c r="M25" s="36" t="n">
        <f aca="false">85*26</f>
        <v>2210</v>
      </c>
      <c r="N25" s="36" t="n">
        <f aca="false">K25+M25+L25</f>
        <v>52920.6764113865</v>
      </c>
    </row>
    <row r="26" customFormat="false" ht="15" hidden="false" customHeight="false" outlineLevel="0" collapsed="false">
      <c r="B26" s="94" t="s">
        <v>11</v>
      </c>
      <c r="C26" s="95" t="n">
        <v>0.00409529790725367</v>
      </c>
      <c r="I26" s="0" t="n">
        <f aca="false">I25+0.5</f>
        <v>30</v>
      </c>
      <c r="J26" s="0" t="n">
        <v>20</v>
      </c>
      <c r="K26" s="36" t="n">
        <f aca="false">N25</f>
        <v>52920.6764113865</v>
      </c>
      <c r="L26" s="36" t="n">
        <f aca="false">N25*(M$4)</f>
        <v>1323.01691028466</v>
      </c>
      <c r="M26" s="36" t="n">
        <f aca="false">85*26</f>
        <v>2210</v>
      </c>
      <c r="N26" s="36" t="n">
        <f aca="false">K26+M26+L26</f>
        <v>56453.6933216711</v>
      </c>
    </row>
    <row r="27" customFormat="false" ht="15" hidden="false" customHeight="false" outlineLevel="0" collapsed="false">
      <c r="B27" s="94" t="s">
        <v>10</v>
      </c>
      <c r="C27" s="94" t="n">
        <f aca="false">45*12</f>
        <v>540</v>
      </c>
      <c r="I27" s="0" t="n">
        <f aca="false">I26+0.5</f>
        <v>30.5</v>
      </c>
      <c r="J27" s="0" t="n">
        <v>21</v>
      </c>
      <c r="K27" s="36" t="n">
        <f aca="false">N26</f>
        <v>56453.6933216711</v>
      </c>
      <c r="L27" s="36" t="n">
        <f aca="false">N26*(M$4)</f>
        <v>1411.34233304178</v>
      </c>
      <c r="M27" s="36" t="n">
        <f aca="false">85*26</f>
        <v>2210</v>
      </c>
      <c r="N27" s="36" t="n">
        <f aca="false">K27+M27+L27</f>
        <v>60075.0356547129</v>
      </c>
    </row>
    <row r="28" customFormat="false" ht="15" hidden="false" customHeight="false" outlineLevel="0" collapsed="false">
      <c r="B28" s="94"/>
      <c r="C28" s="94"/>
      <c r="I28" s="0" t="n">
        <f aca="false">I27+0.5</f>
        <v>31</v>
      </c>
      <c r="J28" s="0" t="n">
        <v>22</v>
      </c>
      <c r="K28" s="36" t="n">
        <f aca="false">N27</f>
        <v>60075.0356547129</v>
      </c>
      <c r="L28" s="36" t="n">
        <f aca="false">N27*(M$4)</f>
        <v>1501.87589136782</v>
      </c>
      <c r="M28" s="36" t="n">
        <f aca="false">85*26</f>
        <v>2210</v>
      </c>
      <c r="N28" s="36" t="n">
        <f aca="false">K28+M28+L28</f>
        <v>63786.9115460807</v>
      </c>
    </row>
    <row r="29" customFormat="false" ht="18.75" hidden="false" customHeight="false" outlineLevel="0" collapsed="false">
      <c r="B29" s="94" t="s">
        <v>125</v>
      </c>
      <c r="C29" s="96" t="n">
        <f aca="false">C25*((1+C26)^C27-1)/C26</f>
        <v>727431.00006235</v>
      </c>
      <c r="I29" s="0" t="n">
        <f aca="false">I28+0.5</f>
        <v>31.5</v>
      </c>
      <c r="J29" s="0" t="n">
        <v>23</v>
      </c>
      <c r="K29" s="36" t="n">
        <f aca="false">N28</f>
        <v>63786.9115460807</v>
      </c>
      <c r="L29" s="36" t="n">
        <f aca="false">N28*(M$4)</f>
        <v>1594.67278865202</v>
      </c>
      <c r="M29" s="36" t="n">
        <f aca="false">85*26</f>
        <v>2210</v>
      </c>
      <c r="N29" s="36" t="n">
        <f aca="false">K29+M29+L29</f>
        <v>67591.5843347328</v>
      </c>
    </row>
    <row r="30" customFormat="false" ht="15" hidden="false" customHeight="false" outlineLevel="0" collapsed="false">
      <c r="B30" s="94"/>
      <c r="C30" s="94" t="s">
        <v>238</v>
      </c>
      <c r="I30" s="0" t="n">
        <f aca="false">I29+0.5</f>
        <v>32</v>
      </c>
      <c r="J30" s="0" t="n">
        <v>24</v>
      </c>
      <c r="K30" s="36" t="n">
        <f aca="false">N29</f>
        <v>67591.5843347328</v>
      </c>
      <c r="L30" s="36" t="n">
        <f aca="false">N29*(M$4)</f>
        <v>1689.78960836832</v>
      </c>
      <c r="M30" s="36" t="n">
        <f aca="false">85*26</f>
        <v>2210</v>
      </c>
      <c r="N30" s="36" t="n">
        <f aca="false">K30+M30+L30</f>
        <v>71491.3739431011</v>
      </c>
    </row>
    <row r="31" customFormat="false" ht="15" hidden="false" customHeight="false" outlineLevel="0" collapsed="false">
      <c r="B31" s="94"/>
      <c r="C31" s="94" t="s">
        <v>239</v>
      </c>
      <c r="I31" s="0" t="n">
        <f aca="false">I30+0.5</f>
        <v>32.5</v>
      </c>
      <c r="J31" s="0" t="n">
        <v>25</v>
      </c>
      <c r="K31" s="36" t="n">
        <f aca="false">N30</f>
        <v>71491.3739431011</v>
      </c>
      <c r="L31" s="36" t="n">
        <f aca="false">N30*(M$4)</f>
        <v>1787.28434857753</v>
      </c>
      <c r="M31" s="36" t="n">
        <f aca="false">85*26</f>
        <v>2210</v>
      </c>
      <c r="N31" s="36" t="n">
        <f aca="false">K31+M31+L31</f>
        <v>75488.6582916786</v>
      </c>
    </row>
    <row r="32" customFormat="false" ht="15" hidden="false" customHeight="false" outlineLevel="0" collapsed="false">
      <c r="C32" s="94" t="s">
        <v>240</v>
      </c>
      <c r="I32" s="0" t="n">
        <f aca="false">I31+0.5</f>
        <v>33</v>
      </c>
      <c r="J32" s="0" t="n">
        <v>26</v>
      </c>
      <c r="K32" s="36" t="n">
        <f aca="false">N31</f>
        <v>75488.6582916786</v>
      </c>
      <c r="L32" s="36" t="n">
        <f aca="false">N31*(M$4)</f>
        <v>1887.21645729196</v>
      </c>
      <c r="M32" s="36" t="n">
        <f aca="false">85*26</f>
        <v>2210</v>
      </c>
      <c r="N32" s="36" t="n">
        <f aca="false">K32+M32+L32</f>
        <v>79585.8747489706</v>
      </c>
    </row>
    <row r="33" customFormat="false" ht="15" hidden="false" customHeight="false" outlineLevel="0" collapsed="false">
      <c r="C33" s="97" t="n">
        <f aca="false">C26*12</f>
        <v>0.049143574887044</v>
      </c>
      <c r="I33" s="0" t="n">
        <f aca="false">I32+0.5</f>
        <v>33.5</v>
      </c>
      <c r="J33" s="0" t="n">
        <v>27</v>
      </c>
      <c r="K33" s="36" t="n">
        <f aca="false">N32</f>
        <v>79585.8747489706</v>
      </c>
      <c r="L33" s="36" t="n">
        <f aca="false">N32*(M$4)</f>
        <v>1989.64686872426</v>
      </c>
      <c r="M33" s="36" t="n">
        <f aca="false">85*26</f>
        <v>2210</v>
      </c>
      <c r="N33" s="36" t="n">
        <f aca="false">K33+M33+L33</f>
        <v>83785.5216176948</v>
      </c>
    </row>
    <row r="34" customFormat="false" ht="15" hidden="false" customHeight="false" outlineLevel="0" collapsed="false">
      <c r="I34" s="0" t="n">
        <f aca="false">I33+0.5</f>
        <v>34</v>
      </c>
      <c r="J34" s="0" t="n">
        <v>28</v>
      </c>
      <c r="K34" s="36" t="n">
        <f aca="false">N33</f>
        <v>83785.5216176948</v>
      </c>
      <c r="L34" s="36" t="n">
        <f aca="false">N33*(M$4)</f>
        <v>2094.63804044237</v>
      </c>
      <c r="M34" s="36" t="n">
        <f aca="false">85*26</f>
        <v>2210</v>
      </c>
      <c r="N34" s="36" t="n">
        <f aca="false">K34+M34+L34</f>
        <v>88090.1596581372</v>
      </c>
    </row>
    <row r="35" customFormat="false" ht="15" hidden="false" customHeight="false" outlineLevel="0" collapsed="false">
      <c r="I35" s="0" t="n">
        <f aca="false">I34+0.5</f>
        <v>34.5</v>
      </c>
      <c r="J35" s="0" t="n">
        <v>29</v>
      </c>
      <c r="K35" s="36" t="n">
        <f aca="false">N34</f>
        <v>88090.1596581372</v>
      </c>
      <c r="L35" s="36" t="n">
        <f aca="false">N34*(M$4)</f>
        <v>2202.25399145343</v>
      </c>
      <c r="M35" s="36" t="n">
        <f aca="false">85*26</f>
        <v>2210</v>
      </c>
      <c r="N35" s="36" t="n">
        <f aca="false">K35+M35+L35</f>
        <v>92502.4136495906</v>
      </c>
    </row>
    <row r="36" customFormat="false" ht="15" hidden="false" customHeight="false" outlineLevel="0" collapsed="false">
      <c r="I36" s="0" t="n">
        <f aca="false">I35+0.5</f>
        <v>35</v>
      </c>
      <c r="J36" s="0" t="n">
        <v>30</v>
      </c>
      <c r="K36" s="36" t="n">
        <f aca="false">N35</f>
        <v>92502.4136495906</v>
      </c>
      <c r="L36" s="36" t="n">
        <f aca="false">N35*(M$4)</f>
        <v>2312.56034123977</v>
      </c>
      <c r="M36" s="36" t="n">
        <f aca="false">85*26</f>
        <v>2210</v>
      </c>
      <c r="N36" s="36" t="n">
        <f aca="false">K36+M36+L36</f>
        <v>97024.9739908304</v>
      </c>
    </row>
    <row r="37" customFormat="false" ht="15" hidden="false" customHeight="false" outlineLevel="0" collapsed="false">
      <c r="I37" s="0" t="n">
        <f aca="false">I36+0.5</f>
        <v>35.5</v>
      </c>
      <c r="J37" s="0" t="n">
        <v>31</v>
      </c>
      <c r="K37" s="36" t="n">
        <f aca="false">N36</f>
        <v>97024.9739908304</v>
      </c>
      <c r="L37" s="36" t="n">
        <f aca="false">N36*(M$4)</f>
        <v>2425.62434977076</v>
      </c>
      <c r="M37" s="36" t="n">
        <f aca="false">85*26</f>
        <v>2210</v>
      </c>
      <c r="N37" s="36" t="n">
        <f aca="false">K37+M37+L37</f>
        <v>101660.598340601</v>
      </c>
    </row>
    <row r="38" customFormat="false" ht="15" hidden="false" customHeight="false" outlineLevel="0" collapsed="false">
      <c r="I38" s="0" t="n">
        <f aca="false">I37+0.5</f>
        <v>36</v>
      </c>
      <c r="J38" s="0" t="n">
        <v>32</v>
      </c>
      <c r="K38" s="36" t="n">
        <f aca="false">N37</f>
        <v>101660.598340601</v>
      </c>
      <c r="L38" s="36" t="n">
        <f aca="false">N37*(M$4)</f>
        <v>2541.51495851503</v>
      </c>
      <c r="M38" s="36" t="n">
        <f aca="false">85*26</f>
        <v>2210</v>
      </c>
      <c r="N38" s="36" t="n">
        <f aca="false">K38+M38+L38</f>
        <v>106412.113299116</v>
      </c>
    </row>
    <row r="39" customFormat="false" ht="15" hidden="false" customHeight="false" outlineLevel="0" collapsed="false">
      <c r="I39" s="0" t="n">
        <f aca="false">I38+0.5</f>
        <v>36.5</v>
      </c>
      <c r="J39" s="0" t="n">
        <v>33</v>
      </c>
      <c r="K39" s="36" t="n">
        <f aca="false">N38</f>
        <v>106412.113299116</v>
      </c>
      <c r="L39" s="36" t="n">
        <f aca="false">N38*(M$4)</f>
        <v>2660.3028324779</v>
      </c>
      <c r="M39" s="36" t="n">
        <f aca="false">85*26</f>
        <v>2210</v>
      </c>
      <c r="N39" s="36" t="n">
        <f aca="false">K39+M39+L39</f>
        <v>111282.416131594</v>
      </c>
    </row>
    <row r="40" customFormat="false" ht="15" hidden="false" customHeight="false" outlineLevel="0" collapsed="false">
      <c r="I40" s="0" t="n">
        <f aca="false">I39+0.5</f>
        <v>37</v>
      </c>
      <c r="J40" s="0" t="n">
        <v>34</v>
      </c>
      <c r="K40" s="36" t="n">
        <f aca="false">N39</f>
        <v>111282.416131594</v>
      </c>
      <c r="L40" s="36" t="n">
        <f aca="false">N39*(M$4)</f>
        <v>2782.06040328985</v>
      </c>
      <c r="M40" s="36" t="n">
        <f aca="false">85*26</f>
        <v>2210</v>
      </c>
      <c r="N40" s="36" t="n">
        <f aca="false">K40+M40+L40</f>
        <v>116274.476534884</v>
      </c>
    </row>
    <row r="41" customFormat="false" ht="15" hidden="false" customHeight="false" outlineLevel="0" collapsed="false">
      <c r="I41" s="0" t="n">
        <f aca="false">I40+0.5</f>
        <v>37.5</v>
      </c>
      <c r="J41" s="0" t="n">
        <v>35</v>
      </c>
      <c r="K41" s="36" t="n">
        <f aca="false">N40</f>
        <v>116274.476534884</v>
      </c>
      <c r="L41" s="36" t="n">
        <f aca="false">N40*(M$4)</f>
        <v>2906.8619133721</v>
      </c>
      <c r="M41" s="36" t="n">
        <f aca="false">85*26</f>
        <v>2210</v>
      </c>
      <c r="N41" s="36" t="n">
        <f aca="false">K41+M41+L41</f>
        <v>121391.338448256</v>
      </c>
    </row>
    <row r="42" customFormat="false" ht="15" hidden="false" customHeight="false" outlineLevel="0" collapsed="false">
      <c r="I42" s="0" t="n">
        <f aca="false">I41+0.5</f>
        <v>38</v>
      </c>
      <c r="J42" s="0" t="n">
        <v>36</v>
      </c>
      <c r="K42" s="36" t="n">
        <f aca="false">N41</f>
        <v>121391.338448256</v>
      </c>
      <c r="L42" s="36" t="n">
        <f aca="false">N41*(M$4)</f>
        <v>3034.7834612064</v>
      </c>
      <c r="M42" s="36" t="n">
        <f aca="false">85*26</f>
        <v>2210</v>
      </c>
      <c r="N42" s="36" t="n">
        <f aca="false">K42+M42+L42</f>
        <v>126636.121909462</v>
      </c>
    </row>
    <row r="43" customFormat="false" ht="15" hidden="false" customHeight="false" outlineLevel="0" collapsed="false">
      <c r="I43" s="0" t="n">
        <f aca="false">I42+0.5</f>
        <v>38.5</v>
      </c>
      <c r="J43" s="0" t="n">
        <v>37</v>
      </c>
      <c r="K43" s="36" t="n">
        <f aca="false">N42</f>
        <v>126636.121909462</v>
      </c>
      <c r="L43" s="36" t="n">
        <f aca="false">N42*(M$4)</f>
        <v>3165.90304773656</v>
      </c>
      <c r="M43" s="36" t="n">
        <f aca="false">85*26</f>
        <v>2210</v>
      </c>
      <c r="N43" s="36" t="n">
        <f aca="false">K43+M43+L43</f>
        <v>132012.024957199</v>
      </c>
    </row>
    <row r="44" customFormat="false" ht="15" hidden="false" customHeight="false" outlineLevel="0" collapsed="false">
      <c r="I44" s="0" t="n">
        <f aca="false">I43+0.5</f>
        <v>39</v>
      </c>
      <c r="J44" s="0" t="n">
        <v>38</v>
      </c>
      <c r="K44" s="36" t="n">
        <f aca="false">N43</f>
        <v>132012.024957199</v>
      </c>
      <c r="L44" s="36" t="n">
        <f aca="false">N43*(M$4)</f>
        <v>3300.30062392998</v>
      </c>
      <c r="M44" s="36" t="n">
        <f aca="false">85*26</f>
        <v>2210</v>
      </c>
      <c r="N44" s="36" t="n">
        <f aca="false">K44+M44+L44</f>
        <v>137522.325581129</v>
      </c>
    </row>
    <row r="45" customFormat="false" ht="15" hidden="false" customHeight="false" outlineLevel="0" collapsed="false">
      <c r="I45" s="0" t="n">
        <f aca="false">I44+0.5</f>
        <v>39.5</v>
      </c>
      <c r="J45" s="0" t="n">
        <v>39</v>
      </c>
      <c r="K45" s="36" t="n">
        <f aca="false">N44</f>
        <v>137522.325581129</v>
      </c>
      <c r="L45" s="36" t="n">
        <f aca="false">N44*(M$4)</f>
        <v>3438.05813952822</v>
      </c>
      <c r="M45" s="36" t="n">
        <f aca="false">85*26</f>
        <v>2210</v>
      </c>
      <c r="N45" s="36" t="n">
        <f aca="false">K45+M45+L45</f>
        <v>143170.383720657</v>
      </c>
    </row>
    <row r="46" customFormat="false" ht="15" hidden="false" customHeight="false" outlineLevel="0" collapsed="false">
      <c r="I46" s="0" t="n">
        <f aca="false">I45+0.5</f>
        <v>40</v>
      </c>
      <c r="J46" s="0" t="n">
        <v>40</v>
      </c>
      <c r="K46" s="36" t="n">
        <f aca="false">N45</f>
        <v>143170.383720657</v>
      </c>
      <c r="L46" s="36" t="n">
        <f aca="false">N45*(M$4)</f>
        <v>3579.25959301643</v>
      </c>
      <c r="M46" s="36" t="n">
        <f aca="false">85*26</f>
        <v>2210</v>
      </c>
      <c r="N46" s="36" t="n">
        <f aca="false">K46+M46+L46</f>
        <v>148959.643313674</v>
      </c>
    </row>
    <row r="47" customFormat="false" ht="15" hidden="false" customHeight="false" outlineLevel="0" collapsed="false">
      <c r="I47" s="0" t="n">
        <f aca="false">I46+0.5</f>
        <v>40.5</v>
      </c>
      <c r="J47" s="0" t="n">
        <v>41</v>
      </c>
      <c r="K47" s="36" t="n">
        <f aca="false">N46</f>
        <v>148959.643313674</v>
      </c>
      <c r="L47" s="36" t="n">
        <f aca="false">N46*(M$4)</f>
        <v>3723.99108284184</v>
      </c>
      <c r="M47" s="36" t="n">
        <f aca="false">85*26</f>
        <v>2210</v>
      </c>
      <c r="N47" s="36" t="n">
        <f aca="false">K47+M47+L47</f>
        <v>154893.634396516</v>
      </c>
    </row>
    <row r="48" customFormat="false" ht="15" hidden="false" customHeight="false" outlineLevel="0" collapsed="false">
      <c r="I48" s="0" t="n">
        <f aca="false">I47+0.5</f>
        <v>41</v>
      </c>
      <c r="J48" s="0" t="n">
        <v>42</v>
      </c>
      <c r="K48" s="36" t="n">
        <f aca="false">N47</f>
        <v>154893.634396516</v>
      </c>
      <c r="L48" s="36" t="n">
        <f aca="false">N47*(M$4)</f>
        <v>3872.34085991289</v>
      </c>
      <c r="M48" s="36" t="n">
        <f aca="false">85*26</f>
        <v>2210</v>
      </c>
      <c r="N48" s="36" t="n">
        <f aca="false">K48+M48+L48</f>
        <v>160975.975256428</v>
      </c>
    </row>
    <row r="49" customFormat="false" ht="15" hidden="false" customHeight="false" outlineLevel="0" collapsed="false">
      <c r="I49" s="0" t="n">
        <f aca="false">I48+0.5</f>
        <v>41.5</v>
      </c>
      <c r="J49" s="0" t="n">
        <v>43</v>
      </c>
      <c r="K49" s="36" t="n">
        <f aca="false">N48</f>
        <v>160975.975256428</v>
      </c>
      <c r="L49" s="36" t="n">
        <f aca="false">N48*(M$4)</f>
        <v>4024.39938141071</v>
      </c>
      <c r="M49" s="36" t="n">
        <f aca="false">85*26</f>
        <v>2210</v>
      </c>
      <c r="N49" s="36" t="n">
        <f aca="false">K49+M49+L49</f>
        <v>167210.374637839</v>
      </c>
    </row>
    <row r="50" customFormat="false" ht="15" hidden="false" customHeight="false" outlineLevel="0" collapsed="false">
      <c r="I50" s="0" t="n">
        <f aca="false">I49+0.5</f>
        <v>42</v>
      </c>
      <c r="J50" s="0" t="n">
        <v>44</v>
      </c>
      <c r="K50" s="36" t="n">
        <f aca="false">N49</f>
        <v>167210.374637839</v>
      </c>
      <c r="L50" s="36" t="n">
        <f aca="false">N49*(M$4)</f>
        <v>4180.25936594598</v>
      </c>
      <c r="M50" s="36" t="n">
        <f aca="false">85*26</f>
        <v>2210</v>
      </c>
      <c r="N50" s="36" t="n">
        <f aca="false">K50+M50+L50</f>
        <v>173600.634003785</v>
      </c>
    </row>
    <row r="51" customFormat="false" ht="15" hidden="false" customHeight="false" outlineLevel="0" collapsed="false">
      <c r="I51" s="0" t="n">
        <f aca="false">I50+0.5</f>
        <v>42.5</v>
      </c>
      <c r="J51" s="0" t="n">
        <v>45</v>
      </c>
      <c r="K51" s="36" t="n">
        <f aca="false">N50</f>
        <v>173600.634003785</v>
      </c>
      <c r="L51" s="36" t="n">
        <f aca="false">N50*(M$4)</f>
        <v>4340.01585009463</v>
      </c>
      <c r="M51" s="36" t="n">
        <f aca="false">85*26</f>
        <v>2210</v>
      </c>
      <c r="N51" s="36" t="n">
        <f aca="false">K51+M51+L51</f>
        <v>180150.64985388</v>
      </c>
    </row>
    <row r="52" customFormat="false" ht="15" hidden="false" customHeight="false" outlineLevel="0" collapsed="false">
      <c r="I52" s="0" t="n">
        <f aca="false">I51+0.5</f>
        <v>43</v>
      </c>
      <c r="J52" s="0" t="n">
        <v>46</v>
      </c>
      <c r="K52" s="36" t="n">
        <f aca="false">N51</f>
        <v>180150.64985388</v>
      </c>
      <c r="L52" s="36" t="n">
        <f aca="false">N51*(M$4)</f>
        <v>4503.76624634699</v>
      </c>
      <c r="M52" s="36" t="n">
        <f aca="false">85*26</f>
        <v>2210</v>
      </c>
      <c r="N52" s="36" t="n">
        <f aca="false">K52+M52+L52</f>
        <v>186864.416100227</v>
      </c>
    </row>
    <row r="53" customFormat="false" ht="15" hidden="false" customHeight="false" outlineLevel="0" collapsed="false">
      <c r="I53" s="0" t="n">
        <f aca="false">I52+0.5</f>
        <v>43.5</v>
      </c>
      <c r="J53" s="0" t="n">
        <v>47</v>
      </c>
      <c r="K53" s="36" t="n">
        <f aca="false">N52</f>
        <v>186864.416100227</v>
      </c>
      <c r="L53" s="36" t="n">
        <f aca="false">N52*(M$4)</f>
        <v>4671.61040250567</v>
      </c>
      <c r="M53" s="36" t="n">
        <f aca="false">85*26</f>
        <v>2210</v>
      </c>
      <c r="N53" s="36" t="n">
        <f aca="false">K53+M53+L53</f>
        <v>193746.026502732</v>
      </c>
    </row>
    <row r="54" customFormat="false" ht="15" hidden="false" customHeight="false" outlineLevel="0" collapsed="false">
      <c r="I54" s="0" t="n">
        <f aca="false">I53+0.5</f>
        <v>44</v>
      </c>
      <c r="J54" s="0" t="n">
        <v>48</v>
      </c>
      <c r="K54" s="36" t="n">
        <f aca="false">N53</f>
        <v>193746.026502732</v>
      </c>
      <c r="L54" s="36" t="n">
        <f aca="false">N53*(M$4)</f>
        <v>4843.65066256831</v>
      </c>
      <c r="M54" s="36" t="n">
        <f aca="false">85*26</f>
        <v>2210</v>
      </c>
      <c r="N54" s="36" t="n">
        <f aca="false">K54+M54+L54</f>
        <v>200799.677165301</v>
      </c>
    </row>
    <row r="55" customFormat="false" ht="15" hidden="false" customHeight="false" outlineLevel="0" collapsed="false">
      <c r="I55" s="0" t="n">
        <f aca="false">I54+0.5</f>
        <v>44.5</v>
      </c>
      <c r="J55" s="0" t="n">
        <v>49</v>
      </c>
      <c r="K55" s="36" t="n">
        <f aca="false">N54</f>
        <v>200799.677165301</v>
      </c>
      <c r="L55" s="36" t="n">
        <f aca="false">N54*(M$4)</f>
        <v>5019.99192913252</v>
      </c>
      <c r="M55" s="36" t="n">
        <f aca="false">85*26</f>
        <v>2210</v>
      </c>
      <c r="N55" s="36" t="n">
        <f aca="false">K55+M55+L55</f>
        <v>208029.669094433</v>
      </c>
    </row>
    <row r="56" customFormat="false" ht="15" hidden="false" customHeight="false" outlineLevel="0" collapsed="false">
      <c r="I56" s="0" t="n">
        <f aca="false">I55+0.5</f>
        <v>45</v>
      </c>
      <c r="J56" s="0" t="n">
        <v>50</v>
      </c>
      <c r="K56" s="36" t="n">
        <f aca="false">N55</f>
        <v>208029.669094433</v>
      </c>
      <c r="L56" s="36" t="n">
        <f aca="false">N55*(M$4)</f>
        <v>5200.74172736083</v>
      </c>
      <c r="M56" s="36" t="n">
        <f aca="false">85*26</f>
        <v>2210</v>
      </c>
      <c r="N56" s="36" t="n">
        <f aca="false">K56+M56+L56</f>
        <v>215440.410821794</v>
      </c>
    </row>
    <row r="57" customFormat="false" ht="15" hidden="false" customHeight="false" outlineLevel="0" collapsed="false">
      <c r="I57" s="0" t="n">
        <f aca="false">I56+0.5</f>
        <v>45.5</v>
      </c>
      <c r="J57" s="0" t="n">
        <v>51</v>
      </c>
      <c r="K57" s="36" t="n">
        <f aca="false">N56</f>
        <v>215440.410821794</v>
      </c>
      <c r="L57" s="36" t="n">
        <f aca="false">N56*(M$4)</f>
        <v>5386.01027054485</v>
      </c>
      <c r="M57" s="36" t="n">
        <f aca="false">85*26</f>
        <v>2210</v>
      </c>
      <c r="N57" s="36" t="n">
        <f aca="false">K57+M57+L57</f>
        <v>223036.421092339</v>
      </c>
    </row>
    <row r="58" customFormat="false" ht="15" hidden="false" customHeight="false" outlineLevel="0" collapsed="false">
      <c r="I58" s="0" t="n">
        <f aca="false">I57+0.5</f>
        <v>46</v>
      </c>
      <c r="J58" s="0" t="n">
        <v>52</v>
      </c>
      <c r="K58" s="36" t="n">
        <f aca="false">N57</f>
        <v>223036.421092339</v>
      </c>
      <c r="L58" s="36" t="n">
        <f aca="false">N57*(M$4)</f>
        <v>5575.91052730847</v>
      </c>
      <c r="M58" s="36" t="n">
        <f aca="false">85*26</f>
        <v>2210</v>
      </c>
      <c r="N58" s="36" t="n">
        <f aca="false">K58+M58+L58</f>
        <v>230822.331619647</v>
      </c>
    </row>
    <row r="59" customFormat="false" ht="15" hidden="false" customHeight="false" outlineLevel="0" collapsed="false">
      <c r="I59" s="0" t="n">
        <f aca="false">I58+0.5</f>
        <v>46.5</v>
      </c>
      <c r="J59" s="0" t="n">
        <v>53</v>
      </c>
      <c r="K59" s="36" t="n">
        <f aca="false">N58</f>
        <v>230822.331619647</v>
      </c>
      <c r="L59" s="36" t="n">
        <f aca="false">N58*(M$4)</f>
        <v>5770.55829049118</v>
      </c>
      <c r="M59" s="36" t="n">
        <f aca="false">85*26</f>
        <v>2210</v>
      </c>
      <c r="N59" s="36" t="n">
        <f aca="false">K59+M59+L59</f>
        <v>238802.889910139</v>
      </c>
    </row>
    <row r="60" customFormat="false" ht="15" hidden="false" customHeight="false" outlineLevel="0" collapsed="false">
      <c r="I60" s="0" t="n">
        <f aca="false">I59+0.5</f>
        <v>47</v>
      </c>
      <c r="J60" s="0" t="n">
        <v>54</v>
      </c>
      <c r="K60" s="36" t="n">
        <f aca="false">N59</f>
        <v>238802.889910139</v>
      </c>
      <c r="L60" s="36" t="n">
        <f aca="false">N59*(M$4)</f>
        <v>5970.07224775346</v>
      </c>
      <c r="M60" s="36" t="n">
        <f aca="false">85*26</f>
        <v>2210</v>
      </c>
      <c r="N60" s="36" t="n">
        <f aca="false">K60+M60+L60</f>
        <v>246982.962157892</v>
      </c>
    </row>
    <row r="61" customFormat="false" ht="15" hidden="false" customHeight="false" outlineLevel="0" collapsed="false">
      <c r="I61" s="0" t="n">
        <f aca="false">I60+0.5</f>
        <v>47.5</v>
      </c>
      <c r="J61" s="0" t="n">
        <v>55</v>
      </c>
      <c r="K61" s="36" t="n">
        <f aca="false">N60</f>
        <v>246982.962157892</v>
      </c>
      <c r="L61" s="36" t="n">
        <f aca="false">N60*(M$4)</f>
        <v>6174.5740539473</v>
      </c>
      <c r="M61" s="36" t="n">
        <f aca="false">85*26</f>
        <v>2210</v>
      </c>
      <c r="N61" s="36" t="n">
        <f aca="false">K61+M61+L61</f>
        <v>255367.536211839</v>
      </c>
    </row>
    <row r="62" customFormat="false" ht="15" hidden="false" customHeight="false" outlineLevel="0" collapsed="false">
      <c r="I62" s="0" t="n">
        <f aca="false">I61+0.5</f>
        <v>48</v>
      </c>
      <c r="J62" s="0" t="n">
        <v>56</v>
      </c>
      <c r="K62" s="36" t="n">
        <f aca="false">N61</f>
        <v>255367.536211839</v>
      </c>
      <c r="L62" s="36" t="n">
        <f aca="false">N61*(M$4)</f>
        <v>6384.18840529598</v>
      </c>
      <c r="M62" s="36" t="n">
        <f aca="false">85*26</f>
        <v>2210</v>
      </c>
      <c r="N62" s="36" t="n">
        <f aca="false">K62+M62+L62</f>
        <v>263961.724617135</v>
      </c>
    </row>
    <row r="63" customFormat="false" ht="15" hidden="false" customHeight="false" outlineLevel="0" collapsed="false">
      <c r="I63" s="0" t="n">
        <f aca="false">I62+0.5</f>
        <v>48.5</v>
      </c>
      <c r="J63" s="0" t="n">
        <v>57</v>
      </c>
      <c r="K63" s="36" t="n">
        <f aca="false">N62</f>
        <v>263961.724617135</v>
      </c>
      <c r="L63" s="36" t="n">
        <f aca="false">N62*(M$4)</f>
        <v>6599.04311542838</v>
      </c>
      <c r="M63" s="36" t="n">
        <f aca="false">85*26</f>
        <v>2210</v>
      </c>
      <c r="N63" s="36" t="n">
        <f aca="false">K63+M63+L63</f>
        <v>272770.767732564</v>
      </c>
    </row>
    <row r="64" customFormat="false" ht="15" hidden="false" customHeight="false" outlineLevel="0" collapsed="false">
      <c r="I64" s="0" t="n">
        <f aca="false">I63+0.5</f>
        <v>49</v>
      </c>
      <c r="J64" s="0" t="n">
        <v>58</v>
      </c>
      <c r="K64" s="36" t="n">
        <f aca="false">N63</f>
        <v>272770.767732564</v>
      </c>
      <c r="L64" s="36" t="n">
        <f aca="false">N63*(M$4)</f>
        <v>6819.26919331409</v>
      </c>
      <c r="M64" s="36" t="n">
        <f aca="false">85*26</f>
        <v>2210</v>
      </c>
      <c r="N64" s="36" t="n">
        <f aca="false">K64+M64+L64</f>
        <v>281800.036925878</v>
      </c>
    </row>
    <row r="65" customFormat="false" ht="15" hidden="false" customHeight="false" outlineLevel="0" collapsed="false">
      <c r="I65" s="0" t="n">
        <f aca="false">I64+0.5</f>
        <v>49.5</v>
      </c>
      <c r="J65" s="0" t="n">
        <v>59</v>
      </c>
      <c r="K65" s="36" t="n">
        <f aca="false">N64</f>
        <v>281800.036925878</v>
      </c>
      <c r="L65" s="36" t="n">
        <f aca="false">N64*(M$4)</f>
        <v>7045.00092314694</v>
      </c>
      <c r="M65" s="36" t="n">
        <f aca="false">85*26</f>
        <v>2210</v>
      </c>
      <c r="N65" s="36" t="n">
        <f aca="false">K65+M65+L65</f>
        <v>291055.037849025</v>
      </c>
    </row>
    <row r="66" customFormat="false" ht="15" hidden="false" customHeight="false" outlineLevel="0" collapsed="false">
      <c r="I66" s="0" t="n">
        <f aca="false">I65+0.5</f>
        <v>50</v>
      </c>
      <c r="J66" s="0" t="n">
        <v>60</v>
      </c>
      <c r="K66" s="36" t="n">
        <f aca="false">N65</f>
        <v>291055.037849025</v>
      </c>
      <c r="L66" s="36" t="n">
        <f aca="false">N65*(M$4)</f>
        <v>7276.37594622562</v>
      </c>
      <c r="M66" s="36" t="n">
        <f aca="false">85*26</f>
        <v>2210</v>
      </c>
      <c r="N66" s="36" t="n">
        <f aca="false">K66+M66+L66</f>
        <v>300541.41379525</v>
      </c>
    </row>
    <row r="67" customFormat="false" ht="15" hidden="false" customHeight="false" outlineLevel="0" collapsed="false">
      <c r="I67" s="0" t="n">
        <f aca="false">I66+0.5</f>
        <v>50.5</v>
      </c>
      <c r="J67" s="0" t="n">
        <v>61</v>
      </c>
      <c r="K67" s="36" t="n">
        <f aca="false">N66</f>
        <v>300541.41379525</v>
      </c>
      <c r="L67" s="36" t="n">
        <f aca="false">N66*(M$4)</f>
        <v>7513.53534488126</v>
      </c>
      <c r="M67" s="36" t="n">
        <f aca="false">85*26</f>
        <v>2210</v>
      </c>
      <c r="N67" s="36" t="n">
        <f aca="false">K67+M67+L67</f>
        <v>310264.949140132</v>
      </c>
    </row>
    <row r="68" customFormat="false" ht="15" hidden="false" customHeight="false" outlineLevel="0" collapsed="false">
      <c r="I68" s="0" t="n">
        <f aca="false">I67+0.5</f>
        <v>51</v>
      </c>
      <c r="J68" s="0" t="n">
        <v>62</v>
      </c>
      <c r="K68" s="36" t="n">
        <f aca="false">N67</f>
        <v>310264.949140132</v>
      </c>
      <c r="L68" s="36" t="n">
        <f aca="false">N67*(M$4)</f>
        <v>7756.62372850329</v>
      </c>
      <c r="M68" s="36" t="n">
        <f aca="false">85*26</f>
        <v>2210</v>
      </c>
      <c r="N68" s="36" t="n">
        <f aca="false">K68+M68+L68</f>
        <v>320231.572868635</v>
      </c>
    </row>
    <row r="69" customFormat="false" ht="15" hidden="false" customHeight="false" outlineLevel="0" collapsed="false">
      <c r="I69" s="0" t="n">
        <f aca="false">I68+0.5</f>
        <v>51.5</v>
      </c>
      <c r="J69" s="0" t="n">
        <v>63</v>
      </c>
      <c r="K69" s="36" t="n">
        <f aca="false">N68</f>
        <v>320231.572868635</v>
      </c>
      <c r="L69" s="36" t="n">
        <f aca="false">N68*(M$4)</f>
        <v>8005.78932171587</v>
      </c>
      <c r="M69" s="36" t="n">
        <f aca="false">85*26</f>
        <v>2210</v>
      </c>
      <c r="N69" s="36" t="n">
        <f aca="false">K69+M69+L69</f>
        <v>330447.362190351</v>
      </c>
    </row>
    <row r="70" customFormat="false" ht="15" hidden="false" customHeight="false" outlineLevel="0" collapsed="false">
      <c r="I70" s="0" t="n">
        <f aca="false">I69+0.5</f>
        <v>52</v>
      </c>
      <c r="J70" s="0" t="n">
        <v>64</v>
      </c>
      <c r="K70" s="36" t="n">
        <f aca="false">N69</f>
        <v>330447.362190351</v>
      </c>
      <c r="L70" s="36" t="n">
        <f aca="false">N69*(M$4)</f>
        <v>8261.18405475877</v>
      </c>
      <c r="M70" s="36" t="n">
        <f aca="false">85*26</f>
        <v>2210</v>
      </c>
      <c r="N70" s="36" t="n">
        <f aca="false">K70+M70+L70</f>
        <v>340918.546245109</v>
      </c>
    </row>
    <row r="71" customFormat="false" ht="15" hidden="false" customHeight="false" outlineLevel="0" collapsed="false">
      <c r="I71" s="0" t="n">
        <f aca="false">I70+0.5</f>
        <v>52.5</v>
      </c>
      <c r="J71" s="0" t="n">
        <v>65</v>
      </c>
      <c r="K71" s="36" t="n">
        <f aca="false">N70</f>
        <v>340918.546245109</v>
      </c>
      <c r="L71" s="36" t="n">
        <f aca="false">N70*(M$4)</f>
        <v>8522.96365612774</v>
      </c>
      <c r="M71" s="36" t="n">
        <f aca="false">85*26</f>
        <v>2210</v>
      </c>
      <c r="N71" s="36" t="n">
        <f aca="false">K71+M71+L71</f>
        <v>351651.509901237</v>
      </c>
    </row>
    <row r="72" customFormat="false" ht="15" hidden="false" customHeight="false" outlineLevel="0" collapsed="false">
      <c r="I72" s="0" t="n">
        <f aca="false">I71+0.5</f>
        <v>53</v>
      </c>
      <c r="J72" s="0" t="n">
        <v>66</v>
      </c>
      <c r="K72" s="36" t="n">
        <f aca="false">N71</f>
        <v>351651.509901237</v>
      </c>
      <c r="L72" s="36" t="n">
        <f aca="false">N71*(M$4)</f>
        <v>8791.28774753093</v>
      </c>
      <c r="M72" s="36" t="n">
        <f aca="false">85*26</f>
        <v>2210</v>
      </c>
      <c r="N72" s="36" t="n">
        <f aca="false">K72+M72+L72</f>
        <v>362652.797648768</v>
      </c>
    </row>
    <row r="73" customFormat="false" ht="15" hidden="false" customHeight="false" outlineLevel="0" collapsed="false">
      <c r="I73" s="0" t="n">
        <f aca="false">I72+0.5</f>
        <v>53.5</v>
      </c>
      <c r="J73" s="0" t="n">
        <v>67</v>
      </c>
      <c r="K73" s="36" t="n">
        <f aca="false">N72</f>
        <v>362652.797648768</v>
      </c>
      <c r="L73" s="36" t="n">
        <f aca="false">N72*(M$4)</f>
        <v>9066.3199412192</v>
      </c>
      <c r="M73" s="36" t="n">
        <f aca="false">85*26</f>
        <v>2210</v>
      </c>
      <c r="N73" s="36" t="n">
        <f aca="false">K73+M73+L73</f>
        <v>373929.117589987</v>
      </c>
    </row>
    <row r="74" customFormat="false" ht="15" hidden="false" customHeight="false" outlineLevel="0" collapsed="false">
      <c r="I74" s="0" t="n">
        <f aca="false">I73+0.5</f>
        <v>54</v>
      </c>
      <c r="J74" s="0" t="n">
        <v>68</v>
      </c>
      <c r="K74" s="36" t="n">
        <f aca="false">N73</f>
        <v>373929.117589987</v>
      </c>
      <c r="L74" s="36" t="n">
        <f aca="false">N73*(M$4)</f>
        <v>9348.22793974968</v>
      </c>
      <c r="M74" s="36" t="n">
        <f aca="false">85*26</f>
        <v>2210</v>
      </c>
      <c r="N74" s="36" t="n">
        <f aca="false">K74+M74+L74</f>
        <v>385487.345529737</v>
      </c>
    </row>
    <row r="75" customFormat="false" ht="15" hidden="false" customHeight="false" outlineLevel="0" collapsed="false">
      <c r="I75" s="0" t="n">
        <f aca="false">I74+0.5</f>
        <v>54.5</v>
      </c>
      <c r="J75" s="0" t="n">
        <v>69</v>
      </c>
      <c r="K75" s="36" t="n">
        <f aca="false">N74</f>
        <v>385487.345529737</v>
      </c>
      <c r="L75" s="36" t="n">
        <f aca="false">N74*(M$4)</f>
        <v>9637.18363824342</v>
      </c>
      <c r="M75" s="36" t="n">
        <f aca="false">85*26</f>
        <v>2210</v>
      </c>
      <c r="N75" s="36" t="n">
        <f aca="false">K75+M75+L75</f>
        <v>397334.52916798</v>
      </c>
    </row>
    <row r="76" customFormat="false" ht="15" hidden="false" customHeight="false" outlineLevel="0" collapsed="false">
      <c r="I76" s="0" t="n">
        <f aca="false">I75+0.5</f>
        <v>55</v>
      </c>
      <c r="J76" s="0" t="n">
        <v>70</v>
      </c>
      <c r="K76" s="36" t="n">
        <f aca="false">N75</f>
        <v>397334.52916798</v>
      </c>
      <c r="L76" s="36" t="n">
        <f aca="false">N75*(M$4)</f>
        <v>9933.36322919951</v>
      </c>
      <c r="M76" s="36" t="n">
        <f aca="false">85*26</f>
        <v>2210</v>
      </c>
      <c r="N76" s="36" t="n">
        <f aca="false">K76+M76+L76</f>
        <v>409477.89239718</v>
      </c>
    </row>
    <row r="77" customFormat="false" ht="15" hidden="false" customHeight="false" outlineLevel="0" collapsed="false">
      <c r="I77" s="0" t="n">
        <f aca="false">I76+0.5</f>
        <v>55.5</v>
      </c>
      <c r="J77" s="0" t="n">
        <v>71</v>
      </c>
      <c r="K77" s="36" t="n">
        <f aca="false">N76</f>
        <v>409477.89239718</v>
      </c>
      <c r="L77" s="36" t="n">
        <f aca="false">N76*(M$4)</f>
        <v>10236.9473099295</v>
      </c>
      <c r="M77" s="36" t="n">
        <f aca="false">85*26</f>
        <v>2210</v>
      </c>
      <c r="N77" s="36" t="n">
        <f aca="false">K77+M77+L77</f>
        <v>421924.839707109</v>
      </c>
    </row>
    <row r="78" customFormat="false" ht="15" hidden="false" customHeight="false" outlineLevel="0" collapsed="false">
      <c r="I78" s="0" t="n">
        <f aca="false">I77+0.5</f>
        <v>56</v>
      </c>
      <c r="J78" s="0" t="n">
        <v>72</v>
      </c>
      <c r="K78" s="36" t="n">
        <f aca="false">N77</f>
        <v>421924.839707109</v>
      </c>
      <c r="L78" s="36" t="n">
        <f aca="false">N77*(M$4)</f>
        <v>10548.1209926777</v>
      </c>
      <c r="M78" s="36" t="n">
        <f aca="false">85*26</f>
        <v>2210</v>
      </c>
      <c r="N78" s="36" t="n">
        <f aca="false">K78+M78+L78</f>
        <v>434682.960699787</v>
      </c>
    </row>
    <row r="79" customFormat="false" ht="15" hidden="false" customHeight="false" outlineLevel="0" collapsed="false">
      <c r="I79" s="0" t="n">
        <f aca="false">I78+0.5</f>
        <v>56.5</v>
      </c>
      <c r="J79" s="0" t="n">
        <v>73</v>
      </c>
      <c r="K79" s="36" t="n">
        <f aca="false">N78</f>
        <v>434682.960699787</v>
      </c>
      <c r="L79" s="36" t="n">
        <f aca="false">N78*(M$4)</f>
        <v>10867.0740174947</v>
      </c>
      <c r="M79" s="36" t="n">
        <f aca="false">85*26</f>
        <v>2210</v>
      </c>
      <c r="N79" s="36" t="n">
        <f aca="false">K79+M79+L79</f>
        <v>447760.034717282</v>
      </c>
    </row>
    <row r="80" customFormat="false" ht="15" hidden="false" customHeight="false" outlineLevel="0" collapsed="false">
      <c r="I80" s="0" t="n">
        <f aca="false">I79+0.5</f>
        <v>57</v>
      </c>
      <c r="J80" s="0" t="n">
        <v>74</v>
      </c>
      <c r="K80" s="36" t="n">
        <f aca="false">N79</f>
        <v>447760.034717282</v>
      </c>
      <c r="L80" s="36" t="n">
        <f aca="false">N79*(M$4)</f>
        <v>11194.000867932</v>
      </c>
      <c r="M80" s="36" t="n">
        <f aca="false">85*26</f>
        <v>2210</v>
      </c>
      <c r="N80" s="36" t="n">
        <f aca="false">K80+M80+L80</f>
        <v>461164.035585214</v>
      </c>
    </row>
    <row r="81" customFormat="false" ht="15" hidden="false" customHeight="false" outlineLevel="0" collapsed="false">
      <c r="I81" s="0" t="n">
        <f aca="false">I80+0.5</f>
        <v>57.5</v>
      </c>
      <c r="J81" s="0" t="n">
        <v>75</v>
      </c>
      <c r="K81" s="36" t="n">
        <f aca="false">N80</f>
        <v>461164.035585214</v>
      </c>
      <c r="L81" s="36" t="n">
        <f aca="false">N80*(M$4)</f>
        <v>11529.1008896303</v>
      </c>
      <c r="M81" s="36" t="n">
        <f aca="false">85*26</f>
        <v>2210</v>
      </c>
      <c r="N81" s="36" t="n">
        <f aca="false">K81+M81+L81</f>
        <v>474903.136474844</v>
      </c>
    </row>
    <row r="82" customFormat="false" ht="15" hidden="false" customHeight="false" outlineLevel="0" collapsed="false">
      <c r="I82" s="0" t="n">
        <f aca="false">I81+0.5</f>
        <v>58</v>
      </c>
      <c r="J82" s="0" t="n">
        <v>76</v>
      </c>
      <c r="K82" s="36" t="n">
        <f aca="false">N81</f>
        <v>474903.136474844</v>
      </c>
      <c r="L82" s="36" t="n">
        <f aca="false">N81*(M$4)</f>
        <v>11872.5784118711</v>
      </c>
      <c r="M82" s="36" t="n">
        <f aca="false">85*26</f>
        <v>2210</v>
      </c>
      <c r="N82" s="36" t="n">
        <f aca="false">K82+M82+L82</f>
        <v>488985.714886715</v>
      </c>
    </row>
    <row r="83" customFormat="false" ht="15" hidden="false" customHeight="false" outlineLevel="0" collapsed="false">
      <c r="I83" s="0" t="n">
        <f aca="false">I82+0.5</f>
        <v>58.5</v>
      </c>
      <c r="J83" s="0" t="n">
        <v>77</v>
      </c>
      <c r="K83" s="36" t="n">
        <f aca="false">N82</f>
        <v>488985.714886715</v>
      </c>
      <c r="L83" s="36" t="n">
        <f aca="false">N82*(M$4)</f>
        <v>12224.6428721679</v>
      </c>
      <c r="M83" s="36" t="n">
        <f aca="false">85*26</f>
        <v>2210</v>
      </c>
      <c r="N83" s="36" t="n">
        <f aca="false">K83+M83+L83</f>
        <v>503420.357758883</v>
      </c>
    </row>
    <row r="84" customFormat="false" ht="15" hidden="false" customHeight="false" outlineLevel="0" collapsed="false">
      <c r="I84" s="0" t="n">
        <f aca="false">I83+0.5</f>
        <v>59</v>
      </c>
      <c r="J84" s="0" t="n">
        <v>78</v>
      </c>
      <c r="K84" s="36" t="n">
        <f aca="false">N83</f>
        <v>503420.357758883</v>
      </c>
      <c r="L84" s="36" t="n">
        <f aca="false">N83*(M$4)</f>
        <v>12585.5089439721</v>
      </c>
      <c r="M84" s="36" t="n">
        <f aca="false">85*26</f>
        <v>2210</v>
      </c>
      <c r="N84" s="36" t="n">
        <f aca="false">K84+M84+L84</f>
        <v>518215.866702855</v>
      </c>
    </row>
    <row r="85" customFormat="false" ht="15" hidden="false" customHeight="false" outlineLevel="0" collapsed="false">
      <c r="I85" s="0" t="n">
        <f aca="false">I84+0.5</f>
        <v>59.5</v>
      </c>
      <c r="J85" s="0" t="n">
        <v>79</v>
      </c>
      <c r="K85" s="36" t="n">
        <f aca="false">N84</f>
        <v>518215.866702855</v>
      </c>
      <c r="L85" s="36" t="n">
        <f aca="false">N84*(M$4)</f>
        <v>12955.3966675714</v>
      </c>
      <c r="M85" s="36" t="n">
        <f aca="false">85*26</f>
        <v>2210</v>
      </c>
      <c r="N85" s="36" t="n">
        <f aca="false">K85+M85+L85</f>
        <v>533381.263370427</v>
      </c>
    </row>
    <row r="86" customFormat="false" ht="15" hidden="false" customHeight="false" outlineLevel="0" collapsed="false">
      <c r="I86" s="0" t="n">
        <f aca="false">I85+0.5</f>
        <v>60</v>
      </c>
      <c r="J86" s="0" t="n">
        <v>80</v>
      </c>
      <c r="K86" s="36" t="n">
        <f aca="false">N85</f>
        <v>533381.263370427</v>
      </c>
      <c r="L86" s="36" t="n">
        <f aca="false">N85*(M$4)</f>
        <v>13334.5315842607</v>
      </c>
      <c r="M86" s="36" t="n">
        <f aca="false">85*26</f>
        <v>2210</v>
      </c>
      <c r="N86" s="36" t="n">
        <f aca="false">K86+M86+L86</f>
        <v>548925.794954687</v>
      </c>
    </row>
    <row r="87" customFormat="false" ht="15" hidden="false" customHeight="false" outlineLevel="0" collapsed="false">
      <c r="I87" s="0" t="n">
        <f aca="false">I86+0.5</f>
        <v>60.5</v>
      </c>
      <c r="J87" s="0" t="n">
        <v>81</v>
      </c>
      <c r="K87" s="36" t="n">
        <f aca="false">N86</f>
        <v>548925.794954687</v>
      </c>
      <c r="L87" s="36" t="n">
        <f aca="false">N86*(M$4)</f>
        <v>13723.1448738672</v>
      </c>
      <c r="M87" s="36" t="n">
        <f aca="false">85*26</f>
        <v>2210</v>
      </c>
      <c r="N87" s="36" t="n">
        <f aca="false">K87+M87+L87</f>
        <v>564858.939828554</v>
      </c>
    </row>
    <row r="88" customFormat="false" ht="15" hidden="false" customHeight="false" outlineLevel="0" collapsed="false">
      <c r="I88" s="0" t="n">
        <f aca="false">I87+0.5</f>
        <v>61</v>
      </c>
      <c r="J88" s="0" t="n">
        <v>82</v>
      </c>
      <c r="K88" s="36" t="n">
        <f aca="false">N87</f>
        <v>564858.939828554</v>
      </c>
      <c r="L88" s="36" t="n">
        <f aca="false">N87*(M$4)</f>
        <v>14121.4734957139</v>
      </c>
      <c r="M88" s="36" t="n">
        <f aca="false">85*26</f>
        <v>2210</v>
      </c>
      <c r="N88" s="36" t="n">
        <f aca="false">K88+M88+L88</f>
        <v>581190.413324268</v>
      </c>
    </row>
    <row r="89" customFormat="false" ht="15" hidden="false" customHeight="false" outlineLevel="0" collapsed="false">
      <c r="I89" s="0" t="n">
        <f aca="false">I88+0.5</f>
        <v>61.5</v>
      </c>
      <c r="J89" s="0" t="n">
        <v>83</v>
      </c>
      <c r="K89" s="36" t="n">
        <f aca="false">N88</f>
        <v>581190.413324268</v>
      </c>
      <c r="L89" s="36" t="n">
        <f aca="false">N88*(M$4)</f>
        <v>14529.7603331067</v>
      </c>
      <c r="M89" s="36" t="n">
        <f aca="false">85*26</f>
        <v>2210</v>
      </c>
      <c r="N89" s="36" t="n">
        <f aca="false">K89+M89+L89</f>
        <v>597930.173657375</v>
      </c>
    </row>
    <row r="90" customFormat="false" ht="15" hidden="false" customHeight="false" outlineLevel="0" collapsed="false">
      <c r="I90" s="0" t="n">
        <f aca="false">I89+0.5</f>
        <v>62</v>
      </c>
      <c r="J90" s="0" t="n">
        <v>84</v>
      </c>
      <c r="K90" s="36" t="n">
        <f aca="false">N89</f>
        <v>597930.173657375</v>
      </c>
      <c r="L90" s="36" t="n">
        <f aca="false">N89*(M$4)</f>
        <v>14948.2543414344</v>
      </c>
      <c r="M90" s="36" t="n">
        <f aca="false">85*26</f>
        <v>2210</v>
      </c>
      <c r="N90" s="36" t="n">
        <f aca="false">K90+M90+L90</f>
        <v>615088.427998809</v>
      </c>
    </row>
    <row r="91" customFormat="false" ht="15" hidden="false" customHeight="false" outlineLevel="0" collapsed="false">
      <c r="I91" s="0" t="n">
        <f aca="false">I90+0.5</f>
        <v>62.5</v>
      </c>
      <c r="J91" s="0" t="n">
        <v>85</v>
      </c>
      <c r="K91" s="36" t="n">
        <f aca="false">N90</f>
        <v>615088.427998809</v>
      </c>
      <c r="L91" s="36" t="n">
        <f aca="false">N90*(M$4)</f>
        <v>15377.2106999702</v>
      </c>
      <c r="M91" s="36" t="n">
        <f aca="false">85*26</f>
        <v>2210</v>
      </c>
      <c r="N91" s="36" t="n">
        <f aca="false">K91+M91+L91</f>
        <v>632675.63869878</v>
      </c>
    </row>
    <row r="92" customFormat="false" ht="15" hidden="false" customHeight="false" outlineLevel="0" collapsed="false">
      <c r="I92" s="0" t="n">
        <f aca="false">I91+0.5</f>
        <v>63</v>
      </c>
      <c r="J92" s="0" t="n">
        <v>86</v>
      </c>
      <c r="K92" s="36" t="n">
        <f aca="false">N91</f>
        <v>632675.63869878</v>
      </c>
      <c r="L92" s="36" t="n">
        <f aca="false">N91*(M$4)</f>
        <v>15816.8909674695</v>
      </c>
      <c r="M92" s="36" t="n">
        <f aca="false">85*26</f>
        <v>2210</v>
      </c>
      <c r="N92" s="36" t="n">
        <f aca="false">K92+M92+L92</f>
        <v>650702.529666249</v>
      </c>
    </row>
    <row r="93" customFormat="false" ht="15" hidden="false" customHeight="false" outlineLevel="0" collapsed="false">
      <c r="I93" s="0" t="n">
        <f aca="false">I92+0.5</f>
        <v>63.5</v>
      </c>
      <c r="J93" s="0" t="n">
        <v>87</v>
      </c>
      <c r="K93" s="36" t="n">
        <f aca="false">N92</f>
        <v>650702.529666249</v>
      </c>
      <c r="L93" s="36" t="n">
        <f aca="false">N92*(M$4)</f>
        <v>16267.5632416562</v>
      </c>
      <c r="M93" s="36" t="n">
        <f aca="false">85*26</f>
        <v>2210</v>
      </c>
      <c r="N93" s="36" t="n">
        <f aca="false">K93+M93+L93</f>
        <v>669180.092907905</v>
      </c>
    </row>
    <row r="94" customFormat="false" ht="15" hidden="false" customHeight="false" outlineLevel="0" collapsed="false">
      <c r="I94" s="0" t="n">
        <f aca="false">I93+0.5</f>
        <v>64</v>
      </c>
      <c r="J94" s="0" t="n">
        <v>88</v>
      </c>
      <c r="K94" s="36" t="n">
        <f aca="false">N93</f>
        <v>669180.092907905</v>
      </c>
      <c r="L94" s="36" t="n">
        <f aca="false">N93*(M$4)</f>
        <v>16729.5023226976</v>
      </c>
      <c r="M94" s="36" t="n">
        <f aca="false">85*26</f>
        <v>2210</v>
      </c>
      <c r="N94" s="36" t="n">
        <f aca="false">K94+M94+L94</f>
        <v>688119.595230603</v>
      </c>
    </row>
    <row r="95" customFormat="false" ht="15" hidden="false" customHeight="false" outlineLevel="0" collapsed="false">
      <c r="I95" s="0" t="n">
        <f aca="false">I94+0.5</f>
        <v>64.5</v>
      </c>
      <c r="J95" s="0" t="n">
        <v>89</v>
      </c>
      <c r="K95" s="36" t="n">
        <f aca="false">N94</f>
        <v>688119.595230603</v>
      </c>
      <c r="L95" s="36" t="n">
        <f aca="false">N94*(M$4)</f>
        <v>17202.9898807651</v>
      </c>
      <c r="M95" s="36" t="n">
        <f aca="false">85*26</f>
        <v>2210</v>
      </c>
      <c r="N95" s="36" t="n">
        <f aca="false">K95+M95+L95</f>
        <v>707532.585111368</v>
      </c>
    </row>
    <row r="96" customFormat="false" ht="18.75" hidden="false" customHeight="false" outlineLevel="0" collapsed="false">
      <c r="I96" s="0" t="n">
        <f aca="false">I95+0.5</f>
        <v>65</v>
      </c>
      <c r="J96" s="0" t="n">
        <v>90</v>
      </c>
      <c r="K96" s="36" t="n">
        <f aca="false">N95</f>
        <v>707532.585111368</v>
      </c>
      <c r="L96" s="36" t="n">
        <f aca="false">N95*(M$4)</f>
        <v>17688.3146277842</v>
      </c>
      <c r="M96" s="36" t="n">
        <f aca="false">85*26</f>
        <v>2210</v>
      </c>
      <c r="N96" s="98" t="n">
        <f aca="false">K96+M96+L96</f>
        <v>727430.899739152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2" activeCellId="0" sqref="N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5.29"/>
    <col collapsed="false" customWidth="true" hidden="false" outlineLevel="0" max="3" min="3" style="0" width="20.14"/>
    <col collapsed="false" customWidth="true" hidden="false" outlineLevel="0" max="4" min="4" style="0" width="3.86"/>
    <col collapsed="false" customWidth="true" hidden="false" outlineLevel="0" max="5" min="5" style="0" width="6.29"/>
    <col collapsed="false" customWidth="true" hidden="false" outlineLevel="0" max="6" min="6" style="0" width="15.71"/>
    <col collapsed="false" customWidth="true" hidden="false" outlineLevel="0" max="7" min="7" style="0" width="6"/>
    <col collapsed="false" customWidth="true" hidden="false" outlineLevel="0" max="8" min="8" style="0" width="4"/>
    <col collapsed="false" customWidth="true" hidden="false" outlineLevel="0" max="9" min="9" style="0" width="6.29"/>
    <col collapsed="false" customWidth="true" hidden="false" outlineLevel="0" max="10" min="10" style="0" width="10.85"/>
    <col collapsed="false" customWidth="true" hidden="false" outlineLevel="0" max="11" min="11" style="0" width="20"/>
    <col collapsed="false" customWidth="true" hidden="false" outlineLevel="0" max="12" min="12" style="0" width="6.29"/>
    <col collapsed="false" customWidth="true" hidden="false" outlineLevel="0" max="13" min="13" style="0" width="4.29"/>
    <col collapsed="false" customWidth="true" hidden="false" outlineLevel="0" max="14" min="14" style="0" width="19.42"/>
  </cols>
  <sheetData>
    <row r="1" customFormat="false" ht="15" hidden="false" customHeight="false" outlineLevel="0" collapsed="false">
      <c r="A1" s="29" t="s">
        <v>241</v>
      </c>
    </row>
    <row r="2" customFormat="false" ht="15" hidden="false" customHeight="false" outlineLevel="0" collapsed="false">
      <c r="B2" s="99" t="s">
        <v>43</v>
      </c>
      <c r="C2" s="5"/>
      <c r="I2" s="99" t="s">
        <v>242</v>
      </c>
      <c r="J2" s="5"/>
      <c r="K2" s="5"/>
      <c r="L2" s="5"/>
      <c r="N2" s="99" t="s">
        <v>243</v>
      </c>
    </row>
    <row r="4" customFormat="false" ht="15" hidden="false" customHeight="false" outlineLevel="0" collapsed="false">
      <c r="B4" s="0" t="s">
        <v>0</v>
      </c>
      <c r="C4" s="100" t="n">
        <v>0.07</v>
      </c>
      <c r="I4" s="0" t="s">
        <v>33</v>
      </c>
      <c r="J4" s="0" t="s">
        <v>75</v>
      </c>
      <c r="K4" s="0" t="s">
        <v>244</v>
      </c>
      <c r="N4" s="30" t="n">
        <f aca="false">-PMT(C4,C5,C6)</f>
        <v>142.377502727365</v>
      </c>
    </row>
    <row r="5" customFormat="false" ht="15" hidden="false" customHeight="false" outlineLevel="0" collapsed="false">
      <c r="B5" s="0" t="s">
        <v>31</v>
      </c>
      <c r="C5" s="101" t="n">
        <v>10</v>
      </c>
    </row>
    <row r="6" customFormat="false" ht="15" hidden="false" customHeight="false" outlineLevel="0" collapsed="false">
      <c r="B6" s="0" t="s">
        <v>74</v>
      </c>
      <c r="C6" s="101" t="n">
        <v>1000</v>
      </c>
      <c r="I6" s="0" t="n">
        <v>1</v>
      </c>
      <c r="J6" s="43" t="n">
        <v>142.377502727365</v>
      </c>
      <c r="K6" s="1" t="n">
        <f aca="false">J6/(1+$C$4)^I6</f>
        <v>133.063086661089</v>
      </c>
    </row>
    <row r="7" customFormat="false" ht="15" hidden="false" customHeight="false" outlineLevel="0" collapsed="false">
      <c r="I7" s="0" t="n">
        <v>2</v>
      </c>
      <c r="J7" s="45" t="n">
        <f aca="false">J6</f>
        <v>142.377502727365</v>
      </c>
      <c r="K7" s="1" t="n">
        <f aca="false">J7/(1+$C$4)^I7</f>
        <v>124.358024916905</v>
      </c>
    </row>
    <row r="8" customFormat="false" ht="15" hidden="false" customHeight="false" outlineLevel="0" collapsed="false">
      <c r="B8" s="0" t="s">
        <v>245</v>
      </c>
      <c r="C8" s="47" t="n">
        <f aca="false">C4*((1+C4)^C5)/((1+C4)^C5-1)</f>
        <v>0.142377502727365</v>
      </c>
      <c r="I8" s="0" t="n">
        <v>3</v>
      </c>
      <c r="J8" s="45" t="n">
        <f aca="false">J7</f>
        <v>142.377502727365</v>
      </c>
      <c r="K8" s="1" t="n">
        <f aca="false">J8/(1+$C$4)^I8</f>
        <v>116.222453193369</v>
      </c>
    </row>
    <row r="9" customFormat="false" ht="15" hidden="false" customHeight="false" outlineLevel="0" collapsed="false">
      <c r="I9" s="0" t="n">
        <v>4</v>
      </c>
      <c r="J9" s="45" t="n">
        <f aca="false">J8</f>
        <v>142.377502727365</v>
      </c>
      <c r="K9" s="1" t="n">
        <f aca="false">J9/(1+$C$4)^I9</f>
        <v>108.61911513399</v>
      </c>
    </row>
    <row r="10" customFormat="false" ht="15" hidden="false" customHeight="false" outlineLevel="0" collapsed="false">
      <c r="B10" s="0" t="s">
        <v>112</v>
      </c>
      <c r="C10" s="12" t="n">
        <f aca="false">C8*C6</f>
        <v>142.377502727365</v>
      </c>
      <c r="I10" s="0" t="n">
        <v>5</v>
      </c>
      <c r="J10" s="45" t="n">
        <f aca="false">J9</f>
        <v>142.377502727365</v>
      </c>
      <c r="K10" s="1" t="n">
        <f aca="false">J10/(1+$C$4)^I10</f>
        <v>101.513191714009</v>
      </c>
      <c r="L10" s="1"/>
    </row>
    <row r="11" customFormat="false" ht="15" hidden="false" customHeight="false" outlineLevel="0" collapsed="false">
      <c r="D11" s="78"/>
      <c r="I11" s="0" t="n">
        <v>6</v>
      </c>
      <c r="J11" s="45" t="n">
        <f aca="false">J10</f>
        <v>142.377502727365</v>
      </c>
      <c r="K11" s="1" t="n">
        <f aca="false">J11/(1+$C$4)^I11</f>
        <v>94.8721417887938</v>
      </c>
      <c r="L11" s="1"/>
    </row>
    <row r="12" customFormat="false" ht="15" hidden="false" customHeight="false" outlineLevel="0" collapsed="false">
      <c r="I12" s="0" t="n">
        <v>7</v>
      </c>
      <c r="J12" s="45" t="n">
        <f aca="false">J11</f>
        <v>142.377502727365</v>
      </c>
      <c r="K12" s="1" t="n">
        <f aca="false">J12/(1+$C$4)^I12</f>
        <v>88.665553073639</v>
      </c>
      <c r="L12" s="1"/>
    </row>
    <row r="13" customFormat="false" ht="15" hidden="false" customHeight="false" outlineLevel="0" collapsed="false">
      <c r="I13" s="0" t="n">
        <v>8</v>
      </c>
      <c r="J13" s="45" t="n">
        <f aca="false">J12</f>
        <v>142.377502727365</v>
      </c>
      <c r="K13" s="1" t="n">
        <f aca="false">J13/(1+$C$4)^I13</f>
        <v>82.8650028725598</v>
      </c>
      <c r="L13" s="1"/>
    </row>
    <row r="14" customFormat="false" ht="15" hidden="false" customHeight="false" outlineLevel="0" collapsed="false">
      <c r="I14" s="0" t="n">
        <v>9</v>
      </c>
      <c r="J14" s="45" t="n">
        <f aca="false">J13</f>
        <v>142.377502727365</v>
      </c>
      <c r="K14" s="1" t="n">
        <f aca="false">J14/(1+$C$4)^I14</f>
        <v>77.4439279182802</v>
      </c>
      <c r="L14" s="1"/>
    </row>
    <row r="15" customFormat="false" ht="15" hidden="false" customHeight="false" outlineLevel="0" collapsed="false">
      <c r="I15" s="0" t="n">
        <v>10</v>
      </c>
      <c r="J15" s="45" t="n">
        <f aca="false">J14</f>
        <v>142.377502727365</v>
      </c>
      <c r="K15" s="1" t="n">
        <f aca="false">J15/(1+$C$4)^I15</f>
        <v>72.3775027273647</v>
      </c>
      <c r="L15" s="1"/>
    </row>
    <row r="17" customFormat="false" ht="15" hidden="false" customHeight="false" outlineLevel="0" collapsed="false">
      <c r="I17" s="0" t="s">
        <v>58</v>
      </c>
      <c r="K17" s="102" t="n">
        <f aca="false">SUM(K6:K15)</f>
        <v>1000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5.29"/>
    <col collapsed="false" customWidth="true" hidden="false" outlineLevel="0" max="3" min="3" style="0" width="20.14"/>
    <col collapsed="false" customWidth="true" hidden="false" outlineLevel="0" max="4" min="4" style="0" width="3.86"/>
    <col collapsed="false" customWidth="true" hidden="false" outlineLevel="0" max="5" min="5" style="0" width="6.29"/>
    <col collapsed="false" customWidth="true" hidden="false" outlineLevel="0" max="6" min="6" style="0" width="15.71"/>
    <col collapsed="false" customWidth="true" hidden="false" outlineLevel="0" max="7" min="7" style="0" width="17.71"/>
    <col collapsed="false" customWidth="true" hidden="false" outlineLevel="0" max="8" min="8" style="0" width="4"/>
    <col collapsed="false" customWidth="true" hidden="false" outlineLevel="0" max="9" min="9" style="0" width="6.29"/>
    <col collapsed="false" customWidth="true" hidden="false" outlineLevel="0" max="10" min="10" style="0" width="14.42"/>
    <col collapsed="false" customWidth="true" hidden="false" outlineLevel="0" max="11" min="11" style="0" width="18.42"/>
    <col collapsed="false" customWidth="true" hidden="false" outlineLevel="0" max="12" min="12" style="0" width="15.42"/>
    <col collapsed="false" customWidth="true" hidden="false" outlineLevel="0" max="13" min="13" style="0" width="20"/>
    <col collapsed="false" customWidth="true" hidden="false" outlineLevel="0" max="14" min="14" style="0" width="4.29"/>
    <col collapsed="false" customWidth="true" hidden="false" outlineLevel="0" max="15" min="15" style="0" width="19.42"/>
    <col collapsed="false" customWidth="true" hidden="false" outlineLevel="0" max="16" min="16" style="0" width="14.86"/>
    <col collapsed="false" customWidth="true" hidden="false" outlineLevel="0" max="17" min="17" style="0" width="11.85"/>
  </cols>
  <sheetData>
    <row r="1" customFormat="false" ht="15" hidden="false" customHeight="false" outlineLevel="0" collapsed="false">
      <c r="A1" s="29" t="s">
        <v>246</v>
      </c>
    </row>
    <row r="2" customFormat="false" ht="15" hidden="false" customHeight="false" outlineLevel="0" collapsed="false">
      <c r="B2" s="99" t="s">
        <v>43</v>
      </c>
      <c r="C2" s="5"/>
      <c r="I2" s="99" t="s">
        <v>247</v>
      </c>
      <c r="J2" s="5"/>
      <c r="K2" s="5"/>
      <c r="L2" s="5"/>
      <c r="M2" s="5"/>
      <c r="O2" s="99" t="s">
        <v>248</v>
      </c>
    </row>
    <row r="4" customFormat="false" ht="15" hidden="false" customHeight="false" outlineLevel="0" collapsed="false">
      <c r="B4" s="0" t="s">
        <v>0</v>
      </c>
      <c r="C4" s="100" t="n">
        <v>0.07</v>
      </c>
      <c r="I4" s="0" t="s">
        <v>249</v>
      </c>
      <c r="O4" s="0" t="s">
        <v>250</v>
      </c>
    </row>
    <row r="5" customFormat="false" ht="15" hidden="false" customHeight="false" outlineLevel="0" collapsed="false">
      <c r="B5" s="0" t="s">
        <v>31</v>
      </c>
      <c r="C5" s="101" t="n">
        <v>10</v>
      </c>
      <c r="J5" s="0" t="s">
        <v>251</v>
      </c>
      <c r="K5" s="1" t="n">
        <f aca="false">C7/(1+C4)^C5</f>
        <v>-101.669858426944</v>
      </c>
      <c r="O5" s="0" t="s">
        <v>252</v>
      </c>
    </row>
    <row r="6" customFormat="false" ht="15" hidden="false" customHeight="false" outlineLevel="0" collapsed="false">
      <c r="B6" s="0" t="s">
        <v>253</v>
      </c>
      <c r="C6" s="101" t="n">
        <v>1000</v>
      </c>
      <c r="O6" s="0" t="s">
        <v>254</v>
      </c>
    </row>
    <row r="7" customFormat="false" ht="15" hidden="false" customHeight="false" outlineLevel="0" collapsed="false">
      <c r="B7" s="0" t="s">
        <v>255</v>
      </c>
      <c r="C7" s="101" t="n">
        <v>-200</v>
      </c>
      <c r="I7" s="0" t="s">
        <v>256</v>
      </c>
    </row>
    <row r="8" customFormat="false" ht="15" hidden="false" customHeight="false" outlineLevel="0" collapsed="false">
      <c r="J8" s="32" t="s">
        <v>257</v>
      </c>
      <c r="K8" s="1" t="n">
        <f aca="false">C6+K5</f>
        <v>898.330141573056</v>
      </c>
      <c r="O8" s="0" t="s">
        <v>258</v>
      </c>
      <c r="P8" s="30"/>
      <c r="Q8" s="30"/>
    </row>
    <row r="9" customFormat="false" ht="15" hidden="false" customHeight="false" outlineLevel="0" collapsed="false">
      <c r="B9" s="0" t="s">
        <v>245</v>
      </c>
      <c r="C9" s="47" t="n">
        <f aca="false">C4*((1+C4)^C5)/((1+C4)^C5-1)</f>
        <v>0.142377502727365</v>
      </c>
    </row>
    <row r="10" customFormat="false" ht="15" hidden="false" customHeight="false" outlineLevel="0" collapsed="false">
      <c r="I10" s="0" t="s">
        <v>259</v>
      </c>
      <c r="O10" s="0" t="s">
        <v>33</v>
      </c>
      <c r="P10" s="5" t="s">
        <v>260</v>
      </c>
      <c r="Q10" s="5" t="s">
        <v>261</v>
      </c>
      <c r="R10" s="5" t="s">
        <v>262</v>
      </c>
    </row>
    <row r="11" customFormat="false" ht="15" hidden="false" customHeight="false" outlineLevel="0" collapsed="false">
      <c r="B11" s="0" t="s">
        <v>263</v>
      </c>
      <c r="C11" s="12" t="n">
        <f aca="false">C9*C6</f>
        <v>142.377502727365</v>
      </c>
      <c r="D11" s="78"/>
      <c r="I11" s="0" t="s">
        <v>33</v>
      </c>
      <c r="J11" s="0" t="s">
        <v>75</v>
      </c>
      <c r="K11" s="0" t="s">
        <v>244</v>
      </c>
      <c r="O11" s="0" t="n">
        <v>0</v>
      </c>
      <c r="P11" s="104" t="n">
        <v>1000</v>
      </c>
      <c r="Q11" s="105"/>
      <c r="R11" s="1" t="n">
        <f aca="false">(P11+Q11)/(1+$C$4)^O11</f>
        <v>1000</v>
      </c>
    </row>
    <row r="12" customFormat="false" ht="15" hidden="false" customHeight="false" outlineLevel="0" collapsed="false">
      <c r="E12" s="0" t="s">
        <v>264</v>
      </c>
      <c r="I12" s="0" t="n">
        <v>1</v>
      </c>
      <c r="J12" s="43" t="n">
        <v>127.901982025074</v>
      </c>
      <c r="K12" s="1" t="n">
        <f aca="false">J12/(1+$C$4)^I12</f>
        <v>119.534562640256</v>
      </c>
      <c r="O12" s="0" t="n">
        <v>1</v>
      </c>
      <c r="P12" s="45" t="n">
        <v>0</v>
      </c>
      <c r="Q12" s="43" t="n">
        <v>-127.902002181892</v>
      </c>
      <c r="R12" s="1" t="n">
        <f aca="false">(P12+Q12)/(1+$C$4)^O12</f>
        <v>-119.534581478404</v>
      </c>
    </row>
    <row r="13" customFormat="false" ht="15" hidden="false" customHeight="false" outlineLevel="0" collapsed="false">
      <c r="B13" s="0" t="s">
        <v>265</v>
      </c>
      <c r="C13" s="12" t="n">
        <f aca="false">C7/(1+C4)^C5</f>
        <v>-101.669858426944</v>
      </c>
      <c r="I13" s="0" t="n">
        <v>2</v>
      </c>
      <c r="J13" s="45" t="n">
        <f aca="false">J12</f>
        <v>127.901982025074</v>
      </c>
      <c r="K13" s="1" t="n">
        <f aca="false">J13/(1+$C$4)^I13</f>
        <v>111.714544523603</v>
      </c>
      <c r="O13" s="0" t="n">
        <v>2</v>
      </c>
      <c r="P13" s="45" t="n">
        <v>0</v>
      </c>
      <c r="Q13" s="45" t="n">
        <f aca="false">Q12</f>
        <v>-127.902002181892</v>
      </c>
      <c r="R13" s="1" t="n">
        <f aca="false">(P13+Q13)/(1+$C$4)^O13</f>
        <v>-111.714562129349</v>
      </c>
    </row>
    <row r="14" customFormat="false" ht="15" hidden="false" customHeight="false" outlineLevel="0" collapsed="false">
      <c r="E14" s="0" t="s">
        <v>266</v>
      </c>
      <c r="I14" s="0" t="n">
        <v>3</v>
      </c>
      <c r="J14" s="45" t="n">
        <f aca="false">J13</f>
        <v>127.901982025074</v>
      </c>
      <c r="K14" s="1" t="n">
        <f aca="false">J14/(1+$C$4)^I14</f>
        <v>104.406116377199</v>
      </c>
      <c r="O14" s="0" t="n">
        <v>3</v>
      </c>
      <c r="P14" s="45" t="n">
        <v>0</v>
      </c>
      <c r="Q14" s="45" t="n">
        <f aca="false">Q13</f>
        <v>-127.902002181892</v>
      </c>
      <c r="R14" s="1" t="n">
        <f aca="false">(P14+Q14)/(1+$C$4)^O14</f>
        <v>-104.406132831167</v>
      </c>
    </row>
    <row r="15" customFormat="false" ht="15" hidden="false" customHeight="false" outlineLevel="0" collapsed="false">
      <c r="B15" s="0" t="s">
        <v>267</v>
      </c>
      <c r="C15" s="12" t="n">
        <f aca="false">C9*C13</f>
        <v>-14.4755005454729</v>
      </c>
      <c r="I15" s="0" t="n">
        <v>4</v>
      </c>
      <c r="J15" s="45" t="n">
        <f aca="false">J14</f>
        <v>127.901982025074</v>
      </c>
      <c r="K15" s="1" t="n">
        <f aca="false">J15/(1+$C$4)^I15</f>
        <v>97.5758096983172</v>
      </c>
      <c r="O15" s="0" t="n">
        <v>4</v>
      </c>
      <c r="P15" s="45" t="n">
        <v>0</v>
      </c>
      <c r="Q15" s="45" t="n">
        <f aca="false">Q14</f>
        <v>-127.902002181892</v>
      </c>
      <c r="R15" s="1" t="n">
        <f aca="false">(P15+Q15)/(1+$C$4)^O15</f>
        <v>-97.5758250758573</v>
      </c>
    </row>
    <row r="16" customFormat="false" ht="15" hidden="false" customHeight="false" outlineLevel="0" collapsed="false">
      <c r="I16" s="0" t="n">
        <v>5</v>
      </c>
      <c r="J16" s="45" t="n">
        <f aca="false">J15</f>
        <v>127.901982025074</v>
      </c>
      <c r="K16" s="1" t="n">
        <f aca="false">J16/(1+$C$4)^I16</f>
        <v>91.192345512446</v>
      </c>
      <c r="O16" s="0" t="n">
        <v>5</v>
      </c>
      <c r="P16" s="45" t="n">
        <v>0</v>
      </c>
      <c r="Q16" s="45" t="n">
        <f aca="false">Q15</f>
        <v>-127.902002181892</v>
      </c>
      <c r="R16" s="1" t="n">
        <f aca="false">(P16+Q16)/(1+$C$4)^O16</f>
        <v>-91.1923598839788</v>
      </c>
    </row>
    <row r="17" customFormat="false" ht="15" hidden="false" customHeight="false" outlineLevel="0" collapsed="false">
      <c r="B17" s="0" t="s">
        <v>268</v>
      </c>
      <c r="C17" s="31" t="n">
        <f aca="false">C11+C15</f>
        <v>127.902002181892</v>
      </c>
      <c r="I17" s="0" t="n">
        <v>6</v>
      </c>
      <c r="J17" s="45" t="n">
        <f aca="false">J16</f>
        <v>127.901982025074</v>
      </c>
      <c r="K17" s="1" t="n">
        <f aca="false">J17/(1+$C$4)^I17</f>
        <v>85.2264911331271</v>
      </c>
      <c r="O17" s="0" t="n">
        <v>6</v>
      </c>
      <c r="P17" s="45" t="n">
        <v>0</v>
      </c>
      <c r="Q17" s="45" t="n">
        <f aca="false">Q16</f>
        <v>-127.902002181892</v>
      </c>
      <c r="R17" s="1" t="n">
        <f aca="false">(P17+Q17)/(1+$C$4)^O17</f>
        <v>-85.2265045644662</v>
      </c>
    </row>
    <row r="18" customFormat="false" ht="15" hidden="false" customHeight="false" outlineLevel="0" collapsed="false">
      <c r="I18" s="0" t="n">
        <v>7</v>
      </c>
      <c r="J18" s="45" t="n">
        <f aca="false">J17</f>
        <v>127.901982025074</v>
      </c>
      <c r="K18" s="1" t="n">
        <f aca="false">J18/(1+$C$4)^I18</f>
        <v>79.6509262926421</v>
      </c>
      <c r="O18" s="0" t="n">
        <v>7</v>
      </c>
      <c r="P18" s="45" t="n">
        <v>0</v>
      </c>
      <c r="Q18" s="45" t="n">
        <f aca="false">Q17</f>
        <v>-127.902002181892</v>
      </c>
      <c r="R18" s="1" t="n">
        <f aca="false">(P18+Q18)/(1+$C$4)^O18</f>
        <v>-79.6509388452955</v>
      </c>
    </row>
    <row r="19" customFormat="false" ht="15" hidden="false" customHeight="false" outlineLevel="0" collapsed="false">
      <c r="I19" s="0" t="n">
        <v>8</v>
      </c>
      <c r="J19" s="45" t="n">
        <f aca="false">J18</f>
        <v>127.901982025074</v>
      </c>
      <c r="K19" s="1" t="n">
        <f aca="false">J19/(1+$C$4)^I19</f>
        <v>74.4401180305067</v>
      </c>
      <c r="O19" s="0" t="n">
        <v>8</v>
      </c>
      <c r="P19" s="45" t="n">
        <v>0</v>
      </c>
      <c r="Q19" s="45" t="n">
        <f aca="false">Q18</f>
        <v>-127.902002181892</v>
      </c>
      <c r="R19" s="1" t="n">
        <f aca="false">(P19+Q19)/(1+$C$4)^O19</f>
        <v>-74.4401297619584</v>
      </c>
    </row>
    <row r="20" customFormat="false" ht="15" hidden="false" customHeight="false" outlineLevel="0" collapsed="false">
      <c r="I20" s="0" t="n">
        <v>9</v>
      </c>
      <c r="J20" s="45" t="n">
        <f aca="false">J19</f>
        <v>127.901982025074</v>
      </c>
      <c r="K20" s="1" t="n">
        <f aca="false">J20/(1+$C$4)^I20</f>
        <v>69.5702037668287</v>
      </c>
      <c r="O20" s="0" t="n">
        <v>9</v>
      </c>
      <c r="P20" s="45" t="n">
        <v>0</v>
      </c>
      <c r="Q20" s="45" t="n">
        <f aca="false">Q19</f>
        <v>-127.902002181892</v>
      </c>
      <c r="R20" s="1" t="n">
        <f aca="false">(P20+Q20)/(1+$C$4)^O20</f>
        <v>-69.5702147308022</v>
      </c>
    </row>
    <row r="21" customFormat="false" ht="15" hidden="false" customHeight="false" outlineLevel="0" collapsed="false">
      <c r="C21" s="30" t="n">
        <f aca="false">PMT(C4,C5,C6,C7)</f>
        <v>-127.902002181892</v>
      </c>
      <c r="I21" s="0" t="n">
        <v>10</v>
      </c>
      <c r="J21" s="45" t="n">
        <f aca="false">J20</f>
        <v>127.901982025074</v>
      </c>
      <c r="K21" s="1" t="n">
        <f aca="false">(J21)/(1+$C$4)^I21</f>
        <v>65.0188820250735</v>
      </c>
      <c r="O21" s="0" t="n">
        <v>10</v>
      </c>
      <c r="P21" s="45" t="n">
        <v>-200</v>
      </c>
      <c r="Q21" s="45" t="n">
        <f aca="false">Q20</f>
        <v>-127.902002181892</v>
      </c>
      <c r="R21" s="1" t="n">
        <f aca="false">(P21+Q21)/(1+$C$4)^O21</f>
        <v>-166.688750698721</v>
      </c>
    </row>
    <row r="23" customFormat="false" ht="15" hidden="false" customHeight="false" outlineLevel="0" collapsed="false">
      <c r="I23" s="0" t="s">
        <v>58</v>
      </c>
      <c r="K23" s="102" t="n">
        <f aca="false">SUM(K12:K21)</f>
        <v>898.33</v>
      </c>
      <c r="O23" s="0" t="s">
        <v>58</v>
      </c>
      <c r="R23" s="106" t="n">
        <f aca="false">SUM(R11:R21)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4"/>
    <col collapsed="false" customWidth="true" hidden="false" outlineLevel="0" max="3" min="3" style="0" width="11.57"/>
    <col collapsed="false" customWidth="true" hidden="false" outlineLevel="0" max="4" min="4" style="0" width="4.29"/>
    <col collapsed="false" customWidth="true" hidden="false" outlineLevel="0" max="5" min="5" style="0" width="3.42"/>
    <col collapsed="false" customWidth="true" hidden="false" outlineLevel="0" max="6" min="6" style="0" width="6"/>
    <col collapsed="false" customWidth="true" hidden="false" outlineLevel="0" max="7" min="7" style="0" width="16.85"/>
    <col collapsed="false" customWidth="true" hidden="false" outlineLevel="0" max="8" min="8" style="0" width="19.29"/>
    <col collapsed="false" customWidth="true" hidden="false" outlineLevel="0" max="9" min="9" style="0" width="10.57"/>
    <col collapsed="false" customWidth="true" hidden="false" outlineLevel="0" max="11" min="11" style="0" width="13.15"/>
    <col collapsed="false" customWidth="true" hidden="false" outlineLevel="0" max="12" min="12" style="0" width="16.43"/>
    <col collapsed="false" customWidth="true" hidden="false" outlineLevel="0" max="13" min="13" style="0" width="6.14"/>
    <col collapsed="false" customWidth="true" hidden="false" outlineLevel="0" max="16" min="16" style="0" width="10"/>
    <col collapsed="false" customWidth="true" hidden="false" outlineLevel="0" max="18" min="18" style="0" width="9.71"/>
    <col collapsed="false" customWidth="true" hidden="false" outlineLevel="0" max="19" min="19" style="0" width="3.42"/>
    <col collapsed="false" customWidth="true" hidden="false" outlineLevel="0" max="20" min="20" style="0" width="6.71"/>
    <col collapsed="false" customWidth="true" hidden="false" outlineLevel="0" max="21" min="21" style="0" width="9.42"/>
    <col collapsed="false" customWidth="true" hidden="false" outlineLevel="0" max="22" min="22" style="0" width="8.71"/>
    <col collapsed="false" customWidth="true" hidden="false" outlineLevel="0" max="25" min="25" style="0" width="2.86"/>
    <col collapsed="false" customWidth="true" hidden="false" outlineLevel="0" max="26" min="26" style="0" width="11.43"/>
    <col collapsed="false" customWidth="true" hidden="false" outlineLevel="0" max="27" min="27" style="0" width="10.85"/>
  </cols>
  <sheetData>
    <row r="1" customFormat="false" ht="15" hidden="false" customHeight="false" outlineLevel="0" collapsed="false">
      <c r="A1" s="0" t="s">
        <v>18</v>
      </c>
      <c r="C1" s="0" t="s">
        <v>6</v>
      </c>
    </row>
    <row r="4" customFormat="false" ht="15" hidden="false" customHeight="false" outlineLevel="0" collapsed="false">
      <c r="B4" s="5" t="s">
        <v>7</v>
      </c>
      <c r="C4" s="5"/>
      <c r="F4" s="5" t="s">
        <v>19</v>
      </c>
      <c r="G4" s="5"/>
      <c r="H4" s="5"/>
      <c r="I4" s="5"/>
      <c r="K4" s="5" t="s">
        <v>20</v>
      </c>
      <c r="L4" s="5"/>
      <c r="N4" s="5" t="s">
        <v>21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45" hidden="false" customHeight="false" outlineLevel="0" collapsed="false">
      <c r="T5" s="5" t="s">
        <v>22</v>
      </c>
      <c r="U5" s="3" t="s">
        <v>23</v>
      </c>
      <c r="V5" s="3" t="s">
        <v>24</v>
      </c>
      <c r="W5" s="3" t="s">
        <v>25</v>
      </c>
      <c r="X5" s="3" t="s">
        <v>26</v>
      </c>
      <c r="Y5" s="5"/>
      <c r="Z5" s="3" t="s">
        <v>27</v>
      </c>
      <c r="AA5" s="3" t="s">
        <v>28</v>
      </c>
    </row>
    <row r="6" customFormat="false" ht="15" hidden="false" customHeight="false" outlineLevel="0" collapsed="false">
      <c r="B6" s="0" t="s">
        <v>0</v>
      </c>
      <c r="C6" s="6" t="n">
        <v>0.08</v>
      </c>
      <c r="G6" s="0" t="s">
        <v>0</v>
      </c>
      <c r="H6" s="16" t="n">
        <f aca="false">C6</f>
        <v>0.08</v>
      </c>
      <c r="K6" s="0" t="s">
        <v>29</v>
      </c>
      <c r="L6" s="17" t="n">
        <v>0.08</v>
      </c>
      <c r="N6" s="0" t="s">
        <v>30</v>
      </c>
      <c r="R6" s="18" t="n">
        <v>0.08</v>
      </c>
    </row>
    <row r="7" customFormat="false" ht="15" hidden="false" customHeight="false" outlineLevel="0" collapsed="false">
      <c r="B7" s="0" t="s">
        <v>10</v>
      </c>
      <c r="C7" s="8" t="n">
        <v>5</v>
      </c>
      <c r="N7" s="0" t="s">
        <v>31</v>
      </c>
      <c r="R7" s="17" t="n">
        <v>5</v>
      </c>
    </row>
    <row r="8" customFormat="false" ht="39" hidden="false" customHeight="true" outlineLevel="0" collapsed="false">
      <c r="B8" s="0" t="s">
        <v>32</v>
      </c>
      <c r="C8" s="0" t="n">
        <f aca="false">($C$6*(1+$C$6)^C7)/((1+$C$6)^C7-1)</f>
        <v>0.250456454566836</v>
      </c>
      <c r="F8" s="0" t="s">
        <v>33</v>
      </c>
      <c r="G8" s="0" t="s">
        <v>34</v>
      </c>
      <c r="H8" s="0" t="s">
        <v>35</v>
      </c>
      <c r="I8" s="19" t="s">
        <v>36</v>
      </c>
      <c r="K8" s="0" t="s">
        <v>13</v>
      </c>
      <c r="L8" s="10" t="s">
        <v>37</v>
      </c>
      <c r="N8" s="0" t="s">
        <v>38</v>
      </c>
      <c r="R8" s="20" t="n">
        <v>5000</v>
      </c>
    </row>
    <row r="9" customFormat="false" ht="15" hidden="false" customHeight="false" outlineLevel="0" collapsed="false">
      <c r="F9" s="0" t="n">
        <v>1</v>
      </c>
      <c r="G9" s="21" t="n">
        <f aca="false">5000*$H$6</f>
        <v>400</v>
      </c>
      <c r="H9" s="21" t="n">
        <f aca="false">5000/5</f>
        <v>1000</v>
      </c>
      <c r="I9" s="21" t="n">
        <f aca="false">G9+H9</f>
        <v>1400</v>
      </c>
      <c r="K9" s="11" t="n">
        <v>1252.28227283418</v>
      </c>
      <c r="L9" s="12" t="n">
        <f aca="false">K9/(1+$L$6)^F9</f>
        <v>1159.52062299461</v>
      </c>
      <c r="N9" s="0" t="s">
        <v>39</v>
      </c>
      <c r="R9" s="22" t="n">
        <f aca="false">-PMT(R6,R7,R8)</f>
        <v>1252.28227283418</v>
      </c>
      <c r="T9" s="23" t="n">
        <v>2020</v>
      </c>
      <c r="U9" s="24" t="n">
        <f aca="false">R8</f>
        <v>5000</v>
      </c>
      <c r="V9" s="25" t="n">
        <f aca="false">R8*R$6</f>
        <v>400</v>
      </c>
      <c r="W9" s="25" t="n">
        <f aca="false">R$9-V9</f>
        <v>852.282272834183</v>
      </c>
      <c r="X9" s="24" t="n">
        <f aca="false">R8-W9</f>
        <v>4147.71772716582</v>
      </c>
      <c r="Z9" s="25" t="n">
        <f aca="false">W9</f>
        <v>852.282272834183</v>
      </c>
      <c r="AA9" s="24" t="n">
        <f aca="false">V9</f>
        <v>400</v>
      </c>
    </row>
    <row r="10" customFormat="false" ht="15" hidden="false" customHeight="false" outlineLevel="0" collapsed="false">
      <c r="F10" s="0" t="n">
        <v>2</v>
      </c>
      <c r="G10" s="21" t="n">
        <f aca="false">(4000)*$H$6</f>
        <v>320</v>
      </c>
      <c r="H10" s="21" t="n">
        <f aca="false">5000/5</f>
        <v>1000</v>
      </c>
      <c r="I10" s="21" t="n">
        <f aca="false">G10+H10</f>
        <v>1320</v>
      </c>
      <c r="K10" s="12" t="n">
        <f aca="false">K9</f>
        <v>1252.28227283418</v>
      </c>
      <c r="L10" s="12" t="n">
        <f aca="false">K10/(1+$L$6)^F10</f>
        <v>1073.63020647649</v>
      </c>
      <c r="R10" s="26"/>
      <c r="T10" s="23" t="n">
        <v>2021</v>
      </c>
      <c r="U10" s="21" t="n">
        <f aca="false">X9</f>
        <v>4147.71772716582</v>
      </c>
      <c r="V10" s="25" t="n">
        <f aca="false">U10*R$6</f>
        <v>331.817418173265</v>
      </c>
      <c r="W10" s="25" t="n">
        <f aca="false">R$9-V10</f>
        <v>920.464854660918</v>
      </c>
      <c r="X10" s="24" t="n">
        <f aca="false">U10-W10</f>
        <v>3227.2528725049</v>
      </c>
      <c r="Z10" s="25" t="n">
        <f aca="false">Z9+W10</f>
        <v>1772.7471274951</v>
      </c>
      <c r="AA10" s="24" t="n">
        <f aca="false">AA9+V10</f>
        <v>731.817418173265</v>
      </c>
    </row>
    <row r="11" customFormat="false" ht="15" hidden="false" customHeight="false" outlineLevel="0" collapsed="false">
      <c r="B11" s="0" t="s">
        <v>40</v>
      </c>
      <c r="C11" s="13" t="n">
        <v>5000</v>
      </c>
      <c r="F11" s="0" t="n">
        <v>3</v>
      </c>
      <c r="G11" s="21" t="n">
        <f aca="false">3000*$H$6</f>
        <v>240</v>
      </c>
      <c r="H11" s="21" t="n">
        <f aca="false">5000/5</f>
        <v>1000</v>
      </c>
      <c r="I11" s="21" t="n">
        <f aca="false">G11+H11</f>
        <v>1240</v>
      </c>
      <c r="K11" s="12" t="n">
        <f aca="false">K10</f>
        <v>1252.28227283418</v>
      </c>
      <c r="L11" s="12" t="n">
        <f aca="false">K11/(1+$L$6)^F11</f>
        <v>994.102043033791</v>
      </c>
      <c r="T11" s="23" t="n">
        <v>2022</v>
      </c>
      <c r="U11" s="21" t="n">
        <f aca="false">X10</f>
        <v>3227.2528725049</v>
      </c>
      <c r="V11" s="25" t="n">
        <f aca="false">U11*R$6</f>
        <v>258.180229800392</v>
      </c>
      <c r="W11" s="25" t="n">
        <f aca="false">R$9-V11</f>
        <v>994.102043033791</v>
      </c>
      <c r="X11" s="24" t="n">
        <f aca="false">U11-W11</f>
        <v>2233.15082947111</v>
      </c>
      <c r="Z11" s="25" t="n">
        <f aca="false">Z10+W11</f>
        <v>2766.84917052889</v>
      </c>
      <c r="AA11" s="24" t="n">
        <f aca="false">AA10+V11</f>
        <v>989.997647973657</v>
      </c>
    </row>
    <row r="12" customFormat="false" ht="15" hidden="false" customHeight="false" outlineLevel="0" collapsed="false">
      <c r="F12" s="0" t="n">
        <v>4</v>
      </c>
      <c r="G12" s="21" t="n">
        <f aca="false">(2000)*$H$6</f>
        <v>160</v>
      </c>
      <c r="H12" s="21" t="n">
        <f aca="false">5000/5</f>
        <v>1000</v>
      </c>
      <c r="I12" s="21" t="n">
        <f aca="false">G12+H12</f>
        <v>1160</v>
      </c>
      <c r="K12" s="12" t="n">
        <f aca="false">K11</f>
        <v>1252.28227283418</v>
      </c>
      <c r="L12" s="12" t="n">
        <f aca="false">K12/(1+$L$6)^F12</f>
        <v>920.464854660918</v>
      </c>
      <c r="T12" s="23" t="n">
        <v>2023</v>
      </c>
      <c r="U12" s="21" t="n">
        <f aca="false">X11</f>
        <v>2233.15082947111</v>
      </c>
      <c r="V12" s="25" t="n">
        <f aca="false">U12*R$6</f>
        <v>178.652066357689</v>
      </c>
      <c r="W12" s="25" t="n">
        <f aca="false">R$9-V12</f>
        <v>1073.63020647649</v>
      </c>
      <c r="X12" s="24" t="n">
        <f aca="false">U12-W12</f>
        <v>1159.52062299461</v>
      </c>
      <c r="Z12" s="25" t="n">
        <f aca="false">Z11+W12</f>
        <v>3840.47937700539</v>
      </c>
      <c r="AA12" s="24" t="n">
        <f aca="false">AA11+V12</f>
        <v>1168.64971433135</v>
      </c>
    </row>
    <row r="13" customFormat="false" ht="15" hidden="false" customHeight="false" outlineLevel="0" collapsed="false">
      <c r="B13" s="0" t="s">
        <v>41</v>
      </c>
      <c r="C13" s="12" t="n">
        <f aca="false">C8*C11</f>
        <v>1252.28227283418</v>
      </c>
      <c r="F13" s="0" t="n">
        <v>5</v>
      </c>
      <c r="G13" s="21" t="n">
        <f aca="false">1000*$H$6</f>
        <v>80</v>
      </c>
      <c r="H13" s="21" t="n">
        <f aca="false">5000/5</f>
        <v>1000</v>
      </c>
      <c r="I13" s="21" t="n">
        <f aca="false">G13+H13</f>
        <v>1080</v>
      </c>
      <c r="K13" s="12" t="n">
        <f aca="false">K12</f>
        <v>1252.28227283418</v>
      </c>
      <c r="L13" s="12" t="n">
        <f aca="false">K13/(1+$L$6)^F13</f>
        <v>852.282272834183</v>
      </c>
      <c r="T13" s="23" t="n">
        <v>2024</v>
      </c>
      <c r="U13" s="21" t="n">
        <f aca="false">X12</f>
        <v>1159.52062299461</v>
      </c>
      <c r="V13" s="25" t="n">
        <f aca="false">U13*R$6</f>
        <v>92.7616498395691</v>
      </c>
      <c r="W13" s="25" t="n">
        <f aca="false">R$9-V13</f>
        <v>1159.52062299461</v>
      </c>
      <c r="X13" s="24" t="n">
        <f aca="false">U13-W13</f>
        <v>0</v>
      </c>
      <c r="Z13" s="25" t="n">
        <f aca="false">Z12+W13</f>
        <v>5000</v>
      </c>
      <c r="AA13" s="24" t="n">
        <f aca="false">AA12+V13</f>
        <v>1261.41136417092</v>
      </c>
    </row>
    <row r="15" customFormat="false" ht="15" hidden="false" customHeight="false" outlineLevel="0" collapsed="false">
      <c r="G15" s="0" t="s">
        <v>42</v>
      </c>
      <c r="L15" s="15" t="n">
        <f aca="false">SUM(L9:L13)</f>
        <v>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2" activeCellId="0" sqref="D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8.14"/>
    <col collapsed="false" customWidth="true" hidden="false" outlineLevel="0" max="3" min="3" style="0" width="20.14"/>
    <col collapsed="false" customWidth="true" hidden="false" outlineLevel="0" max="4" min="4" style="0" width="3.86"/>
    <col collapsed="false" customWidth="true" hidden="false" outlineLevel="0" max="5" min="5" style="0" width="6.29"/>
    <col collapsed="false" customWidth="true" hidden="false" outlineLevel="0" max="6" min="6" style="0" width="28.29"/>
    <col collapsed="false" customWidth="true" hidden="false" outlineLevel="0" max="8" min="8" style="0" width="4.42"/>
    <col collapsed="false" customWidth="true" hidden="false" outlineLevel="0" max="9" min="9" style="0" width="18.14"/>
    <col collapsed="false" customWidth="true" hidden="false" outlineLevel="0" max="10" min="10" style="0" width="20.14"/>
    <col collapsed="false" customWidth="true" hidden="false" outlineLevel="0" max="11" min="11" style="0" width="3.29"/>
    <col collapsed="false" customWidth="true" hidden="false" outlineLevel="0" max="12" min="12" style="0" width="19.42"/>
  </cols>
  <sheetData>
    <row r="2" customFormat="false" ht="15" hidden="false" customHeight="false" outlineLevel="0" collapsed="false">
      <c r="B2" s="5" t="s">
        <v>269</v>
      </c>
      <c r="C2" s="5"/>
      <c r="I2" s="5" t="s">
        <v>270</v>
      </c>
      <c r="J2" s="5"/>
      <c r="L2" s="5" t="s">
        <v>243</v>
      </c>
    </row>
    <row r="4" customFormat="false" ht="15" hidden="false" customHeight="false" outlineLevel="0" collapsed="false">
      <c r="B4" s="0" t="s">
        <v>0</v>
      </c>
      <c r="C4" s="100" t="n">
        <v>0.07</v>
      </c>
      <c r="F4" s="0" t="s">
        <v>271</v>
      </c>
      <c r="I4" s="0" t="s">
        <v>0</v>
      </c>
      <c r="J4" s="100" t="n">
        <v>0.07</v>
      </c>
      <c r="L4" s="30" t="n">
        <f aca="false">-PMT(C4,A12,C14)</f>
        <v>129.508866452627</v>
      </c>
    </row>
    <row r="5" customFormat="false" ht="15" hidden="false" customHeight="false" outlineLevel="0" collapsed="false">
      <c r="G5" s="0" t="n">
        <f aca="false">($C$4*(1+$C$4)^A12)/((1+$C$4)^A12-1)</f>
        <v>0.243890694441374</v>
      </c>
    </row>
    <row r="6" customFormat="false" ht="15" hidden="false" customHeight="false" outlineLevel="0" collapsed="false">
      <c r="A6" s="0" t="s">
        <v>33</v>
      </c>
      <c r="B6" s="0" t="s">
        <v>75</v>
      </c>
      <c r="C6" s="0" t="s">
        <v>244</v>
      </c>
      <c r="I6" s="0" t="s">
        <v>75</v>
      </c>
      <c r="J6" s="0" t="s">
        <v>244</v>
      </c>
    </row>
    <row r="8" customFormat="false" ht="15" hidden="false" customHeight="false" outlineLevel="0" collapsed="false">
      <c r="A8" s="0" t="n">
        <v>1</v>
      </c>
      <c r="B8" s="107" t="n">
        <v>45</v>
      </c>
      <c r="C8" s="1" t="n">
        <f aca="false">B8/(1+$C$4)^A8</f>
        <v>42.0560747663551</v>
      </c>
      <c r="I8" s="45" t="n">
        <f aca="false">G16</f>
        <v>129.508866452627</v>
      </c>
      <c r="J8" s="1" t="n">
        <f aca="false">I8/(1+$C$4)^A8</f>
        <v>121.036323787501</v>
      </c>
    </row>
    <row r="9" customFormat="false" ht="15" hidden="false" customHeight="false" outlineLevel="0" collapsed="false">
      <c r="A9" s="0" t="n">
        <v>2</v>
      </c>
      <c r="B9" s="107" t="n">
        <v>90</v>
      </c>
      <c r="C9" s="1" t="n">
        <f aca="false">B9/(1+$C$4)^A9</f>
        <v>78.6094855445891</v>
      </c>
      <c r="I9" s="45" t="n">
        <f aca="false">I8</f>
        <v>129.508866452627</v>
      </c>
      <c r="J9" s="1" t="n">
        <f aca="false">I9/(1+$C$4)^A9</f>
        <v>113.118059614487</v>
      </c>
    </row>
    <row r="10" customFormat="false" ht="15" hidden="false" customHeight="false" outlineLevel="0" collapsed="false">
      <c r="A10" s="0" t="n">
        <v>3</v>
      </c>
      <c r="B10" s="107" t="n">
        <v>180</v>
      </c>
      <c r="C10" s="1" t="n">
        <f aca="false">B10/(1+$C$4)^A10</f>
        <v>146.933617840353</v>
      </c>
      <c r="I10" s="45" t="n">
        <f aca="false">I9</f>
        <v>129.508866452627</v>
      </c>
      <c r="J10" s="1" t="n">
        <f aca="false">I10/(1+$C$4)^A10</f>
        <v>105.71781272382</v>
      </c>
    </row>
    <row r="11" customFormat="false" ht="15" hidden="false" customHeight="false" outlineLevel="0" collapsed="false">
      <c r="A11" s="0" t="n">
        <v>4</v>
      </c>
      <c r="B11" s="107" t="n">
        <v>135</v>
      </c>
      <c r="C11" s="1" t="n">
        <f aca="false">B11/(1+$C$4)^A11</f>
        <v>102.990853626416</v>
      </c>
      <c r="D11" s="78"/>
      <c r="I11" s="45" t="n">
        <f aca="false">I10</f>
        <v>129.508866452627</v>
      </c>
      <c r="J11" s="1" t="n">
        <f aca="false">I11/(1+$C$4)^A11</f>
        <v>98.8016941344112</v>
      </c>
    </row>
    <row r="12" customFormat="false" ht="15" hidden="false" customHeight="false" outlineLevel="0" collapsed="false">
      <c r="A12" s="0" t="n">
        <v>5</v>
      </c>
      <c r="B12" s="107" t="n">
        <v>225</v>
      </c>
      <c r="C12" s="1" t="n">
        <f aca="false">B12/(1+$C$4)^A12</f>
        <v>160.421890383825</v>
      </c>
      <c r="I12" s="45" t="n">
        <f aca="false">I11</f>
        <v>129.508866452627</v>
      </c>
      <c r="J12" s="1" t="n">
        <f aca="false">I12/(1+$C$4)^A12</f>
        <v>92.3380319013188</v>
      </c>
    </row>
    <row r="13" customFormat="false" ht="15" hidden="false" customHeight="false" outlineLevel="0" collapsed="false">
      <c r="B13" s="1"/>
      <c r="C13" s="1"/>
    </row>
    <row r="14" customFormat="false" ht="15" hidden="false" customHeight="false" outlineLevel="0" collapsed="false">
      <c r="A14" s="0" t="s">
        <v>272</v>
      </c>
      <c r="C14" s="103" t="n">
        <f aca="false">SUM(C8:C13)</f>
        <v>531.011922161539</v>
      </c>
      <c r="F14" s="0" t="s">
        <v>273</v>
      </c>
      <c r="G14" s="1" t="n">
        <f aca="false">C14</f>
        <v>531.011922161539</v>
      </c>
      <c r="J14" s="103" t="n">
        <f aca="false">SUM(J8:J13)</f>
        <v>531.011922161539</v>
      </c>
    </row>
    <row r="16" customFormat="false" ht="15" hidden="false" customHeight="false" outlineLevel="0" collapsed="false">
      <c r="F16" s="0" t="s">
        <v>274</v>
      </c>
      <c r="G16" s="50" t="n">
        <f aca="false">G5*G14</f>
        <v>129.508866452627</v>
      </c>
    </row>
    <row r="18" customFormat="false" ht="15" hidden="false" customHeight="false" outlineLevel="0" collapsed="false">
      <c r="J18" s="0" t="s">
        <v>275</v>
      </c>
    </row>
    <row r="19" customFormat="false" ht="15" hidden="false" customHeight="false" outlineLevel="0" collapsed="false">
      <c r="J19" s="0" t="s">
        <v>276</v>
      </c>
    </row>
    <row r="21" customFormat="false" ht="15" hidden="false" customHeight="false" outlineLevel="0" collapsed="false">
      <c r="F21" s="65" t="s">
        <v>277</v>
      </c>
    </row>
    <row r="22" customFormat="false" ht="15" hidden="false" customHeight="false" outlineLevel="0" collapsed="false">
      <c r="F22" s="65" t="s">
        <v>278</v>
      </c>
    </row>
    <row r="23" customFormat="false" ht="15" hidden="false" customHeight="false" outlineLevel="0" collapsed="false">
      <c r="F23" s="65" t="s">
        <v>279</v>
      </c>
    </row>
    <row r="24" customFormat="false" ht="15" hidden="false" customHeight="false" outlineLevel="0" collapsed="false">
      <c r="F24" s="65" t="s">
        <v>280</v>
      </c>
    </row>
    <row r="26" customFormat="false" ht="15" hidden="false" customHeight="false" outlineLevel="0" collapsed="false">
      <c r="F26" s="65" t="s">
        <v>281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T22" activeCellId="0" sqref="T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5.29"/>
    <col collapsed="false" customWidth="true" hidden="false" outlineLevel="0" max="3" min="3" style="0" width="20.14"/>
    <col collapsed="false" customWidth="true" hidden="false" outlineLevel="0" max="4" min="4" style="0" width="3.86"/>
    <col collapsed="false" customWidth="true" hidden="false" outlineLevel="0" max="5" min="5" style="0" width="8.86"/>
    <col collapsed="false" customWidth="true" hidden="false" outlineLevel="0" max="8" min="6" style="0" width="9"/>
    <col collapsed="false" customWidth="true" hidden="false" outlineLevel="0" max="9" min="9" style="0" width="6.43"/>
    <col collapsed="false" customWidth="true" hidden="false" outlineLevel="0" max="11" min="10" style="0" width="9"/>
    <col collapsed="false" customWidth="true" hidden="false" outlineLevel="0" max="14" min="14" style="0" width="6"/>
    <col collapsed="false" customWidth="true" hidden="false" outlineLevel="0" max="17" min="17" style="0" width="3.86"/>
    <col collapsed="false" customWidth="true" hidden="false" outlineLevel="0" max="20" min="20" style="0" width="3.86"/>
    <col collapsed="false" customWidth="true" hidden="false" outlineLevel="0" max="23" min="23" style="0" width="3.86"/>
  </cols>
  <sheetData>
    <row r="1" customFormat="false" ht="15" hidden="false" customHeight="false" outlineLevel="0" collapsed="false">
      <c r="A1" s="29" t="s">
        <v>246</v>
      </c>
    </row>
    <row r="2" customFormat="false" ht="15" hidden="false" customHeight="false" outlineLevel="0" collapsed="false">
      <c r="A2" s="29" t="s">
        <v>282</v>
      </c>
    </row>
    <row r="3" customFormat="false" ht="15" hidden="false" customHeight="false" outlineLevel="0" collapsed="false">
      <c r="B3" s="99" t="s">
        <v>43</v>
      </c>
      <c r="C3" s="5"/>
    </row>
    <row r="5" customFormat="false" ht="15" hidden="false" customHeight="false" outlineLevel="0" collapsed="false">
      <c r="B5" s="0" t="s">
        <v>0</v>
      </c>
      <c r="C5" s="100" t="n">
        <v>0.12</v>
      </c>
    </row>
    <row r="7" customFormat="false" ht="15" hidden="false" customHeight="false" outlineLevel="0" collapsed="false">
      <c r="E7" s="0" t="s">
        <v>283</v>
      </c>
      <c r="F7" s="0" t="s">
        <v>284</v>
      </c>
      <c r="G7" s="0" t="s">
        <v>285</v>
      </c>
      <c r="H7" s="0" t="s">
        <v>286</v>
      </c>
    </row>
    <row r="8" customFormat="false" ht="15" hidden="false" customHeight="false" outlineLevel="0" collapsed="false">
      <c r="B8" s="0" t="s">
        <v>74</v>
      </c>
      <c r="E8" s="108" t="n">
        <v>30.95</v>
      </c>
      <c r="F8" s="108" t="n">
        <v>44.95</v>
      </c>
      <c r="G8" s="108" t="n">
        <v>53.95</v>
      </c>
      <c r="H8" s="108" t="n">
        <v>59.95</v>
      </c>
    </row>
    <row r="9" customFormat="false" ht="15" hidden="false" customHeight="false" outlineLevel="0" collapsed="false">
      <c r="B9" s="0" t="s">
        <v>10</v>
      </c>
      <c r="E9" s="108" t="n">
        <v>1</v>
      </c>
      <c r="F9" s="108" t="n">
        <v>2</v>
      </c>
      <c r="G9" s="108" t="n">
        <v>3</v>
      </c>
      <c r="H9" s="108" t="n">
        <v>4</v>
      </c>
    </row>
    <row r="11" customFormat="false" ht="15" hidden="false" customHeight="false" outlineLevel="0" collapsed="false">
      <c r="B11" s="0" t="s">
        <v>245</v>
      </c>
      <c r="E11" s="47" t="n">
        <f aca="false">($C5*(1+$C5)^E9)/((1+$C5)^E9-1)</f>
        <v>1.12</v>
      </c>
      <c r="F11" s="47" t="n">
        <f aca="false">$C5*((1+$C5)^F9)/((1+$C5)^F9-1)</f>
        <v>0.591698113207547</v>
      </c>
      <c r="G11" s="47" t="n">
        <f aca="false">$C5*((1+$C5)^G9)/((1+$C5)^G9-1)</f>
        <v>0.416348980559507</v>
      </c>
      <c r="H11" s="47" t="n">
        <f aca="false">$C5*((1+$C5)^H9)/((1+$C5)^H9-1)</f>
        <v>0.32923443630569</v>
      </c>
    </row>
    <row r="13" customFormat="false" ht="15" hidden="false" customHeight="false" outlineLevel="0" collapsed="false">
      <c r="B13" s="0" t="s">
        <v>263</v>
      </c>
      <c r="D13" s="78"/>
      <c r="E13" s="12" t="n">
        <f aca="false">E11*E8</f>
        <v>34.664</v>
      </c>
      <c r="F13" s="12" t="n">
        <f aca="false">F11*F8</f>
        <v>26.5968301886792</v>
      </c>
      <c r="G13" s="12" t="n">
        <f aca="false">G11*G8</f>
        <v>22.4620275011854</v>
      </c>
      <c r="H13" s="12" t="n">
        <f aca="false">H11*H8</f>
        <v>19.7376044565261</v>
      </c>
    </row>
    <row r="14" customFormat="false" ht="15" hidden="false" customHeight="false" outlineLevel="0" collapsed="false">
      <c r="B14" s="0" t="s">
        <v>287</v>
      </c>
    </row>
    <row r="16" customFormat="false" ht="15" hidden="false" customHeight="false" outlineLevel="0" collapsed="false">
      <c r="E16" s="0" t="s">
        <v>288</v>
      </c>
      <c r="J16" s="0" t="s">
        <v>289</v>
      </c>
      <c r="O16" s="0" t="s">
        <v>290</v>
      </c>
    </row>
    <row r="17" customFormat="false" ht="15" hidden="false" customHeight="false" outlineLevel="0" collapsed="false">
      <c r="C17" s="12"/>
      <c r="E17" s="0" t="s">
        <v>283</v>
      </c>
      <c r="F17" s="0" t="s">
        <v>284</v>
      </c>
      <c r="G17" s="0" t="s">
        <v>285</v>
      </c>
      <c r="H17" s="0" t="s">
        <v>286</v>
      </c>
      <c r="J17" s="0" t="s">
        <v>283</v>
      </c>
      <c r="K17" s="0" t="s">
        <v>284</v>
      </c>
      <c r="L17" s="0" t="s">
        <v>285</v>
      </c>
      <c r="M17" s="0" t="s">
        <v>286</v>
      </c>
      <c r="O17" s="0" t="s">
        <v>283</v>
      </c>
      <c r="P17" s="0" t="s">
        <v>283</v>
      </c>
      <c r="R17" s="0" t="s">
        <v>284</v>
      </c>
      <c r="S17" s="0" t="s">
        <v>284</v>
      </c>
      <c r="U17" s="0" t="s">
        <v>285</v>
      </c>
      <c r="V17" s="0" t="s">
        <v>285</v>
      </c>
      <c r="X17" s="0" t="s">
        <v>286</v>
      </c>
      <c r="Y17" s="0" t="s">
        <v>286</v>
      </c>
    </row>
    <row r="18" customFormat="false" ht="15" hidden="false" customHeight="false" outlineLevel="0" collapsed="false">
      <c r="D18" s="0" t="n">
        <v>1</v>
      </c>
      <c r="E18" s="109" t="n">
        <f aca="false">$E$8*(1+C5)</f>
        <v>34.664</v>
      </c>
      <c r="F18" s="109" t="n">
        <f aca="false">F$8*(1+$C$5)</f>
        <v>50.344</v>
      </c>
      <c r="G18" s="109" t="n">
        <f aca="false">G$8*(1+$C$5)</f>
        <v>60.424</v>
      </c>
      <c r="H18" s="109" t="n">
        <f aca="false">H$8*(1+$C$5)</f>
        <v>67.144</v>
      </c>
      <c r="J18" s="12" t="n">
        <f aca="false">E18/(1+$C$5)^$D18</f>
        <v>30.95</v>
      </c>
      <c r="K18" s="12" t="n">
        <f aca="false">F18/(1+$C$5)^$D18</f>
        <v>44.95</v>
      </c>
      <c r="L18" s="12" t="n">
        <f aca="false">G18/(1+$C$5)^$D18</f>
        <v>53.95</v>
      </c>
      <c r="M18" s="12" t="n">
        <f aca="false">H18/(1+$C$5)^$D18</f>
        <v>59.95</v>
      </c>
      <c r="O18" s="15" t="n">
        <v>34.6637113265828</v>
      </c>
      <c r="P18" s="12" t="n">
        <f aca="false">O18/(1+$C$5)^$D18</f>
        <v>30.9497422558775</v>
      </c>
      <c r="R18" s="15" t="n">
        <v>26.5967140511108</v>
      </c>
      <c r="S18" s="12" t="n">
        <f aca="false">R18/(1+$C$5)^$D18</f>
        <v>23.7470661170632</v>
      </c>
      <c r="U18" s="15" t="n">
        <v>22.4623174086286</v>
      </c>
      <c r="V18" s="12" t="n">
        <f aca="false">U18/(1+$C$5)^$D18</f>
        <v>20.0556405434184</v>
      </c>
      <c r="X18" s="15" t="n">
        <v>19.7372640964419</v>
      </c>
      <c r="Y18" s="12" t="n">
        <f aca="false">X18/(1+$C$5)^$D18</f>
        <v>17.622557228966</v>
      </c>
    </row>
    <row r="19" customFormat="false" ht="15" hidden="false" customHeight="false" outlineLevel="0" collapsed="false">
      <c r="C19" s="31"/>
      <c r="D19" s="0" t="n">
        <f aca="false">D18+1</f>
        <v>2</v>
      </c>
      <c r="E19" s="1" t="n">
        <f aca="false">E18</f>
        <v>34.664</v>
      </c>
      <c r="J19" s="12" t="n">
        <f aca="false">E19/(1+$C$5)^$D19</f>
        <v>27.6339285714286</v>
      </c>
      <c r="K19" s="12" t="n">
        <f aca="false">F19/(1+$C$5)^$D19</f>
        <v>0</v>
      </c>
      <c r="L19" s="12" t="n">
        <f aca="false">G19/(1+$C$5)^$D19</f>
        <v>0</v>
      </c>
      <c r="M19" s="12" t="n">
        <f aca="false">H19/(1+$C$5)^$D19</f>
        <v>0</v>
      </c>
      <c r="O19" s="12" t="n">
        <f aca="false">O18</f>
        <v>34.6637113265828</v>
      </c>
      <c r="P19" s="12" t="n">
        <f aca="false">O19/(1+$C$5)^$D19</f>
        <v>27.6336984427478</v>
      </c>
      <c r="R19" s="12" t="n">
        <f aca="false">R18</f>
        <v>26.5967140511108</v>
      </c>
      <c r="S19" s="12" t="n">
        <f aca="false">R19/(1+$C$5)^$D19</f>
        <v>21.2027376045207</v>
      </c>
      <c r="U19" s="12" t="n">
        <f aca="false">U18</f>
        <v>22.4623174086286</v>
      </c>
      <c r="V19" s="12" t="n">
        <f aca="false">U19/(1+$C$5)^$D19</f>
        <v>17.9068219137664</v>
      </c>
      <c r="X19" s="12" t="n">
        <f aca="false">X18</f>
        <v>19.7372640964419</v>
      </c>
      <c r="Y19" s="12" t="n">
        <f aca="false">X19/(1+$C$5)^$D19</f>
        <v>15.7344260972911</v>
      </c>
    </row>
    <row r="20" customFormat="false" ht="15" hidden="false" customHeight="false" outlineLevel="0" collapsed="false">
      <c r="D20" s="0" t="n">
        <f aca="false">D19+1</f>
        <v>3</v>
      </c>
      <c r="E20" s="1" t="n">
        <f aca="false">E19</f>
        <v>34.664</v>
      </c>
      <c r="F20" s="1" t="n">
        <f aca="false">F18</f>
        <v>50.344</v>
      </c>
      <c r="J20" s="12" t="n">
        <f aca="false">E20/(1+$C$5)^$D20</f>
        <v>24.6731505102041</v>
      </c>
      <c r="K20" s="12" t="n">
        <f aca="false">F20/(1+$C$5)^$D20</f>
        <v>35.8338647959184</v>
      </c>
      <c r="L20" s="12" t="n">
        <f aca="false">G20/(1+$C$5)^$D20</f>
        <v>0</v>
      </c>
      <c r="M20" s="12" t="n">
        <f aca="false">H20/(1+$C$5)^$D20</f>
        <v>0</v>
      </c>
      <c r="O20" s="12" t="n">
        <f aca="false">O19</f>
        <v>34.6637113265828</v>
      </c>
      <c r="P20" s="12" t="n">
        <f aca="false">O20/(1+$C$5)^$D20</f>
        <v>24.6729450381676</v>
      </c>
      <c r="R20" s="12" t="n">
        <f aca="false">R19</f>
        <v>26.5967140511108</v>
      </c>
      <c r="S20" s="12" t="n">
        <f aca="false">R20/(1+$C$5)^$D20</f>
        <v>18.9310157183221</v>
      </c>
      <c r="U20" s="12" t="n">
        <f aca="false">U19</f>
        <v>22.4623174086286</v>
      </c>
      <c r="V20" s="12" t="n">
        <f aca="false">U20/(1+$C$5)^$D20</f>
        <v>15.9882338515771</v>
      </c>
      <c r="X20" s="12" t="n">
        <f aca="false">X19</f>
        <v>19.7372640964419</v>
      </c>
      <c r="Y20" s="12" t="n">
        <f aca="false">X20/(1+$C$5)^$D20</f>
        <v>14.0485947297242</v>
      </c>
    </row>
    <row r="21" customFormat="false" ht="15" hidden="false" customHeight="false" outlineLevel="0" collapsed="false">
      <c r="D21" s="0" t="n">
        <f aca="false">D20+1</f>
        <v>4</v>
      </c>
      <c r="E21" s="1" t="n">
        <f aca="false">E20</f>
        <v>34.664</v>
      </c>
      <c r="G21" s="1" t="n">
        <f aca="false">G18</f>
        <v>60.424</v>
      </c>
      <c r="J21" s="12" t="n">
        <f aca="false">E21/(1+$C$5)^$D21</f>
        <v>22.0295986698251</v>
      </c>
      <c r="K21" s="12" t="n">
        <f aca="false">F21/(1+$C$5)^$D21</f>
        <v>0</v>
      </c>
      <c r="L21" s="12" t="n">
        <f aca="false">G21/(1+$C$5)^$D21</f>
        <v>38.4005443695335</v>
      </c>
      <c r="M21" s="12" t="n">
        <f aca="false">H21/(1+$C$5)^$D21</f>
        <v>0</v>
      </c>
      <c r="N21" s="31"/>
      <c r="O21" s="12" t="n">
        <f aca="false">O20</f>
        <v>34.6637113265828</v>
      </c>
      <c r="P21" s="12" t="n">
        <f aca="false">O21/(1+$C$5)^$D21</f>
        <v>22.0294152126497</v>
      </c>
      <c r="R21" s="12" t="n">
        <f aca="false">R20</f>
        <v>26.5967140511108</v>
      </c>
      <c r="S21" s="12" t="n">
        <f aca="false">R21/(1+$C$5)^$D21</f>
        <v>16.9026926056447</v>
      </c>
      <c r="U21" s="12" t="n">
        <f aca="false">U20</f>
        <v>22.4623174086286</v>
      </c>
      <c r="V21" s="12" t="n">
        <f aca="false">U21/(1+$C$5)^$D21</f>
        <v>14.275208796051</v>
      </c>
      <c r="X21" s="12" t="n">
        <f aca="false">X20</f>
        <v>19.7372640964419</v>
      </c>
      <c r="Y21" s="12" t="n">
        <f aca="false">X21/(1+$C$5)^$D21</f>
        <v>12.5433881515395</v>
      </c>
    </row>
    <row r="22" customFormat="false" ht="15" hidden="false" customHeight="false" outlineLevel="0" collapsed="false">
      <c r="D22" s="0" t="n">
        <f aca="false">D21+1</f>
        <v>5</v>
      </c>
      <c r="E22" s="1" t="n">
        <f aca="false">E21</f>
        <v>34.664</v>
      </c>
      <c r="F22" s="1" t="n">
        <f aca="false">F18</f>
        <v>50.344</v>
      </c>
      <c r="H22" s="1" t="n">
        <f aca="false">H18</f>
        <v>67.144</v>
      </c>
      <c r="J22" s="12" t="n">
        <f aca="false">E22/(1+$C$5)^$D22</f>
        <v>19.6692845266295</v>
      </c>
      <c r="K22" s="12" t="n">
        <f aca="false">F22/(1+$C$5)^$D22</f>
        <v>28.5665376242972</v>
      </c>
      <c r="L22" s="12" t="n">
        <f aca="false">G22/(1+$C$5)^$D22</f>
        <v>0</v>
      </c>
      <c r="M22" s="12" t="n">
        <f aca="false">H22/(1+$C$5)^$D22</f>
        <v>38.0993088003696</v>
      </c>
      <c r="O22" s="12" t="n">
        <f aca="false">O21</f>
        <v>34.6637113265828</v>
      </c>
      <c r="P22" s="12" t="n">
        <f aca="false">O22/(1+$C$5)^$D22</f>
        <v>19.6691207255801</v>
      </c>
      <c r="R22" s="12" t="n">
        <f aca="false">R21</f>
        <v>26.5967140511108</v>
      </c>
      <c r="S22" s="12" t="n">
        <f aca="false">R22/(1+$C$5)^$D22</f>
        <v>15.0916898264685</v>
      </c>
      <c r="U22" s="12" t="n">
        <f aca="false">U21</f>
        <v>22.4623174086286</v>
      </c>
      <c r="V22" s="12" t="n">
        <f aca="false">U22/(1+$C$5)^$D22</f>
        <v>12.7457221393313</v>
      </c>
      <c r="X22" s="12" t="n">
        <f aca="false">X21</f>
        <v>19.7372640964419</v>
      </c>
      <c r="Y22" s="12" t="n">
        <f aca="false">X22/(1+$C$5)^$D22</f>
        <v>11.1994537067317</v>
      </c>
    </row>
    <row r="23" customFormat="false" ht="15" hidden="false" customHeight="false" outlineLevel="0" collapsed="false">
      <c r="D23" s="0" t="n">
        <f aca="false">D22+1</f>
        <v>6</v>
      </c>
      <c r="E23" s="1" t="n">
        <f aca="false">E22</f>
        <v>34.664</v>
      </c>
      <c r="J23" s="12" t="n">
        <f aca="false">E23/(1+$C$5)^$D23</f>
        <v>17.5618611844906</v>
      </c>
      <c r="K23" s="12" t="n">
        <f aca="false">F23/(1+$C$5)^$D23</f>
        <v>0</v>
      </c>
      <c r="L23" s="12" t="n">
        <f aca="false">G23/(1+$C$5)^$D23</f>
        <v>0</v>
      </c>
      <c r="M23" s="12" t="n">
        <f aca="false">H23/(1+$C$5)^$D23</f>
        <v>0</v>
      </c>
      <c r="O23" s="12" t="n">
        <f aca="false">O22</f>
        <v>34.6637113265828</v>
      </c>
      <c r="P23" s="12" t="n">
        <f aca="false">O23/(1+$C$5)^$D23</f>
        <v>17.5617149335536</v>
      </c>
      <c r="R23" s="12" t="n">
        <f aca="false">R22</f>
        <v>26.5967140511108</v>
      </c>
      <c r="S23" s="12" t="n">
        <f aca="false">R23/(1+$C$5)^$D23</f>
        <v>13.4747230593469</v>
      </c>
      <c r="U23" s="12" t="n">
        <f aca="false">U22</f>
        <v>22.4623174086286</v>
      </c>
      <c r="V23" s="12" t="n">
        <f aca="false">U23/(1+$C$5)^$D23</f>
        <v>11.3801090529743</v>
      </c>
      <c r="X23" s="12" t="n">
        <f aca="false">X22</f>
        <v>19.7372640964419</v>
      </c>
      <c r="Y23" s="12" t="n">
        <f aca="false">X23/(1+$C$5)^$D23</f>
        <v>9.99951223815326</v>
      </c>
    </row>
    <row r="24" customFormat="false" ht="15" hidden="false" customHeight="false" outlineLevel="0" collapsed="false">
      <c r="D24" s="0" t="n">
        <f aca="false">D23+1</f>
        <v>7</v>
      </c>
      <c r="E24" s="1" t="n">
        <f aca="false">E23</f>
        <v>34.664</v>
      </c>
      <c r="F24" s="1" t="n">
        <f aca="false">F18</f>
        <v>50.344</v>
      </c>
      <c r="G24" s="1" t="n">
        <f aca="false">G18</f>
        <v>60.424</v>
      </c>
      <c r="J24" s="12" t="n">
        <f aca="false">E24/(1+$C$5)^$D24</f>
        <v>15.6802332004381</v>
      </c>
      <c r="K24" s="12" t="n">
        <f aca="false">F24/(1+$C$5)^$D24</f>
        <v>22.7730688969206</v>
      </c>
      <c r="L24" s="12" t="n">
        <f aca="false">G24/(1+$C$5)^$D24</f>
        <v>27.3327489875164</v>
      </c>
      <c r="M24" s="12" t="n">
        <f aca="false">H24/(1+$C$5)^$D24</f>
        <v>0</v>
      </c>
      <c r="O24" s="12" t="n">
        <f aca="false">O23</f>
        <v>34.6637113265828</v>
      </c>
      <c r="P24" s="12" t="n">
        <f aca="false">O24/(1+$C$5)^$D24</f>
        <v>15.6801026192443</v>
      </c>
      <c r="R24" s="12" t="n">
        <f aca="false">R23</f>
        <v>26.5967140511108</v>
      </c>
      <c r="S24" s="12" t="n">
        <f aca="false">R24/(1+$C$5)^$D24</f>
        <v>12.0310027315597</v>
      </c>
      <c r="U24" s="12" t="n">
        <f aca="false">U23</f>
        <v>22.4623174086286</v>
      </c>
      <c r="V24" s="12" t="n">
        <f aca="false">U24/(1+$C$5)^$D24</f>
        <v>10.1608116544414</v>
      </c>
      <c r="X24" s="12" t="n">
        <f aca="false">X23</f>
        <v>19.7372640964419</v>
      </c>
      <c r="Y24" s="12" t="n">
        <f aca="false">X24/(1+$C$5)^$D24</f>
        <v>8.92813592692255</v>
      </c>
    </row>
    <row r="25" customFormat="false" ht="15" hidden="false" customHeight="false" outlineLevel="0" collapsed="false">
      <c r="D25" s="0" t="n">
        <f aca="false">D24+1</f>
        <v>8</v>
      </c>
      <c r="E25" s="1" t="n">
        <f aca="false">E24</f>
        <v>34.664</v>
      </c>
      <c r="J25" s="12" t="n">
        <f aca="false">E25/(1+$C$5)^$D25</f>
        <v>14.0002082146769</v>
      </c>
      <c r="K25" s="12" t="n">
        <f aca="false">F25/(1+$C$5)^$D25</f>
        <v>0</v>
      </c>
      <c r="L25" s="12" t="n">
        <f aca="false">G25/(1+$C$5)^$D25</f>
        <v>0</v>
      </c>
      <c r="M25" s="12" t="n">
        <f aca="false">H25/(1+$C$5)^$D25</f>
        <v>0</v>
      </c>
      <c r="N25" s="31"/>
      <c r="O25" s="12" t="n">
        <f aca="false">O24</f>
        <v>34.6637113265828</v>
      </c>
      <c r="P25" s="12" t="n">
        <f aca="false">O25/(1+$C$5)^$D25</f>
        <v>14.0000916243253</v>
      </c>
      <c r="R25" s="12" t="n">
        <f aca="false">R24</f>
        <v>26.5967140511108</v>
      </c>
      <c r="S25" s="12" t="n">
        <f aca="false">R25/(1+$C$5)^$D25</f>
        <v>10.7419667246069</v>
      </c>
      <c r="U25" s="12" t="n">
        <f aca="false">U24</f>
        <v>22.4623174086286</v>
      </c>
      <c r="V25" s="12" t="n">
        <f aca="false">U25/(1+$C$5)^$D25</f>
        <v>9.07215326289409</v>
      </c>
      <c r="X25" s="12" t="n">
        <f aca="false">X24</f>
        <v>19.7372640964419</v>
      </c>
      <c r="Y25" s="12" t="n">
        <f aca="false">X25/(1+$C$5)^$D25</f>
        <v>7.97154993475228</v>
      </c>
    </row>
    <row r="26" customFormat="false" ht="15" hidden="false" customHeight="false" outlineLevel="0" collapsed="false">
      <c r="D26" s="0" t="n">
        <f aca="false">D25+1</f>
        <v>9</v>
      </c>
      <c r="E26" s="1" t="n">
        <f aca="false">E25</f>
        <v>34.664</v>
      </c>
      <c r="F26" s="1" t="n">
        <f aca="false">F18</f>
        <v>50.344</v>
      </c>
      <c r="H26" s="1" t="n">
        <f aca="false">H18</f>
        <v>67.144</v>
      </c>
      <c r="J26" s="12" t="n">
        <f aca="false">E26/(1+$C$5)^$D26</f>
        <v>12.5001859059615</v>
      </c>
      <c r="K26" s="12" t="n">
        <f aca="false">F26/(1+$C$5)^$D26</f>
        <v>18.1545510976726</v>
      </c>
      <c r="L26" s="12" t="n">
        <f aca="false">G26/(1+$C$5)^$D26</f>
        <v>0</v>
      </c>
      <c r="M26" s="12" t="n">
        <f aca="false">H26/(1+$C$5)^$D26</f>
        <v>24.2127995173632</v>
      </c>
      <c r="O26" s="12" t="n">
        <f aca="false">O25</f>
        <v>34.6637113265828</v>
      </c>
      <c r="P26" s="12" t="n">
        <f aca="false">O26/(1+$C$5)^$D26</f>
        <v>12.5000818074333</v>
      </c>
      <c r="R26" s="12" t="n">
        <f aca="false">R25</f>
        <v>26.5967140511108</v>
      </c>
      <c r="S26" s="12" t="n">
        <f aca="false">R26/(1+$C$5)^$D26</f>
        <v>9.591041718399</v>
      </c>
      <c r="U26" s="12" t="n">
        <f aca="false">U25</f>
        <v>22.4623174086286</v>
      </c>
      <c r="V26" s="12" t="n">
        <f aca="false">U26/(1+$C$5)^$D26</f>
        <v>8.10013684186972</v>
      </c>
      <c r="X26" s="12" t="n">
        <f aca="false">X25</f>
        <v>19.7372640964419</v>
      </c>
      <c r="Y26" s="12" t="n">
        <f aca="false">X26/(1+$C$5)^$D26</f>
        <v>7.11745529888596</v>
      </c>
    </row>
    <row r="27" customFormat="false" ht="15" hidden="false" customHeight="false" outlineLevel="0" collapsed="false">
      <c r="D27" s="0" t="n">
        <f aca="false">D26+1</f>
        <v>10</v>
      </c>
      <c r="E27" s="1" t="n">
        <f aca="false">E26</f>
        <v>34.664</v>
      </c>
      <c r="G27" s="1" t="n">
        <f aca="false">G18</f>
        <v>60.424</v>
      </c>
      <c r="J27" s="12" t="n">
        <f aca="false">E27/(1+$C$5)^$D27</f>
        <v>11.1608802731799</v>
      </c>
      <c r="K27" s="12" t="n">
        <f aca="false">F27/(1+$C$5)^$D27</f>
        <v>0</v>
      </c>
      <c r="L27" s="12" t="n">
        <f aca="false">G27/(1+$C$5)^$D27</f>
        <v>19.4549108477562</v>
      </c>
      <c r="M27" s="12" t="n">
        <f aca="false">H27/(1+$C$5)^$D27</f>
        <v>0</v>
      </c>
      <c r="O27" s="12" t="n">
        <f aca="false">O26</f>
        <v>34.6637113265828</v>
      </c>
      <c r="P27" s="12" t="n">
        <f aca="false">O27/(1+$C$5)^$D27</f>
        <v>11.1607873280654</v>
      </c>
      <c r="R27" s="12" t="n">
        <f aca="false">R26</f>
        <v>26.5967140511108</v>
      </c>
      <c r="S27" s="12" t="n">
        <f aca="false">R27/(1+$C$5)^$D27</f>
        <v>8.56343010571339</v>
      </c>
      <c r="U27" s="12" t="n">
        <f aca="false">U26</f>
        <v>22.4623174086286</v>
      </c>
      <c r="V27" s="12" t="n">
        <f aca="false">U27/(1+$C$5)^$D27</f>
        <v>7.23226503738368</v>
      </c>
      <c r="X27" s="12" t="n">
        <f aca="false">X26</f>
        <v>19.7372640964419</v>
      </c>
      <c r="Y27" s="12" t="n">
        <f aca="false">X27/(1+$C$5)^$D27</f>
        <v>6.35487080257675</v>
      </c>
    </row>
    <row r="28" customFormat="false" ht="15" hidden="false" customHeight="false" outlineLevel="0" collapsed="false">
      <c r="D28" s="0" t="n">
        <f aca="false">D27+1</f>
        <v>11</v>
      </c>
      <c r="E28" s="1" t="n">
        <f aca="false">E27</f>
        <v>34.664</v>
      </c>
      <c r="F28" s="1" t="n">
        <f aca="false">F18</f>
        <v>50.344</v>
      </c>
      <c r="J28" s="12" t="n">
        <f aca="false">E28/(1+$C$5)^$D28</f>
        <v>9.96507167248204</v>
      </c>
      <c r="K28" s="12" t="n">
        <f aca="false">F28/(1+$C$5)^$D28</f>
        <v>14.4726969847518</v>
      </c>
      <c r="L28" s="12" t="n">
        <f aca="false">G28/(1+$C$5)^$D28</f>
        <v>0</v>
      </c>
      <c r="M28" s="12" t="n">
        <f aca="false">H28/(1+$C$5)^$D28</f>
        <v>0</v>
      </c>
      <c r="O28" s="12" t="n">
        <f aca="false">O27</f>
        <v>34.6637113265828</v>
      </c>
      <c r="P28" s="12" t="n">
        <f aca="false">O28/(1+$C$5)^$D28</f>
        <v>9.9649886857727</v>
      </c>
      <c r="R28" s="12" t="n">
        <f aca="false">R27</f>
        <v>26.5967140511108</v>
      </c>
      <c r="S28" s="12" t="n">
        <f aca="false">R28/(1+$C$5)^$D28</f>
        <v>7.6459197372441</v>
      </c>
      <c r="U28" s="12" t="n">
        <f aca="false">U27</f>
        <v>22.4623174086286</v>
      </c>
      <c r="V28" s="12" t="n">
        <f aca="false">U28/(1+$C$5)^$D28</f>
        <v>6.457379497664</v>
      </c>
      <c r="X28" s="12" t="n">
        <f aca="false">X27</f>
        <v>19.7372640964419</v>
      </c>
      <c r="Y28" s="12" t="n">
        <f aca="false">X28/(1+$C$5)^$D28</f>
        <v>5.67399178801496</v>
      </c>
    </row>
    <row r="29" customFormat="false" ht="15" hidden="false" customHeight="false" outlineLevel="0" collapsed="false">
      <c r="D29" s="0" t="n">
        <f aca="false">D28+1</f>
        <v>12</v>
      </c>
      <c r="E29" s="1" t="n">
        <f aca="false">E28</f>
        <v>34.664</v>
      </c>
      <c r="J29" s="12" t="n">
        <f aca="false">E29/(1+$C$5)^$D29</f>
        <v>8.89738542185896</v>
      </c>
      <c r="K29" s="12" t="n">
        <f aca="false">F29/(1+$C$5)^$D29</f>
        <v>0</v>
      </c>
      <c r="L29" s="12" t="n">
        <f aca="false">G29/(1+$C$5)^$D29</f>
        <v>0</v>
      </c>
      <c r="M29" s="12" t="n">
        <f aca="false">H29/(1+$C$5)^$D29</f>
        <v>0</v>
      </c>
      <c r="N29" s="31"/>
      <c r="O29" s="12" t="n">
        <f aca="false">O28</f>
        <v>34.6637113265828</v>
      </c>
      <c r="P29" s="12" t="n">
        <f aca="false">O29/(1+$C$5)^$D29</f>
        <v>8.89731132658277</v>
      </c>
      <c r="R29" s="12" t="n">
        <f aca="false">R28</f>
        <v>26.5967140511108</v>
      </c>
      <c r="S29" s="12" t="n">
        <f aca="false">R29/(1+$C$5)^$D29</f>
        <v>6.8267140511108</v>
      </c>
      <c r="U29" s="12" t="n">
        <f aca="false">U28</f>
        <v>22.4623174086286</v>
      </c>
      <c r="V29" s="12" t="n">
        <f aca="false">U29/(1+$C$5)^$D29</f>
        <v>5.76551740862857</v>
      </c>
      <c r="X29" s="12" t="n">
        <f aca="false">X28</f>
        <v>19.7372640964419</v>
      </c>
      <c r="Y29" s="12" t="n">
        <f aca="false">X29/(1+$C$5)^$D29</f>
        <v>5.06606409644192</v>
      </c>
    </row>
    <row r="30" customFormat="false" ht="15" hidden="false" customHeight="false" outlineLevel="0" collapsed="false">
      <c r="D30" s="0" t="n">
        <f aca="false">D29+1</f>
        <v>13</v>
      </c>
    </row>
    <row r="31" customFormat="false" ht="15" hidden="false" customHeight="false" outlineLevel="0" collapsed="false">
      <c r="E31" s="31" t="n">
        <f aca="false">SUM(E18:E29)</f>
        <v>415.968</v>
      </c>
      <c r="F31" s="31" t="n">
        <f aca="false">SUM(F18:F29)</f>
        <v>302.064</v>
      </c>
      <c r="G31" s="31" t="n">
        <f aca="false">SUM(G18:G29)</f>
        <v>241.696</v>
      </c>
      <c r="H31" s="31" t="n">
        <f aca="false">SUM(H18:H29)</f>
        <v>201.432</v>
      </c>
      <c r="J31" s="31" t="n">
        <f aca="false">SUM(J18:J29)</f>
        <v>214.721788151175</v>
      </c>
      <c r="K31" s="31" t="n">
        <f aca="false">SUM(K18:K29)</f>
        <v>164.750719399561</v>
      </c>
      <c r="L31" s="31" t="n">
        <f aca="false">SUM(L18:L29)</f>
        <v>139.138204204806</v>
      </c>
      <c r="M31" s="31" t="n">
        <f aca="false">SUM(M18:M29)</f>
        <v>122.262108317733</v>
      </c>
      <c r="O31" s="31" t="n">
        <f aca="false">SUM(O18:O29)</f>
        <v>415.964535918993</v>
      </c>
      <c r="P31" s="31" t="n">
        <f aca="false">SUM(P18:P29)</f>
        <v>214.72</v>
      </c>
      <c r="R31" s="31" t="n">
        <f aca="false">SUM(R18:R29)</f>
        <v>319.16056861333</v>
      </c>
      <c r="S31" s="31" t="n">
        <f aca="false">SUM(S18:S29)</f>
        <v>164.75</v>
      </c>
      <c r="U31" s="31" t="n">
        <f aca="false">SUM(U18:U29)</f>
        <v>269.547808903543</v>
      </c>
      <c r="V31" s="31" t="n">
        <f aca="false">SUM(V18:V29)</f>
        <v>139.14</v>
      </c>
      <c r="X31" s="31" t="n">
        <f aca="false">SUM(X18:X29)</f>
        <v>236.847169157303</v>
      </c>
      <c r="Y31" s="31" t="n">
        <f aca="false">SUM(Y18:Y29)</f>
        <v>122.26</v>
      </c>
    </row>
    <row r="33" customFormat="false" ht="15" hidden="false" customHeight="false" outlineLevel="0" collapsed="false">
      <c r="E33" s="31"/>
      <c r="F33" s="31"/>
      <c r="G33" s="31"/>
      <c r="H33" s="31"/>
    </row>
    <row r="34" customFormat="false" ht="15" hidden="false" customHeight="false" outlineLevel="0" collapsed="false">
      <c r="O34" s="65" t="s">
        <v>291</v>
      </c>
    </row>
    <row r="35" customFormat="false" ht="15" hidden="false" customHeight="false" outlineLevel="0" collapsed="false">
      <c r="O35" s="65" t="s">
        <v>292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5.29"/>
    <col collapsed="false" customWidth="true" hidden="false" outlineLevel="0" max="3" min="3" style="0" width="8.86"/>
    <col collapsed="false" customWidth="true" hidden="false" outlineLevel="0" max="4" min="4" style="0" width="3.86"/>
    <col collapsed="false" customWidth="true" hidden="false" outlineLevel="0" max="5" min="5" style="0" width="10.29"/>
    <col collapsed="false" customWidth="true" hidden="false" outlineLevel="0" max="6" min="6" style="0" width="11.43"/>
    <col collapsed="false" customWidth="true" hidden="false" outlineLevel="0" max="7" min="7" style="0" width="11.29"/>
    <col collapsed="false" customWidth="true" hidden="false" outlineLevel="0" max="8" min="8" style="0" width="4.14"/>
    <col collapsed="false" customWidth="true" hidden="false" outlineLevel="0" max="10" min="9" style="0" width="17.71"/>
    <col collapsed="false" customWidth="true" hidden="false" outlineLevel="0" max="11" min="11" style="0" width="4"/>
  </cols>
  <sheetData>
    <row r="1" customFormat="false" ht="15" hidden="false" customHeight="false" outlineLevel="0" collapsed="false">
      <c r="A1" s="29" t="s">
        <v>293</v>
      </c>
    </row>
    <row r="2" customFormat="false" ht="15" hidden="false" customHeight="false" outlineLevel="0" collapsed="false">
      <c r="A2" s="29"/>
    </row>
    <row r="3" customFormat="false" ht="15" hidden="false" customHeight="false" outlineLevel="0" collapsed="false">
      <c r="B3" s="99" t="s">
        <v>43</v>
      </c>
      <c r="C3" s="5"/>
    </row>
    <row r="5" customFormat="false" ht="15" hidden="false" customHeight="false" outlineLevel="0" collapsed="false">
      <c r="B5" s="0" t="s">
        <v>0</v>
      </c>
      <c r="C5" s="100" t="n">
        <v>0.15</v>
      </c>
    </row>
    <row r="7" customFormat="false" ht="15" hidden="false" customHeight="false" outlineLevel="0" collapsed="false">
      <c r="E7" s="0" t="s">
        <v>283</v>
      </c>
      <c r="F7" s="0" t="s">
        <v>284</v>
      </c>
      <c r="G7" s="0" t="s">
        <v>285</v>
      </c>
    </row>
    <row r="8" customFormat="false" ht="15" hidden="false" customHeight="false" outlineLevel="0" collapsed="false">
      <c r="B8" s="0" t="s">
        <v>74</v>
      </c>
      <c r="E8" s="108" t="n">
        <v>1000</v>
      </c>
      <c r="F8" s="108" t="n">
        <v>1500</v>
      </c>
      <c r="G8" s="108" t="n">
        <v>2000</v>
      </c>
    </row>
    <row r="9" customFormat="false" ht="15" hidden="false" customHeight="false" outlineLevel="0" collapsed="false">
      <c r="B9" s="0" t="s">
        <v>10</v>
      </c>
      <c r="E9" s="108"/>
      <c r="F9" s="108" t="n">
        <v>20</v>
      </c>
      <c r="G9" s="108" t="n">
        <v>5</v>
      </c>
    </row>
    <row r="11" customFormat="false" ht="15" hidden="false" customHeight="false" outlineLevel="0" collapsed="false">
      <c r="B11" s="0" t="s">
        <v>245</v>
      </c>
      <c r="E11" s="47" t="e">
        <f aca="false">$C5*((1+$C5)^E9)/((1+$C5)^E9-1)</f>
        <v>#DIV/0!</v>
      </c>
      <c r="F11" s="47" t="n">
        <f aca="false">$C5*((1+$C5)^F9)/((1+$C5)^F9-1)</f>
        <v>0.159761470405744</v>
      </c>
      <c r="G11" s="47" t="n">
        <f aca="false">$C5*((1+$C5)^G9)/((1+$C5)^G9-1)</f>
        <v>0.298315552461528</v>
      </c>
    </row>
    <row r="13" customFormat="false" ht="15" hidden="false" customHeight="false" outlineLevel="0" collapsed="false">
      <c r="B13" s="0" t="s">
        <v>263</v>
      </c>
      <c r="D13" s="78"/>
      <c r="E13" s="12" t="n">
        <f aca="false">C5*E8</f>
        <v>150</v>
      </c>
      <c r="F13" s="12" t="n">
        <f aca="false">F11*F8</f>
        <v>239.642205608616</v>
      </c>
      <c r="G13" s="12" t="n">
        <f aca="false">G11*G8</f>
        <v>596.631104923057</v>
      </c>
    </row>
    <row r="15" customFormat="false" ht="15" hidden="false" customHeight="false" outlineLevel="0" collapsed="false">
      <c r="B15" s="0" t="s">
        <v>294</v>
      </c>
      <c r="C15" s="12"/>
      <c r="E15" s="108" t="n">
        <v>200</v>
      </c>
      <c r="F15" s="108" t="n">
        <v>276.2</v>
      </c>
      <c r="G15" s="108" t="n">
        <v>654.8</v>
      </c>
    </row>
    <row r="17" customFormat="false" ht="15" hidden="false" customHeight="false" outlineLevel="0" collapsed="false">
      <c r="B17" s="0" t="s">
        <v>295</v>
      </c>
      <c r="C17" s="12"/>
      <c r="E17" s="31" t="n">
        <f aca="false">E15-E13</f>
        <v>50</v>
      </c>
      <c r="F17" s="31" t="n">
        <f aca="false">F15-F13</f>
        <v>36.5577943913841</v>
      </c>
      <c r="G17" s="110" t="n">
        <f aca="false">G15-G13</f>
        <v>58.1688950769432</v>
      </c>
    </row>
    <row r="19" customFormat="false" ht="15" hidden="false" customHeight="false" outlineLevel="0" collapsed="false">
      <c r="B19" s="0" t="s">
        <v>296</v>
      </c>
      <c r="C19" s="31"/>
    </row>
    <row r="20" customFormat="false" ht="15" hidden="false" customHeight="false" outlineLevel="0" collapsed="false">
      <c r="B20" s="0" t="s">
        <v>297</v>
      </c>
    </row>
    <row r="21" customFormat="false" ht="15" hidden="false" customHeight="false" outlineLevel="0" collapsed="false">
      <c r="B21" s="0" t="s">
        <v>298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X19" activeCellId="0" sqref="X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5.29"/>
    <col collapsed="false" customWidth="true" hidden="false" outlineLevel="0" max="3" min="3" style="0" width="8.86"/>
    <col collapsed="false" customWidth="true" hidden="false" outlineLevel="0" max="4" min="4" style="0" width="3.86"/>
    <col collapsed="false" customWidth="true" hidden="false" outlineLevel="0" max="5" min="5" style="0" width="10.29"/>
    <col collapsed="false" customWidth="true" hidden="false" outlineLevel="0" max="6" min="6" style="0" width="11.43"/>
    <col collapsed="false" customWidth="true" hidden="false" outlineLevel="0" max="7" min="7" style="0" width="13.29"/>
    <col collapsed="false" customWidth="true" hidden="false" outlineLevel="0" max="8" min="8" style="0" width="4.14"/>
    <col collapsed="false" customWidth="true" hidden="false" outlineLevel="0" max="10" min="9" style="0" width="17.71"/>
    <col collapsed="false" customWidth="true" hidden="false" outlineLevel="0" max="11" min="11" style="0" width="3.29"/>
    <col collapsed="false" customWidth="true" hidden="false" outlineLevel="0" max="12" min="12" style="0" width="7.86"/>
    <col collapsed="false" customWidth="true" hidden="false" outlineLevel="0" max="13" min="13" style="0" width="12.15"/>
    <col collapsed="false" customWidth="true" hidden="false" outlineLevel="0" max="15" min="15" style="0" width="3.86"/>
    <col collapsed="false" customWidth="true" hidden="false" outlineLevel="0" max="16" min="16" style="0" width="14.29"/>
    <col collapsed="false" customWidth="true" hidden="false" outlineLevel="0" max="17" min="17" style="0" width="15.85"/>
    <col collapsed="false" customWidth="true" hidden="false" outlineLevel="0" max="19" min="19" style="0" width="3.57"/>
    <col collapsed="false" customWidth="true" hidden="false" outlineLevel="0" max="20" min="20" style="0" width="7.86"/>
    <col collapsed="false" customWidth="true" hidden="false" outlineLevel="0" max="21" min="21" style="0" width="12.15"/>
    <col collapsed="false" customWidth="true" hidden="false" outlineLevel="0" max="23" min="23" style="0" width="3.86"/>
    <col collapsed="false" customWidth="true" hidden="false" outlineLevel="0" max="24" min="24" style="0" width="14.29"/>
    <col collapsed="false" customWidth="true" hidden="false" outlineLevel="0" max="25" min="25" style="0" width="15.85"/>
    <col collapsed="false" customWidth="true" hidden="false" outlineLevel="0" max="27" min="27" style="0" width="3.57"/>
    <col collapsed="false" customWidth="true" hidden="false" outlineLevel="0" max="28" min="28" style="0" width="3.71"/>
    <col collapsed="false" customWidth="true" hidden="false" outlineLevel="0" max="29" min="29" style="0" width="35.29"/>
    <col collapsed="false" customWidth="true" hidden="false" outlineLevel="0" max="30" min="30" style="0" width="8.86"/>
    <col collapsed="false" customWidth="true" hidden="false" outlineLevel="0" max="31" min="31" style="0" width="3.86"/>
    <col collapsed="false" customWidth="true" hidden="false" outlineLevel="0" max="32" min="32" style="0" width="10.29"/>
    <col collapsed="false" customWidth="true" hidden="false" outlineLevel="0" max="33" min="33" style="0" width="11.43"/>
  </cols>
  <sheetData>
    <row r="1" customFormat="false" ht="15" hidden="false" customHeight="false" outlineLevel="0" collapsed="false">
      <c r="A1" s="29" t="s">
        <v>299</v>
      </c>
      <c r="AB1" s="29" t="s">
        <v>300</v>
      </c>
    </row>
    <row r="2" customFormat="false" ht="15" hidden="false" customHeight="false" outlineLevel="0" collapsed="false">
      <c r="A2" s="29"/>
    </row>
    <row r="3" customFormat="false" ht="15" hidden="false" customHeight="false" outlineLevel="0" collapsed="false">
      <c r="B3" s="99" t="s">
        <v>43</v>
      </c>
      <c r="C3" s="5"/>
      <c r="AC3" s="99" t="s">
        <v>43</v>
      </c>
      <c r="AD3" s="5"/>
    </row>
    <row r="5" customFormat="false" ht="15" hidden="false" customHeight="false" outlineLevel="0" collapsed="false">
      <c r="B5" s="0" t="s">
        <v>0</v>
      </c>
      <c r="C5" s="100" t="n">
        <v>0.07</v>
      </c>
      <c r="AC5" s="0" t="s">
        <v>0</v>
      </c>
      <c r="AD5" s="100" t="n">
        <v>0.07</v>
      </c>
    </row>
    <row r="7" customFormat="false" ht="15" hidden="false" customHeight="false" outlineLevel="0" collapsed="false">
      <c r="E7" s="5" t="s">
        <v>283</v>
      </c>
      <c r="F7" s="5" t="s">
        <v>284</v>
      </c>
      <c r="L7" s="5" t="s">
        <v>301</v>
      </c>
      <c r="M7" s="5"/>
      <c r="N7" s="5"/>
      <c r="O7" s="32"/>
      <c r="T7" s="5" t="s">
        <v>302</v>
      </c>
      <c r="U7" s="5"/>
      <c r="V7" s="5"/>
      <c r="W7" s="32"/>
      <c r="AF7" s="5" t="s">
        <v>283</v>
      </c>
      <c r="AG7" s="5" t="s">
        <v>284</v>
      </c>
    </row>
    <row r="8" customFormat="false" ht="15" hidden="false" customHeight="false" outlineLevel="0" collapsed="false">
      <c r="B8" s="0" t="s">
        <v>303</v>
      </c>
      <c r="E8" s="108" t="n">
        <v>7000</v>
      </c>
      <c r="F8" s="108" t="n">
        <v>5000</v>
      </c>
      <c r="O8" s="32"/>
      <c r="W8" s="32"/>
      <c r="AC8" s="0" t="s">
        <v>303</v>
      </c>
      <c r="AF8" s="108" t="n">
        <v>7000</v>
      </c>
      <c r="AG8" s="108" t="n">
        <v>5000</v>
      </c>
    </row>
    <row r="9" customFormat="false" ht="30" hidden="false" customHeight="false" outlineLevel="0" collapsed="false">
      <c r="B9" s="0" t="s">
        <v>255</v>
      </c>
      <c r="E9" s="108" t="n">
        <v>-1500</v>
      </c>
      <c r="F9" s="108" t="n">
        <v>-1000</v>
      </c>
      <c r="L9" s="5" t="s">
        <v>2</v>
      </c>
      <c r="M9" s="2" t="s">
        <v>149</v>
      </c>
      <c r="N9" s="2" t="s">
        <v>304</v>
      </c>
      <c r="O9" s="32"/>
      <c r="P9" s="40" t="s">
        <v>136</v>
      </c>
      <c r="Q9" s="111" t="s">
        <v>305</v>
      </c>
      <c r="R9" s="5" t="s">
        <v>306</v>
      </c>
      <c r="T9" s="5" t="s">
        <v>2</v>
      </c>
      <c r="U9" s="2" t="s">
        <v>149</v>
      </c>
      <c r="V9" s="2" t="s">
        <v>304</v>
      </c>
      <c r="W9" s="32"/>
      <c r="X9" s="40" t="s">
        <v>136</v>
      </c>
      <c r="Y9" s="111" t="s">
        <v>305</v>
      </c>
      <c r="Z9" s="5" t="s">
        <v>306</v>
      </c>
      <c r="AC9" s="0" t="s">
        <v>255</v>
      </c>
      <c r="AF9" s="108" t="n">
        <v>-1500</v>
      </c>
      <c r="AG9" s="108" t="n">
        <v>-1000</v>
      </c>
    </row>
    <row r="10" customFormat="false" ht="15" hidden="false" customHeight="false" outlineLevel="0" collapsed="false">
      <c r="B10" s="0" t="s">
        <v>10</v>
      </c>
      <c r="E10" s="108" t="n">
        <v>12</v>
      </c>
      <c r="F10" s="108" t="n">
        <v>6</v>
      </c>
      <c r="L10" s="0" t="n">
        <v>0</v>
      </c>
      <c r="M10" s="0" t="n">
        <v>5000</v>
      </c>
      <c r="O10" s="32"/>
      <c r="P10" s="0" t="n">
        <f aca="false">(M10+N10)/(1+$C$5)^$T10</f>
        <v>5000</v>
      </c>
      <c r="Q10" s="47"/>
      <c r="R10" s="28" t="n">
        <f aca="false">P10*Q$15</f>
        <v>1048.97899879164</v>
      </c>
      <c r="T10" s="0" t="n">
        <v>0</v>
      </c>
      <c r="U10" s="0" t="n">
        <v>5000</v>
      </c>
      <c r="W10" s="32"/>
      <c r="X10" s="0" t="n">
        <f aca="false">(U10+V10)/(1+$C$5)^$T10</f>
        <v>5000</v>
      </c>
      <c r="Y10" s="47"/>
      <c r="Z10" s="28" t="n">
        <f aca="false">X10*Y$15</f>
        <v>629.509943275102</v>
      </c>
      <c r="AC10" s="0" t="s">
        <v>10</v>
      </c>
      <c r="AF10" s="108" t="n">
        <v>12</v>
      </c>
      <c r="AG10" s="112" t="n">
        <v>9</v>
      </c>
      <c r="AH10" s="65" t="s">
        <v>307</v>
      </c>
    </row>
    <row r="11" customFormat="false" ht="15" hidden="false" customHeight="false" outlineLevel="0" collapsed="false">
      <c r="L11" s="0" t="s">
        <v>172</v>
      </c>
      <c r="T11" s="0" t="s">
        <v>172</v>
      </c>
      <c r="AH11" s="0" t="s">
        <v>308</v>
      </c>
    </row>
    <row r="12" customFormat="false" ht="15" hidden="false" customHeight="false" outlineLevel="0" collapsed="false">
      <c r="B12" s="0" t="s">
        <v>245</v>
      </c>
      <c r="E12" s="47" t="n">
        <f aca="false">$C5*((1+$C5)^E10)/((1+$C5)^E10-1)</f>
        <v>0.12590198865502</v>
      </c>
      <c r="F12" s="47" t="n">
        <f aca="false">$C5*((1+$C5)^F10)/((1+$C5)^F10-1)</f>
        <v>0.209795799758328</v>
      </c>
      <c r="L12" s="0" t="n">
        <v>6</v>
      </c>
      <c r="N12" s="0" t="n">
        <v>-1000</v>
      </c>
      <c r="P12" s="28" t="n">
        <f aca="false">(N12)/(1+$C$5)^$T12</f>
        <v>-666.342223816513</v>
      </c>
      <c r="Q12" s="73"/>
      <c r="R12" s="28" t="n">
        <f aca="false">P12*Q$15</f>
        <v>-139.795799758328</v>
      </c>
      <c r="T12" s="0" t="n">
        <v>6</v>
      </c>
      <c r="U12" s="0" t="n">
        <v>5000</v>
      </c>
      <c r="V12" s="0" t="n">
        <v>-1000</v>
      </c>
      <c r="X12" s="28" t="n">
        <f aca="false">(U12)/(1+$C$5)^$T12</f>
        <v>3331.71111908256</v>
      </c>
      <c r="Y12" s="73"/>
      <c r="Z12" s="28" t="n">
        <f aca="false">X12*Y$15</f>
        <v>419.469055516538</v>
      </c>
      <c r="AC12" s="0" t="s">
        <v>245</v>
      </c>
      <c r="AF12" s="47" t="n">
        <f aca="false">$C5*((1+$C5)^AF10)/((1+$C5)^AF10-1)</f>
        <v>0.12590198865502</v>
      </c>
      <c r="AG12" s="47" t="n">
        <f aca="false">$C5*((1+$C5)^AG10)/((1+$C5)^AG10-1)</f>
        <v>0.153486470138422</v>
      </c>
    </row>
    <row r="13" customFormat="false" ht="15" hidden="false" customHeight="false" outlineLevel="0" collapsed="false">
      <c r="P13" s="28"/>
      <c r="Q13" s="73"/>
      <c r="R13" s="28"/>
      <c r="T13" s="0" t="n">
        <v>6</v>
      </c>
      <c r="X13" s="28" t="n">
        <f aca="false">(V12)/(1+$C$5)^$T12</f>
        <v>-666.342223816513</v>
      </c>
      <c r="Y13" s="73"/>
      <c r="Z13" s="28" t="n">
        <f aca="false">X13*Y$15</f>
        <v>-83.8938111033077</v>
      </c>
    </row>
    <row r="14" customFormat="false" ht="15" hidden="false" customHeight="false" outlineLevel="0" collapsed="false">
      <c r="B14" s="0" t="s">
        <v>263</v>
      </c>
      <c r="D14" s="78"/>
      <c r="E14" s="21" t="n">
        <f aca="false">E12*E8</f>
        <v>881.313920585143</v>
      </c>
      <c r="F14" s="21" t="n">
        <f aca="false">F12*F8</f>
        <v>1048.97899879164</v>
      </c>
      <c r="T14" s="0" t="s">
        <v>309</v>
      </c>
      <c r="AC14" s="0" t="s">
        <v>263</v>
      </c>
      <c r="AE14" s="78"/>
      <c r="AF14" s="21" t="n">
        <f aca="false">AF12*AF8</f>
        <v>881.313920585143</v>
      </c>
      <c r="AG14" s="21" t="n">
        <f aca="false">AG12*AG8</f>
        <v>767.43235069211</v>
      </c>
    </row>
    <row r="15" customFormat="false" ht="15" hidden="false" customHeight="false" outlineLevel="0" collapsed="false">
      <c r="P15" s="28"/>
      <c r="Q15" s="73" t="n">
        <f aca="false">$C$5*((1+$C$5)^L12)/((1+$C$5)^L12-1)</f>
        <v>0.209795799758328</v>
      </c>
      <c r="R15" s="28"/>
      <c r="T15" s="0" t="n">
        <v>12</v>
      </c>
      <c r="V15" s="0" t="n">
        <v>-1000</v>
      </c>
      <c r="X15" s="28" t="n">
        <f aca="false">(U15+V15)/(1+$C$5)^$T15</f>
        <v>-444.011959240735</v>
      </c>
      <c r="Y15" s="73" t="n">
        <f aca="false">$C$5*((1+$C$5)^T15)/((1+$C$5)^T15-1)</f>
        <v>0.12590198865502</v>
      </c>
      <c r="Z15" s="28" t="n">
        <f aca="false">X15*Y15</f>
        <v>-55.9019886550205</v>
      </c>
    </row>
    <row r="16" customFormat="false" ht="15" hidden="false" customHeight="false" outlineLevel="0" collapsed="false">
      <c r="B16" s="0" t="s">
        <v>265</v>
      </c>
      <c r="E16" s="21" t="n">
        <f aca="false">E9/(1+$C5)^E10</f>
        <v>-666.017938861103</v>
      </c>
      <c r="F16" s="21" t="n">
        <f aca="false">F9/(1+$C5)^F10</f>
        <v>-666.342223816513</v>
      </c>
      <c r="AC16" s="0" t="s">
        <v>265</v>
      </c>
      <c r="AF16" s="21" t="n">
        <f aca="false">AF9/(1+$C5)^AF10</f>
        <v>-666.017938861103</v>
      </c>
      <c r="AG16" s="21" t="n">
        <f aca="false">AG9/(1+$C5)^AG10</f>
        <v>-543.933742584148</v>
      </c>
    </row>
    <row r="17" customFormat="false" ht="15" hidden="false" customHeight="false" outlineLevel="0" collapsed="false">
      <c r="B17" s="0" t="s">
        <v>267</v>
      </c>
      <c r="E17" s="21" t="n">
        <f aca="false">E12*E16</f>
        <v>-83.8529829825307</v>
      </c>
      <c r="F17" s="21" t="n">
        <f aca="false">F12*F16</f>
        <v>-139.795799758328</v>
      </c>
      <c r="R17" s="113" t="n">
        <f aca="false">SUM(R10:R15)</f>
        <v>909.183199033313</v>
      </c>
      <c r="Z17" s="113" t="n">
        <f aca="false">SUM(Z10:Z15)</f>
        <v>909.183199033313</v>
      </c>
      <c r="AC17" s="0" t="s">
        <v>267</v>
      </c>
      <c r="AF17" s="21" t="n">
        <f aca="false">AF12*AF16</f>
        <v>-83.8529829825307</v>
      </c>
      <c r="AG17" s="21" t="n">
        <f aca="false">AG12*AG16</f>
        <v>-83.4864701384219</v>
      </c>
    </row>
    <row r="19" customFormat="false" ht="15" hidden="false" customHeight="false" outlineLevel="0" collapsed="false">
      <c r="B19" s="0" t="s">
        <v>310</v>
      </c>
      <c r="C19" s="12"/>
      <c r="E19" s="24" t="n">
        <f aca="false">E14+E17</f>
        <v>797.460937602613</v>
      </c>
      <c r="F19" s="114" t="n">
        <f aca="false">F14+F17</f>
        <v>909.183199033313</v>
      </c>
      <c r="AC19" s="0" t="s">
        <v>310</v>
      </c>
      <c r="AD19" s="12"/>
      <c r="AF19" s="24" t="n">
        <f aca="false">AF14+AF17</f>
        <v>797.460937602613</v>
      </c>
      <c r="AG19" s="114" t="n">
        <f aca="false">AG14+AG17</f>
        <v>683.945880553688</v>
      </c>
    </row>
    <row r="21" customFormat="false" ht="15" hidden="false" customHeight="false" outlineLevel="0" collapsed="false">
      <c r="B21" s="0" t="s">
        <v>311</v>
      </c>
      <c r="AC21" s="0" t="s">
        <v>311</v>
      </c>
    </row>
    <row r="22" customFormat="false" ht="15" hidden="false" customHeight="false" outlineLevel="0" collapsed="false">
      <c r="B22" s="0" t="s">
        <v>312</v>
      </c>
      <c r="E22" s="21" t="n">
        <f aca="false">E12*(E8+E9)</f>
        <v>692.460937602613</v>
      </c>
      <c r="F22" s="21" t="n">
        <f aca="false">F12*(F8+F9)</f>
        <v>839.183199033313</v>
      </c>
      <c r="AC22" s="0" t="s">
        <v>312</v>
      </c>
      <c r="AF22" s="21" t="n">
        <f aca="false">AF12*(AF8+AF9)</f>
        <v>692.460937602613</v>
      </c>
      <c r="AG22" s="21" t="n">
        <f aca="false">AG12*(AG8+AG9)</f>
        <v>613.945880553688</v>
      </c>
    </row>
    <row r="23" customFormat="false" ht="15" hidden="false" customHeight="false" outlineLevel="0" collapsed="false">
      <c r="B23" s="5" t="s">
        <v>313</v>
      </c>
      <c r="C23" s="5"/>
      <c r="D23" s="5"/>
      <c r="E23" s="115" t="n">
        <f aca="false">-E9*$C5</f>
        <v>105</v>
      </c>
      <c r="F23" s="115" t="n">
        <f aca="false">-F9*$C5</f>
        <v>70</v>
      </c>
      <c r="AC23" s="5" t="s">
        <v>313</v>
      </c>
      <c r="AD23" s="5"/>
      <c r="AE23" s="5"/>
      <c r="AF23" s="115" t="n">
        <f aca="false">-AF9*$C5</f>
        <v>105</v>
      </c>
      <c r="AG23" s="115" t="n">
        <f aca="false">-AG9*$C5</f>
        <v>70</v>
      </c>
    </row>
    <row r="24" customFormat="false" ht="15" hidden="false" customHeight="false" outlineLevel="0" collapsed="false">
      <c r="B24" s="0" t="s">
        <v>310</v>
      </c>
      <c r="E24" s="24" t="n">
        <f aca="false">E22+E23</f>
        <v>797.460937602613</v>
      </c>
      <c r="F24" s="24" t="n">
        <f aca="false">F22+F23</f>
        <v>909.183199033313</v>
      </c>
      <c r="AC24" s="0" t="s">
        <v>310</v>
      </c>
      <c r="AF24" s="24" t="n">
        <f aca="false">AF22+AF23</f>
        <v>797.460937602613</v>
      </c>
      <c r="AG24" s="24" t="n">
        <f aca="false">AG22+AG23</f>
        <v>683.945880553688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0" activeCellId="0" sqref="F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5.29"/>
    <col collapsed="false" customWidth="true" hidden="false" outlineLevel="0" max="3" min="3" style="0" width="20.14"/>
    <col collapsed="false" customWidth="true" hidden="false" outlineLevel="0" max="4" min="4" style="0" width="3.86"/>
    <col collapsed="false" customWidth="true" hidden="false" outlineLevel="0" max="5" min="5" style="0" width="13.42"/>
    <col collapsed="false" customWidth="true" hidden="false" outlineLevel="0" max="6" min="6" style="0" width="15.71"/>
    <col collapsed="false" customWidth="true" hidden="false" outlineLevel="0" max="7" min="7" style="0" width="2.71"/>
    <col collapsed="false" customWidth="true" hidden="false" outlineLevel="0" max="8" min="8" style="0" width="17.71"/>
    <col collapsed="false" customWidth="true" hidden="false" outlineLevel="0" max="9" min="9" style="0" width="4"/>
  </cols>
  <sheetData>
    <row r="1" customFormat="false" ht="15" hidden="false" customHeight="false" outlineLevel="0" collapsed="false">
      <c r="A1" s="29" t="s">
        <v>314</v>
      </c>
      <c r="E1" s="0" t="s">
        <v>315</v>
      </c>
    </row>
    <row r="2" customFormat="false" ht="15" hidden="false" customHeight="false" outlineLevel="0" collapsed="false">
      <c r="A2" s="32"/>
    </row>
    <row r="3" customFormat="false" ht="15" hidden="false" customHeight="false" outlineLevel="0" collapsed="false">
      <c r="B3" s="99" t="s">
        <v>316</v>
      </c>
      <c r="C3" s="5"/>
    </row>
    <row r="5" customFormat="false" ht="15" hidden="false" customHeight="false" outlineLevel="0" collapsed="false">
      <c r="B5" s="0" t="s">
        <v>0</v>
      </c>
      <c r="C5" s="100" t="n">
        <v>0.0002</v>
      </c>
    </row>
    <row r="7" customFormat="false" ht="15" hidden="false" customHeight="false" outlineLevel="0" collapsed="false">
      <c r="E7" s="0" t="s">
        <v>283</v>
      </c>
      <c r="F7" s="0" t="s">
        <v>284</v>
      </c>
    </row>
    <row r="8" customFormat="false" ht="15" hidden="false" customHeight="false" outlineLevel="0" collapsed="false">
      <c r="B8" s="0" t="s">
        <v>74</v>
      </c>
      <c r="E8" s="116" t="n">
        <v>5500000</v>
      </c>
      <c r="F8" s="117" t="n">
        <v>5000000</v>
      </c>
      <c r="H8" s="117" t="n">
        <v>5000000</v>
      </c>
    </row>
    <row r="9" customFormat="false" ht="15" hidden="false" customHeight="false" outlineLevel="0" collapsed="false">
      <c r="B9" s="0" t="s">
        <v>317</v>
      </c>
      <c r="E9" s="108" t="s">
        <v>318</v>
      </c>
      <c r="F9" s="118" t="n">
        <v>50</v>
      </c>
    </row>
    <row r="10" customFormat="false" ht="15" hidden="false" customHeight="false" outlineLevel="0" collapsed="false">
      <c r="H10" s="21" t="n">
        <f aca="false">H8/(1+C5)^50</f>
        <v>4950254.11833755</v>
      </c>
      <c r="J10" s="0" t="n">
        <f aca="false">H10/F8</f>
        <v>0.990050823667511</v>
      </c>
    </row>
    <row r="11" customFormat="false" ht="15" hidden="false" customHeight="false" outlineLevel="0" collapsed="false">
      <c r="B11" s="0" t="s">
        <v>245</v>
      </c>
      <c r="E11" s="47"/>
      <c r="F11" s="73" t="n">
        <f aca="false">$C5*((1+$C5)^F9)/((1+$C5)^F9-1)</f>
        <v>0.0201021665830663</v>
      </c>
      <c r="H11" s="21" t="n">
        <f aca="false">H8/(1+C5)^100</f>
        <v>4901003.16722358</v>
      </c>
    </row>
    <row r="12" customFormat="false" ht="15" hidden="false" customHeight="false" outlineLevel="0" collapsed="false">
      <c r="H12" s="21" t="n">
        <f aca="false">H8/(1+C5)^150</f>
        <v>4852242.22250678</v>
      </c>
    </row>
    <row r="13" customFormat="false" ht="15" hidden="false" customHeight="false" outlineLevel="0" collapsed="false">
      <c r="B13" s="0" t="s">
        <v>263</v>
      </c>
      <c r="D13" s="78"/>
      <c r="E13" s="21" t="n">
        <f aca="false">C5*E8</f>
        <v>1100</v>
      </c>
      <c r="F13" s="21" t="n">
        <f aca="false">F11*F8</f>
        <v>100510.832915332</v>
      </c>
    </row>
    <row r="16" customFormat="false" ht="15" hidden="false" customHeight="false" outlineLevel="0" collapsed="false">
      <c r="C16" s="12"/>
      <c r="E16" s="0" t="s">
        <v>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9" activeCellId="0" sqref="H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5.29"/>
    <col collapsed="false" customWidth="true" hidden="false" outlineLevel="0" max="3" min="3" style="0" width="20.14"/>
    <col collapsed="false" customWidth="true" hidden="false" outlineLevel="0" max="4" min="4" style="0" width="3.86"/>
    <col collapsed="false" customWidth="true" hidden="false" outlineLevel="0" max="5" min="5" style="0" width="15.71"/>
    <col collapsed="false" customWidth="true" hidden="false" outlineLevel="0" max="6" min="6" style="0" width="16.43"/>
    <col collapsed="false" customWidth="true" hidden="false" outlineLevel="0" max="8" min="7" style="0" width="17.71"/>
    <col collapsed="false" customWidth="true" hidden="false" outlineLevel="0" max="9" min="9" style="0" width="15.14"/>
  </cols>
  <sheetData>
    <row r="1" customFormat="false" ht="15" hidden="false" customHeight="false" outlineLevel="0" collapsed="false">
      <c r="A1" s="29" t="s">
        <v>320</v>
      </c>
    </row>
    <row r="2" customFormat="false" ht="15" hidden="false" customHeight="false" outlineLevel="0" collapsed="false">
      <c r="A2" s="32"/>
    </row>
    <row r="3" customFormat="false" ht="15" hidden="false" customHeight="false" outlineLevel="0" collapsed="false">
      <c r="E3" s="5" t="s">
        <v>12</v>
      </c>
      <c r="F3" s="5" t="s">
        <v>321</v>
      </c>
      <c r="G3" s="5" t="s">
        <v>322</v>
      </c>
      <c r="H3" s="5" t="s">
        <v>323</v>
      </c>
      <c r="I3" s="5" t="s">
        <v>69</v>
      </c>
    </row>
    <row r="4" customFormat="false" ht="15" hidden="false" customHeight="false" outlineLevel="0" collapsed="false">
      <c r="E4" s="0" t="n">
        <v>0</v>
      </c>
      <c r="I4" s="24" t="n">
        <f aca="false">C7</f>
        <v>2400</v>
      </c>
    </row>
    <row r="5" customFormat="false" ht="15" hidden="false" customHeight="false" outlineLevel="0" collapsed="false">
      <c r="B5" s="0" t="s">
        <v>324</v>
      </c>
      <c r="C5" s="119" t="n">
        <v>0.06</v>
      </c>
      <c r="E5" s="0" t="n">
        <v>1</v>
      </c>
      <c r="F5" s="120" t="n">
        <f aca="false">I4*$C$6</f>
        <v>12</v>
      </c>
      <c r="G5" s="30" t="n">
        <f aca="false">$C$9-F5</f>
        <v>395.029093545857</v>
      </c>
      <c r="H5" s="120" t="n">
        <f aca="false">SUM(F5:G5)</f>
        <v>407.029093545857</v>
      </c>
      <c r="I5" s="31" t="n">
        <f aca="false">I4-G5</f>
        <v>2004.97090645414</v>
      </c>
    </row>
    <row r="6" customFormat="false" ht="15" hidden="false" customHeight="false" outlineLevel="0" collapsed="false">
      <c r="B6" s="0" t="s">
        <v>325</v>
      </c>
      <c r="C6" s="9" t="n">
        <f aca="false">C5/12</f>
        <v>0.005</v>
      </c>
      <c r="E6" s="0" t="n">
        <v>2</v>
      </c>
      <c r="F6" s="120" t="n">
        <f aca="false">I5*$C$6</f>
        <v>10.0248545322707</v>
      </c>
      <c r="G6" s="30" t="n">
        <f aca="false">$C$9-F6</f>
        <v>397.004239013586</v>
      </c>
      <c r="H6" s="120" t="n">
        <f aca="false">SUM(F6:G6)</f>
        <v>407.029093545857</v>
      </c>
      <c r="I6" s="31" t="n">
        <f aca="false">I5-G6</f>
        <v>1607.96666744056</v>
      </c>
    </row>
    <row r="7" customFormat="false" ht="15" hidden="false" customHeight="false" outlineLevel="0" collapsed="false">
      <c r="B7" s="0" t="s">
        <v>122</v>
      </c>
      <c r="C7" s="121" t="n">
        <v>2400</v>
      </c>
      <c r="E7" s="0" t="n">
        <v>3</v>
      </c>
      <c r="F7" s="120" t="n">
        <f aca="false">I6*$C$6</f>
        <v>8.03983333720278</v>
      </c>
      <c r="G7" s="30" t="n">
        <f aca="false">$C$9-F7</f>
        <v>398.989260208654</v>
      </c>
      <c r="H7" s="120" t="n">
        <f aca="false">SUM(F7:G7)</f>
        <v>407.029093545857</v>
      </c>
      <c r="I7" s="31" t="n">
        <f aca="false">I6-G7</f>
        <v>1208.9774072319</v>
      </c>
    </row>
    <row r="8" customFormat="false" ht="15" hidden="false" customHeight="false" outlineLevel="0" collapsed="false">
      <c r="E8" s="0" t="n">
        <v>4</v>
      </c>
      <c r="F8" s="120" t="n">
        <f aca="false">I7*$C$6</f>
        <v>6.04488703615951</v>
      </c>
      <c r="G8" s="30" t="n">
        <f aca="false">$C$9-F8</f>
        <v>400.984206509698</v>
      </c>
      <c r="H8" s="120" t="n">
        <f aca="false">SUM(F8:G8)</f>
        <v>407.029093545857</v>
      </c>
      <c r="I8" s="31" t="n">
        <f aca="false">I7-G8</f>
        <v>807.993200722204</v>
      </c>
    </row>
    <row r="9" customFormat="false" ht="15" hidden="false" customHeight="false" outlineLevel="0" collapsed="false">
      <c r="B9" s="0" t="s">
        <v>326</v>
      </c>
      <c r="C9" s="30" t="n">
        <f aca="false">-PMT(C6,6,C7)</f>
        <v>407.029093545857</v>
      </c>
      <c r="E9" s="0" t="n">
        <v>5</v>
      </c>
      <c r="F9" s="120" t="n">
        <f aca="false">I8*$C$6</f>
        <v>4.03996600361102</v>
      </c>
      <c r="G9" s="30" t="n">
        <f aca="false">$C$9-F9</f>
        <v>402.989127542246</v>
      </c>
      <c r="H9" s="120" t="n">
        <f aca="false">SUM(F9:G9)</f>
        <v>407.029093545857</v>
      </c>
      <c r="I9" s="31" t="n">
        <f aca="false">I8-G9</f>
        <v>405.004073179958</v>
      </c>
    </row>
    <row r="10" customFormat="false" ht="15" hidden="false" customHeight="false" outlineLevel="0" collapsed="false">
      <c r="C10" s="0" t="s">
        <v>327</v>
      </c>
      <c r="E10" s="0" t="n">
        <v>6</v>
      </c>
      <c r="F10" s="120" t="n">
        <f aca="false">I9*$C$6</f>
        <v>2.02502036589979</v>
      </c>
      <c r="G10" s="30" t="n">
        <f aca="false">$C$9-F10</f>
        <v>405.004073179957</v>
      </c>
      <c r="H10" s="120" t="n">
        <f aca="false">SUM(F10:G10)</f>
        <v>407.029093545857</v>
      </c>
      <c r="I10" s="31" t="n">
        <f aca="false">I9-G10</f>
        <v>7.38964445190504E-013</v>
      </c>
    </row>
    <row r="11" customFormat="false" ht="15" hidden="false" customHeight="false" outlineLevel="0" collapsed="false">
      <c r="G11" s="25" t="n">
        <f aca="false">SUM(G5:G10)</f>
        <v>2400</v>
      </c>
    </row>
    <row r="12" customFormat="false" ht="15" hidden="false" customHeight="false" outlineLevel="0" collapsed="false">
      <c r="B12" s="0" t="s">
        <v>328</v>
      </c>
    </row>
    <row r="13" customFormat="false" ht="15" hidden="false" customHeight="false" outlineLevel="0" collapsed="false">
      <c r="B13" s="0" t="s">
        <v>329</v>
      </c>
    </row>
    <row r="14" customFormat="false" ht="15" hidden="false" customHeight="false" outlineLevel="0" collapsed="false">
      <c r="B14" s="0" t="s">
        <v>330</v>
      </c>
    </row>
    <row r="16" customFormat="false" ht="15" hidden="false" customHeight="false" outlineLevel="0" collapsed="false">
      <c r="C16" s="12" t="n">
        <f aca="false">0.2*C9</f>
        <v>81.4058187091714</v>
      </c>
      <c r="F16" s="0" t="n">
        <v>1</v>
      </c>
      <c r="G16" s="26" t="n">
        <v>0.0609</v>
      </c>
      <c r="H16" s="0" t="n">
        <f aca="false">F$16*(1+G16)</f>
        <v>1.0609</v>
      </c>
    </row>
    <row r="17" customFormat="false" ht="15" hidden="false" customHeight="false" outlineLevel="0" collapsed="false">
      <c r="H17" s="0" t="n">
        <f aca="false">F$16*(1+G17)</f>
        <v>1</v>
      </c>
    </row>
    <row r="18" customFormat="false" ht="15" hidden="false" customHeight="false" outlineLevel="0" collapsed="false">
      <c r="C18" s="122" t="n">
        <v>0.06</v>
      </c>
      <c r="G18" s="42" t="n">
        <v>0.00493862</v>
      </c>
      <c r="H18" s="73" t="n">
        <f aca="false">F$16*(1+G18)^12</f>
        <v>1.06089997426831</v>
      </c>
    </row>
    <row r="19" customFormat="false" ht="15" hidden="false" customHeight="false" outlineLevel="0" collapsed="false">
      <c r="C19" s="0" t="n">
        <f aca="false">(1+C18/D19)^D19-1</f>
        <v>0.0609</v>
      </c>
      <c r="D19" s="0" t="n">
        <v>2</v>
      </c>
      <c r="G19" s="42" t="n">
        <v>0.005</v>
      </c>
      <c r="H19" s="73" t="n">
        <f aca="false">F$16*(1+G19)^12</f>
        <v>1.0616778118645</v>
      </c>
    </row>
    <row r="20" customFormat="false" ht="15" hidden="false" customHeight="false" outlineLevel="0" collapsed="false">
      <c r="C20" s="16" t="n">
        <f aca="false">(1+C19)^(1/D20)</f>
        <v>1.0049386220312</v>
      </c>
      <c r="D20" s="0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5" activeCellId="0" sqref="E15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18.14"/>
    <col collapsed="false" customWidth="true" hidden="false" outlineLevel="0" max="3" min="3" style="0" width="14.71"/>
    <col collapsed="false" customWidth="true" hidden="false" outlineLevel="0" max="4" min="4" style="0" width="10.14"/>
    <col collapsed="false" customWidth="true" hidden="false" outlineLevel="0" max="5" min="5" style="0" width="13.29"/>
    <col collapsed="false" customWidth="true" hidden="false" outlineLevel="0" max="6" min="6" style="0" width="10.57"/>
    <col collapsed="false" customWidth="true" hidden="false" outlineLevel="0" max="7" min="7" style="0" width="13.86"/>
    <col collapsed="false" customWidth="true" hidden="false" outlineLevel="0" max="8" min="8" style="0" width="4.57"/>
    <col collapsed="false" customWidth="true" hidden="false" outlineLevel="0" max="10" min="9" style="0" width="15.71"/>
  </cols>
  <sheetData>
    <row r="1" customFormat="false" ht="15" hidden="false" customHeight="false" outlineLevel="0" collapsed="false">
      <c r="A1" s="29" t="s">
        <v>331</v>
      </c>
    </row>
    <row r="3" customFormat="false" ht="15" hidden="false" customHeight="false" outlineLevel="0" collapsed="false">
      <c r="A3" s="0" t="s">
        <v>332</v>
      </c>
      <c r="E3" s="20" t="n">
        <v>500000</v>
      </c>
      <c r="I3" s="0" t="s">
        <v>333</v>
      </c>
    </row>
    <row r="4" customFormat="false" ht="15" hidden="false" customHeight="false" outlineLevel="0" collapsed="false">
      <c r="A4" s="0" t="s">
        <v>334</v>
      </c>
      <c r="E4" s="51" t="n">
        <f aca="false">30*12</f>
        <v>360</v>
      </c>
      <c r="F4" s="0" t="s">
        <v>335</v>
      </c>
      <c r="I4" s="0" t="s">
        <v>336</v>
      </c>
    </row>
    <row r="5" customFormat="false" ht="15" hidden="false" customHeight="false" outlineLevel="0" collapsed="false">
      <c r="A5" s="0" t="s">
        <v>324</v>
      </c>
      <c r="E5" s="18" t="n">
        <v>0.05</v>
      </c>
    </row>
    <row r="6" customFormat="false" ht="15" hidden="false" customHeight="false" outlineLevel="0" collapsed="false">
      <c r="A6" s="0" t="s">
        <v>325</v>
      </c>
      <c r="E6" s="42" t="n">
        <f aca="false">E5/12</f>
        <v>0.00416666666666667</v>
      </c>
    </row>
    <row r="7" customFormat="false" ht="15" hidden="false" customHeight="false" outlineLevel="0" collapsed="false">
      <c r="A7" s="0" t="s">
        <v>337</v>
      </c>
      <c r="E7" s="42" t="n">
        <f aca="false">(1+E5/12)^12-1</f>
        <v>0.0511618978817334</v>
      </c>
    </row>
    <row r="8" customFormat="false" ht="15" hidden="false" customHeight="false" outlineLevel="0" collapsed="false">
      <c r="A8" s="0" t="s">
        <v>39</v>
      </c>
      <c r="E8" s="22" t="n">
        <f aca="false">-PMT(E5/12,E4,E3)</f>
        <v>2684.1081150607</v>
      </c>
    </row>
    <row r="9" customFormat="false" ht="26.25" hidden="false" customHeight="true" outlineLevel="0" collapsed="false">
      <c r="D9" s="0" t="n">
        <f aca="false">E3*E9</f>
        <v>2684.10811506069</v>
      </c>
      <c r="E9" s="123" t="n">
        <f aca="false">((E6*(1+E6)^E4)/((1+E6)^E4-1))</f>
        <v>0.00536821623012138</v>
      </c>
    </row>
    <row r="10" customFormat="false" ht="30" hidden="false" customHeight="false" outlineLevel="0" collapsed="false">
      <c r="B10" s="5" t="s">
        <v>22</v>
      </c>
      <c r="C10" s="3" t="s">
        <v>38</v>
      </c>
      <c r="D10" s="3" t="s">
        <v>24</v>
      </c>
      <c r="E10" s="3" t="s">
        <v>338</v>
      </c>
      <c r="F10" s="124" t="s">
        <v>339</v>
      </c>
      <c r="G10" s="3" t="s">
        <v>26</v>
      </c>
      <c r="H10" s="5"/>
      <c r="I10" s="3" t="s">
        <v>27</v>
      </c>
      <c r="J10" s="3" t="s">
        <v>28</v>
      </c>
    </row>
    <row r="11" customFormat="false" ht="15" hidden="false" customHeight="false" outlineLevel="0" collapsed="false">
      <c r="B11" s="125" t="n">
        <v>44197</v>
      </c>
      <c r="C11" s="21" t="n">
        <f aca="false">E3</f>
        <v>500000</v>
      </c>
      <c r="D11" s="24" t="n">
        <f aca="false">C11*E$6</f>
        <v>2083.33333333333</v>
      </c>
      <c r="E11" s="25" t="n">
        <v>1000</v>
      </c>
      <c r="F11" s="126" t="n">
        <f aca="false">D11+E11</f>
        <v>3083.33333333333</v>
      </c>
      <c r="G11" s="24" t="n">
        <f aca="false">C11-E11-F11</f>
        <v>495916.666666667</v>
      </c>
      <c r="I11" s="25" t="n">
        <f aca="false">E11</f>
        <v>1000</v>
      </c>
      <c r="J11" s="24" t="n">
        <f aca="false">D11</f>
        <v>2083.33333333333</v>
      </c>
    </row>
    <row r="12" customFormat="false" ht="15" hidden="false" customHeight="false" outlineLevel="0" collapsed="false">
      <c r="B12" s="125" t="n">
        <v>44228</v>
      </c>
      <c r="C12" s="21" t="n">
        <f aca="false">G11</f>
        <v>495916.666666667</v>
      </c>
      <c r="D12" s="24" t="n">
        <f aca="false">C12*E$6</f>
        <v>2066.31944444444</v>
      </c>
      <c r="E12" s="25" t="n">
        <f aca="false">E11</f>
        <v>1000</v>
      </c>
      <c r="F12" s="126" t="n">
        <f aca="false">D12+E12</f>
        <v>3066.31944444444</v>
      </c>
      <c r="G12" s="24" t="n">
        <f aca="false">C12-E12-F12</f>
        <v>491850.347222222</v>
      </c>
      <c r="I12" s="25" t="n">
        <f aca="false">I11+E12</f>
        <v>2000</v>
      </c>
      <c r="J12" s="24" t="n">
        <f aca="false">J11+D12</f>
        <v>4149.65277777778</v>
      </c>
    </row>
    <row r="13" customFormat="false" ht="15" hidden="false" customHeight="false" outlineLevel="0" collapsed="false">
      <c r="B13" s="125" t="n">
        <v>44256</v>
      </c>
      <c r="C13" s="21" t="n">
        <f aca="false">G12</f>
        <v>491850.347222222</v>
      </c>
      <c r="D13" s="24" t="n">
        <f aca="false">C13*E$6</f>
        <v>2049.37644675926</v>
      </c>
      <c r="E13" s="25" t="n">
        <f aca="false">E12</f>
        <v>1000</v>
      </c>
      <c r="F13" s="126" t="n">
        <f aca="false">D13+E13</f>
        <v>3049.37644675926</v>
      </c>
      <c r="G13" s="24" t="n">
        <f aca="false">C13-E13-F13</f>
        <v>487800.970775463</v>
      </c>
      <c r="I13" s="25" t="n">
        <f aca="false">I12+E13</f>
        <v>3000</v>
      </c>
      <c r="J13" s="24" t="n">
        <f aca="false">J12+D13</f>
        <v>6199.02922453704</v>
      </c>
    </row>
    <row r="14" customFormat="false" ht="15" hidden="false" customHeight="false" outlineLevel="0" collapsed="false">
      <c r="B14" s="125" t="n">
        <v>44287</v>
      </c>
      <c r="C14" s="21" t="n">
        <f aca="false">G13</f>
        <v>487800.970775463</v>
      </c>
      <c r="D14" s="24" t="n">
        <f aca="false">C14*E$6</f>
        <v>2032.50404489776</v>
      </c>
      <c r="E14" s="25" t="n">
        <f aca="false">E13</f>
        <v>1000</v>
      </c>
      <c r="F14" s="126" t="n">
        <f aca="false">D14+E14</f>
        <v>3032.50404489776</v>
      </c>
      <c r="G14" s="24" t="n">
        <f aca="false">C14-E14-F14</f>
        <v>483768.466730565</v>
      </c>
      <c r="I14" s="25" t="n">
        <f aca="false">I13+E14</f>
        <v>4000</v>
      </c>
      <c r="J14" s="24" t="n">
        <f aca="false">J13+D14</f>
        <v>8231.5332694348</v>
      </c>
    </row>
    <row r="15" customFormat="false" ht="15" hidden="false" customHeight="false" outlineLevel="0" collapsed="false">
      <c r="B15" s="125" t="n">
        <v>44317</v>
      </c>
      <c r="C15" s="21" t="n">
        <f aca="false">G14</f>
        <v>483768.466730565</v>
      </c>
      <c r="D15" s="24" t="n">
        <f aca="false">C15*E$6</f>
        <v>2015.70194471069</v>
      </c>
      <c r="E15" s="25" t="n">
        <f aca="false">E14</f>
        <v>1000</v>
      </c>
      <c r="F15" s="126" t="n">
        <f aca="false">D15+E15</f>
        <v>3015.70194471069</v>
      </c>
      <c r="G15" s="24" t="n">
        <f aca="false">C15-E15-F15</f>
        <v>479752.764785855</v>
      </c>
      <c r="I15" s="25" t="n">
        <f aca="false">I14+E15</f>
        <v>5000</v>
      </c>
      <c r="J15" s="24" t="n">
        <f aca="false">J14+D15</f>
        <v>10247.2352141455</v>
      </c>
    </row>
    <row r="16" customFormat="false" ht="15" hidden="false" customHeight="false" outlineLevel="0" collapsed="false">
      <c r="B16" s="125" t="n">
        <v>44348</v>
      </c>
      <c r="C16" s="21" t="n">
        <f aca="false">G15</f>
        <v>479752.764785855</v>
      </c>
      <c r="D16" s="24" t="n">
        <f aca="false">C16*E$6</f>
        <v>1998.96985327439</v>
      </c>
      <c r="E16" s="25" t="n">
        <f aca="false">E15</f>
        <v>1000</v>
      </c>
      <c r="F16" s="126" t="n">
        <f aca="false">D16+E16</f>
        <v>2998.96985327439</v>
      </c>
      <c r="G16" s="24" t="n">
        <f aca="false">C16-E16-F16</f>
        <v>475753.79493258</v>
      </c>
      <c r="I16" s="25" t="n">
        <f aca="false">I15+E16</f>
        <v>6000</v>
      </c>
      <c r="J16" s="24" t="n">
        <f aca="false">J15+D16</f>
        <v>12246.2050674199</v>
      </c>
    </row>
    <row r="17" customFormat="false" ht="15" hidden="false" customHeight="false" outlineLevel="0" collapsed="false">
      <c r="B17" s="125" t="n">
        <v>44378</v>
      </c>
      <c r="C17" s="21" t="n">
        <f aca="false">G16</f>
        <v>475753.79493258</v>
      </c>
      <c r="D17" s="24" t="n">
        <f aca="false">C17*E$6</f>
        <v>1982.30747888575</v>
      </c>
      <c r="E17" s="25" t="n">
        <f aca="false">E16</f>
        <v>1000</v>
      </c>
      <c r="F17" s="126" t="n">
        <f aca="false">D17+E17</f>
        <v>2982.30747888575</v>
      </c>
      <c r="G17" s="24" t="n">
        <f aca="false">C17-E17-F17</f>
        <v>471771.487453694</v>
      </c>
      <c r="I17" s="25" t="n">
        <f aca="false">I16+E17</f>
        <v>7000</v>
      </c>
      <c r="J17" s="24" t="n">
        <f aca="false">J16+D17</f>
        <v>14228.5125463056</v>
      </c>
    </row>
    <row r="18" customFormat="false" ht="15" hidden="false" customHeight="false" outlineLevel="0" collapsed="false">
      <c r="B18" s="125" t="n">
        <v>44409</v>
      </c>
      <c r="C18" s="21" t="n">
        <f aca="false">G17</f>
        <v>471771.487453694</v>
      </c>
      <c r="D18" s="24" t="n">
        <f aca="false">C18*E$6</f>
        <v>1965.71453105706</v>
      </c>
      <c r="E18" s="25" t="n">
        <f aca="false">E17</f>
        <v>1000</v>
      </c>
      <c r="F18" s="126" t="n">
        <f aca="false">D18+E18</f>
        <v>2965.71453105706</v>
      </c>
      <c r="G18" s="24" t="n">
        <f aca="false">C18-E18-F18</f>
        <v>467805.772922637</v>
      </c>
      <c r="I18" s="25" t="n">
        <f aca="false">I17+E18</f>
        <v>8000</v>
      </c>
      <c r="J18" s="24" t="n">
        <f aca="false">J17+D18</f>
        <v>16194.2270773627</v>
      </c>
    </row>
    <row r="19" customFormat="false" ht="15" hidden="false" customHeight="false" outlineLevel="0" collapsed="false">
      <c r="B19" s="125" t="n">
        <v>44440</v>
      </c>
      <c r="C19" s="21" t="n">
        <f aca="false">G18</f>
        <v>467805.772922637</v>
      </c>
      <c r="D19" s="24" t="n">
        <f aca="false">C19*E$6</f>
        <v>1949.19072051099</v>
      </c>
      <c r="E19" s="25" t="n">
        <f aca="false">E18</f>
        <v>1000</v>
      </c>
      <c r="F19" s="126" t="n">
        <f aca="false">D19+E19</f>
        <v>2949.19072051099</v>
      </c>
      <c r="G19" s="24" t="n">
        <f aca="false">C19-E19-F19</f>
        <v>463856.582202126</v>
      </c>
      <c r="I19" s="25" t="n">
        <f aca="false">I18+E19</f>
        <v>9000</v>
      </c>
      <c r="J19" s="24" t="n">
        <f aca="false">J18+D19</f>
        <v>18143.4177978737</v>
      </c>
    </row>
    <row r="20" customFormat="false" ht="15" hidden="false" customHeight="false" outlineLevel="0" collapsed="false">
      <c r="B20" s="125" t="n">
        <v>44470</v>
      </c>
      <c r="C20" s="21" t="n">
        <f aca="false">G19</f>
        <v>463856.582202126</v>
      </c>
      <c r="D20" s="24" t="n">
        <f aca="false">C20*E$6</f>
        <v>1932.73575917553</v>
      </c>
      <c r="E20" s="25" t="n">
        <f aca="false">E19</f>
        <v>1000</v>
      </c>
      <c r="F20" s="126" t="n">
        <f aca="false">D20+E20</f>
        <v>2932.73575917553</v>
      </c>
      <c r="G20" s="24" t="n">
        <f aca="false">C20-E20-F20</f>
        <v>459923.846442951</v>
      </c>
      <c r="I20" s="25" t="n">
        <f aca="false">I19+E20</f>
        <v>10000</v>
      </c>
      <c r="J20" s="24" t="n">
        <f aca="false">J19+D20</f>
        <v>20076.1535570492</v>
      </c>
    </row>
    <row r="21" customFormat="false" ht="15" hidden="false" customHeight="false" outlineLevel="0" collapsed="false">
      <c r="B21" s="125" t="n">
        <v>44501</v>
      </c>
      <c r="C21" s="21" t="n">
        <f aca="false">G20</f>
        <v>459923.846442951</v>
      </c>
      <c r="D21" s="24" t="n">
        <f aca="false">C21*E$6</f>
        <v>1916.34936017896</v>
      </c>
      <c r="E21" s="25" t="n">
        <f aca="false">E20</f>
        <v>1000</v>
      </c>
      <c r="F21" s="126" t="n">
        <f aca="false">D21+E21</f>
        <v>2916.34936017896</v>
      </c>
      <c r="G21" s="24" t="n">
        <f aca="false">C21-E21-F21</f>
        <v>456007.497082772</v>
      </c>
      <c r="I21" s="25" t="n">
        <f aca="false">I20+E21</f>
        <v>11000</v>
      </c>
      <c r="J21" s="24" t="n">
        <f aca="false">J20+D21</f>
        <v>21992.5029172282</v>
      </c>
    </row>
    <row r="22" customFormat="false" ht="15" hidden="false" customHeight="false" outlineLevel="0" collapsed="false">
      <c r="B22" s="125" t="n">
        <v>44531</v>
      </c>
      <c r="C22" s="21" t="n">
        <f aca="false">G21</f>
        <v>456007.497082772</v>
      </c>
      <c r="D22" s="24" t="n">
        <f aca="false">C22*E$6</f>
        <v>1900.03123784488</v>
      </c>
      <c r="E22" s="25" t="n">
        <f aca="false">E21</f>
        <v>1000</v>
      </c>
      <c r="F22" s="126" t="n">
        <f aca="false">D22+E22</f>
        <v>2900.03123784488</v>
      </c>
      <c r="G22" s="24" t="n">
        <f aca="false">C22-E22-F22</f>
        <v>452107.465844927</v>
      </c>
      <c r="I22" s="25" t="n">
        <f aca="false">I21+E22</f>
        <v>12000</v>
      </c>
      <c r="J22" s="24" t="n">
        <f aca="false">J21+D22</f>
        <v>23892.5341550731</v>
      </c>
    </row>
    <row r="23" customFormat="false" ht="15" hidden="false" customHeight="false" outlineLevel="1" collapsed="false">
      <c r="B23" s="125" t="n">
        <v>44562</v>
      </c>
      <c r="C23" s="21" t="n">
        <f aca="false">G22</f>
        <v>452107.465844927</v>
      </c>
      <c r="D23" s="24" t="n">
        <f aca="false">C23*E$6</f>
        <v>1883.7811076872</v>
      </c>
      <c r="E23" s="25" t="n">
        <f aca="false">E22</f>
        <v>1000</v>
      </c>
      <c r="F23" s="126" t="n">
        <f aca="false">D23+E23</f>
        <v>2883.7811076872</v>
      </c>
      <c r="G23" s="24" t="n">
        <f aca="false">C23-E23-F23</f>
        <v>448223.68473724</v>
      </c>
      <c r="I23" s="25" t="n">
        <f aca="false">I22+E23</f>
        <v>13000</v>
      </c>
      <c r="J23" s="24" t="n">
        <f aca="false">J22+D23</f>
        <v>25776.3152627603</v>
      </c>
    </row>
    <row r="24" customFormat="false" ht="15" hidden="false" customHeight="false" outlineLevel="1" collapsed="false">
      <c r="B24" s="125" t="n">
        <v>44593</v>
      </c>
      <c r="C24" s="21" t="n">
        <f aca="false">G23</f>
        <v>448223.68473724</v>
      </c>
      <c r="D24" s="24" t="n">
        <f aca="false">C24*E$6</f>
        <v>1867.59868640517</v>
      </c>
      <c r="E24" s="25" t="n">
        <f aca="false">E23</f>
        <v>1000</v>
      </c>
      <c r="F24" s="126" t="n">
        <f aca="false">D24+E24</f>
        <v>2867.59868640517</v>
      </c>
      <c r="G24" s="24" t="n">
        <f aca="false">C24-E24-F24</f>
        <v>444356.086050835</v>
      </c>
      <c r="I24" s="25" t="n">
        <f aca="false">I23+E24</f>
        <v>14000</v>
      </c>
      <c r="J24" s="24" t="n">
        <f aca="false">J23+D24</f>
        <v>27643.9139491654</v>
      </c>
    </row>
    <row r="25" customFormat="false" ht="15" hidden="false" customHeight="false" outlineLevel="1" collapsed="false">
      <c r="B25" s="125" t="n">
        <v>44621</v>
      </c>
      <c r="C25" s="21" t="n">
        <f aca="false">G24</f>
        <v>444356.086050835</v>
      </c>
      <c r="D25" s="24" t="n">
        <f aca="false">C25*E$6</f>
        <v>1851.48369187848</v>
      </c>
      <c r="E25" s="25" t="n">
        <f aca="false">E24</f>
        <v>1000</v>
      </c>
      <c r="F25" s="126" t="n">
        <f aca="false">D25+E25</f>
        <v>2851.48369187848</v>
      </c>
      <c r="G25" s="24" t="n">
        <f aca="false">C25-E25-F25</f>
        <v>440504.602358956</v>
      </c>
      <c r="I25" s="25" t="n">
        <f aca="false">I24+E25</f>
        <v>15000</v>
      </c>
      <c r="J25" s="24" t="n">
        <f aca="false">J24+D25</f>
        <v>29495.3976410439</v>
      </c>
    </row>
    <row r="26" customFormat="false" ht="15" hidden="false" customHeight="false" outlineLevel="1" collapsed="false">
      <c r="B26" s="125" t="n">
        <v>44652</v>
      </c>
      <c r="C26" s="21" t="n">
        <f aca="false">G25</f>
        <v>440504.602358956</v>
      </c>
      <c r="D26" s="24" t="n">
        <f aca="false">C26*E$6</f>
        <v>1835.43584316232</v>
      </c>
      <c r="E26" s="25" t="n">
        <f aca="false">E25</f>
        <v>1000</v>
      </c>
      <c r="F26" s="126" t="n">
        <f aca="false">D26+E26</f>
        <v>2835.43584316232</v>
      </c>
      <c r="G26" s="24" t="n">
        <f aca="false">C26-E26-F26</f>
        <v>436669.166515794</v>
      </c>
      <c r="I26" s="25" t="n">
        <f aca="false">I25+E26</f>
        <v>16000</v>
      </c>
      <c r="J26" s="24" t="n">
        <f aca="false">J25+D26</f>
        <v>31330.8334842062</v>
      </c>
    </row>
    <row r="27" customFormat="false" ht="15" hidden="false" customHeight="false" outlineLevel="1" collapsed="false">
      <c r="B27" s="125" t="n">
        <v>44682</v>
      </c>
      <c r="C27" s="21" t="n">
        <f aca="false">G26</f>
        <v>436669.166515794</v>
      </c>
      <c r="D27" s="24" t="n">
        <f aca="false">C27*E$6</f>
        <v>1819.45486048247</v>
      </c>
      <c r="E27" s="25" t="n">
        <f aca="false">E26</f>
        <v>1000</v>
      </c>
      <c r="F27" s="126" t="n">
        <f aca="false">D27+E27</f>
        <v>2819.45486048247</v>
      </c>
      <c r="G27" s="24" t="n">
        <f aca="false">C27-E27-F27</f>
        <v>432849.711655311</v>
      </c>
      <c r="I27" s="25" t="n">
        <f aca="false">I26+E27</f>
        <v>17000</v>
      </c>
      <c r="J27" s="24" t="n">
        <f aca="false">J26+D27</f>
        <v>33150.2883446887</v>
      </c>
    </row>
    <row r="28" customFormat="false" ht="15" hidden="false" customHeight="false" outlineLevel="1" collapsed="false">
      <c r="B28" s="125" t="n">
        <v>44713</v>
      </c>
      <c r="C28" s="21" t="n">
        <f aca="false">G27</f>
        <v>432849.711655311</v>
      </c>
      <c r="D28" s="24" t="n">
        <f aca="false">C28*E$6</f>
        <v>1803.54046523046</v>
      </c>
      <c r="E28" s="25" t="n">
        <f aca="false">E27</f>
        <v>1000</v>
      </c>
      <c r="F28" s="126" t="n">
        <f aca="false">D28+E28</f>
        <v>2803.54046523046</v>
      </c>
      <c r="G28" s="24" t="n">
        <f aca="false">C28-E28-F28</f>
        <v>429046.171190081</v>
      </c>
      <c r="I28" s="25" t="n">
        <f aca="false">I27+E28</f>
        <v>18000</v>
      </c>
      <c r="J28" s="24" t="n">
        <f aca="false">J27+D28</f>
        <v>34953.8288099192</v>
      </c>
    </row>
    <row r="29" customFormat="false" ht="15" hidden="false" customHeight="false" outlineLevel="1" collapsed="false">
      <c r="B29" s="125" t="n">
        <v>44743</v>
      </c>
      <c r="C29" s="21" t="n">
        <f aca="false">G28</f>
        <v>429046.171190081</v>
      </c>
      <c r="D29" s="24" t="n">
        <f aca="false">C29*E$6</f>
        <v>1787.69237995867</v>
      </c>
      <c r="E29" s="25" t="n">
        <f aca="false">E28</f>
        <v>1000</v>
      </c>
      <c r="F29" s="126" t="n">
        <f aca="false">D29+E29</f>
        <v>2787.69237995867</v>
      </c>
      <c r="G29" s="24" t="n">
        <f aca="false">C29-E29-F29</f>
        <v>425258.478810122</v>
      </c>
      <c r="I29" s="25" t="n">
        <f aca="false">I28+E29</f>
        <v>19000</v>
      </c>
      <c r="J29" s="24" t="n">
        <f aca="false">J28+D29</f>
        <v>36741.5211898778</v>
      </c>
    </row>
    <row r="30" customFormat="false" ht="15" hidden="false" customHeight="false" outlineLevel="1" collapsed="false">
      <c r="B30" s="125" t="n">
        <v>44774</v>
      </c>
      <c r="C30" s="21" t="n">
        <f aca="false">G29</f>
        <v>425258.478810122</v>
      </c>
      <c r="D30" s="24" t="n">
        <f aca="false">C30*E$6</f>
        <v>1771.91032837551</v>
      </c>
      <c r="E30" s="25" t="n">
        <f aca="false">E29</f>
        <v>1000</v>
      </c>
      <c r="F30" s="126" t="n">
        <f aca="false">D30+E30</f>
        <v>2771.91032837551</v>
      </c>
      <c r="G30" s="24" t="n">
        <f aca="false">C30-E30-F30</f>
        <v>421486.568481747</v>
      </c>
      <c r="I30" s="25" t="n">
        <f aca="false">I29+E30</f>
        <v>20000</v>
      </c>
      <c r="J30" s="24" t="n">
        <f aca="false">J29+D30</f>
        <v>38513.4315182533</v>
      </c>
    </row>
    <row r="31" customFormat="false" ht="15" hidden="false" customHeight="false" outlineLevel="1" collapsed="false">
      <c r="B31" s="125" t="n">
        <v>44805</v>
      </c>
      <c r="C31" s="21" t="n">
        <f aca="false">G30</f>
        <v>421486.568481747</v>
      </c>
      <c r="D31" s="24" t="n">
        <f aca="false">C31*E$6</f>
        <v>1756.19403534061</v>
      </c>
      <c r="E31" s="25" t="n">
        <f aca="false">E30</f>
        <v>1000</v>
      </c>
      <c r="F31" s="126" t="n">
        <f aca="false">D31+E31</f>
        <v>2756.19403534061</v>
      </c>
      <c r="G31" s="24" t="n">
        <f aca="false">C31-E31-F31</f>
        <v>417730.374446406</v>
      </c>
      <c r="I31" s="25" t="n">
        <f aca="false">I30+E31</f>
        <v>21000</v>
      </c>
      <c r="J31" s="24" t="n">
        <f aca="false">J30+D31</f>
        <v>40269.625553594</v>
      </c>
    </row>
    <row r="32" customFormat="false" ht="15" hidden="false" customHeight="false" outlineLevel="1" collapsed="false">
      <c r="B32" s="125" t="n">
        <v>44835</v>
      </c>
      <c r="C32" s="21" t="n">
        <f aca="false">G31</f>
        <v>417730.374446406</v>
      </c>
      <c r="D32" s="24" t="n">
        <f aca="false">C32*E$6</f>
        <v>1740.54322686003</v>
      </c>
      <c r="E32" s="25" t="n">
        <f aca="false">E31</f>
        <v>1000</v>
      </c>
      <c r="F32" s="126" t="n">
        <f aca="false">D32+E32</f>
        <v>2740.54322686003</v>
      </c>
      <c r="G32" s="24" t="n">
        <f aca="false">C32-E32-F32</f>
        <v>413989.831219546</v>
      </c>
      <c r="I32" s="25" t="n">
        <f aca="false">I31+E32</f>
        <v>22000</v>
      </c>
      <c r="J32" s="24" t="n">
        <f aca="false">J31+D32</f>
        <v>42010.168780454</v>
      </c>
    </row>
    <row r="33" customFormat="false" ht="15" hidden="false" customHeight="false" outlineLevel="1" collapsed="false">
      <c r="B33" s="125" t="n">
        <v>44866</v>
      </c>
      <c r="C33" s="21" t="n">
        <f aca="false">G32</f>
        <v>413989.831219546</v>
      </c>
      <c r="D33" s="24" t="n">
        <f aca="false">C33*E$6</f>
        <v>1724.95763008144</v>
      </c>
      <c r="E33" s="25" t="n">
        <f aca="false">E32</f>
        <v>1000</v>
      </c>
      <c r="F33" s="126" t="n">
        <f aca="false">D33+E33</f>
        <v>2724.95763008144</v>
      </c>
      <c r="G33" s="24" t="n">
        <f aca="false">C33-E33-F33</f>
        <v>410264.873589465</v>
      </c>
      <c r="I33" s="25" t="n">
        <f aca="false">I32+E33</f>
        <v>23000</v>
      </c>
      <c r="J33" s="24" t="n">
        <f aca="false">J32+D33</f>
        <v>43735.1264105354</v>
      </c>
    </row>
    <row r="34" customFormat="false" ht="15" hidden="false" customHeight="false" outlineLevel="1" collapsed="false">
      <c r="B34" s="125" t="n">
        <v>44896</v>
      </c>
      <c r="C34" s="21" t="n">
        <f aca="false">G33</f>
        <v>410264.873589465</v>
      </c>
      <c r="D34" s="24" t="n">
        <f aca="false">C34*E$6</f>
        <v>1709.43697328944</v>
      </c>
      <c r="E34" s="25" t="n">
        <f aca="false">E33</f>
        <v>1000</v>
      </c>
      <c r="F34" s="126" t="n">
        <f aca="false">D34+E34</f>
        <v>2709.43697328944</v>
      </c>
      <c r="G34" s="24" t="n">
        <f aca="false">C34-E34-F34</f>
        <v>406555.436616175</v>
      </c>
      <c r="I34" s="25" t="n">
        <f aca="false">I33+E34</f>
        <v>24000</v>
      </c>
      <c r="J34" s="24" t="n">
        <f aca="false">J33+D34</f>
        <v>45444.5633838249</v>
      </c>
    </row>
    <row r="35" customFormat="false" ht="15" hidden="false" customHeight="false" outlineLevel="1" collapsed="false">
      <c r="B35" s="125" t="n">
        <v>44927</v>
      </c>
      <c r="C35" s="21" t="n">
        <f aca="false">G34</f>
        <v>406555.436616175</v>
      </c>
      <c r="D35" s="24" t="n">
        <f aca="false">C35*E$6</f>
        <v>1693.98098590073</v>
      </c>
      <c r="E35" s="25" t="n">
        <f aca="false">E34</f>
        <v>1000</v>
      </c>
      <c r="F35" s="126" t="n">
        <f aca="false">D35+E35</f>
        <v>2693.98098590073</v>
      </c>
      <c r="G35" s="24" t="n">
        <f aca="false">C35-E35-F35</f>
        <v>402861.455630274</v>
      </c>
      <c r="I35" s="25" t="n">
        <f aca="false">I34+E35</f>
        <v>25000</v>
      </c>
      <c r="J35" s="24" t="n">
        <f aca="false">J34+D35</f>
        <v>47138.5443697256</v>
      </c>
    </row>
    <row r="36" customFormat="false" ht="15" hidden="false" customHeight="false" outlineLevel="1" collapsed="false">
      <c r="B36" s="125" t="n">
        <v>44958</v>
      </c>
      <c r="C36" s="21" t="n">
        <f aca="false">G35</f>
        <v>402861.455630274</v>
      </c>
      <c r="D36" s="24" t="n">
        <f aca="false">C36*E$6</f>
        <v>1678.58939845948</v>
      </c>
      <c r="E36" s="25" t="n">
        <f aca="false">E35</f>
        <v>1000</v>
      </c>
      <c r="F36" s="126" t="n">
        <f aca="false">D36+E36</f>
        <v>2678.58939845948</v>
      </c>
      <c r="G36" s="24" t="n">
        <f aca="false">C36-E36-F36</f>
        <v>399182.866231815</v>
      </c>
      <c r="I36" s="25" t="n">
        <f aca="false">I35+E36</f>
        <v>26000</v>
      </c>
      <c r="J36" s="24" t="n">
        <f aca="false">J35+D36</f>
        <v>48817.1337681851</v>
      </c>
    </row>
    <row r="37" customFormat="false" ht="15" hidden="false" customHeight="false" outlineLevel="1" collapsed="false">
      <c r="B37" s="125" t="n">
        <v>44986</v>
      </c>
      <c r="C37" s="21" t="n">
        <f aca="false">G36</f>
        <v>399182.866231815</v>
      </c>
      <c r="D37" s="24" t="n">
        <f aca="false">C37*E$6</f>
        <v>1663.26194263256</v>
      </c>
      <c r="E37" s="25" t="n">
        <f aca="false">E36</f>
        <v>1000</v>
      </c>
      <c r="F37" s="126" t="n">
        <f aca="false">D37+E37</f>
        <v>2663.26194263256</v>
      </c>
      <c r="G37" s="24" t="n">
        <f aca="false">C37-E37-F37</f>
        <v>395519.604289182</v>
      </c>
      <c r="I37" s="25" t="n">
        <f aca="false">I36+E37</f>
        <v>27000</v>
      </c>
      <c r="J37" s="24" t="n">
        <f aca="false">J36+D37</f>
        <v>50480.3957108176</v>
      </c>
    </row>
    <row r="38" customFormat="false" ht="15" hidden="false" customHeight="false" outlineLevel="1" collapsed="false">
      <c r="B38" s="125" t="n">
        <v>45017</v>
      </c>
      <c r="C38" s="21" t="n">
        <f aca="false">G37</f>
        <v>395519.604289182</v>
      </c>
      <c r="D38" s="24" t="n">
        <f aca="false">C38*E$6</f>
        <v>1647.99835120493</v>
      </c>
      <c r="E38" s="25" t="n">
        <f aca="false">E37</f>
        <v>1000</v>
      </c>
      <c r="F38" s="126" t="n">
        <f aca="false">D38+E38</f>
        <v>2647.99835120493</v>
      </c>
      <c r="G38" s="24" t="n">
        <f aca="false">C38-E38-F38</f>
        <v>391871.605937978</v>
      </c>
      <c r="I38" s="25" t="n">
        <f aca="false">I37+E38</f>
        <v>28000</v>
      </c>
      <c r="J38" s="24" t="n">
        <f aca="false">J37+D38</f>
        <v>52128.3940620226</v>
      </c>
    </row>
    <row r="39" customFormat="false" ht="15" hidden="false" customHeight="false" outlineLevel="1" collapsed="false">
      <c r="B39" s="125" t="n">
        <v>45047</v>
      </c>
      <c r="C39" s="21" t="n">
        <f aca="false">G38</f>
        <v>391871.605937978</v>
      </c>
      <c r="D39" s="24" t="n">
        <f aca="false">C39*E$6</f>
        <v>1632.79835807491</v>
      </c>
      <c r="E39" s="25" t="n">
        <f aca="false">E38</f>
        <v>1000</v>
      </c>
      <c r="F39" s="126" t="n">
        <f aca="false">D39+E39</f>
        <v>2632.79835807491</v>
      </c>
      <c r="G39" s="24" t="n">
        <f aca="false">C39-E39-F39</f>
        <v>388238.807579903</v>
      </c>
      <c r="I39" s="25" t="n">
        <f aca="false">I38+E39</f>
        <v>29000</v>
      </c>
      <c r="J39" s="24" t="n">
        <f aca="false">J38+D39</f>
        <v>53761.1924200975</v>
      </c>
    </row>
    <row r="40" customFormat="false" ht="15" hidden="false" customHeight="false" outlineLevel="1" collapsed="false">
      <c r="B40" s="125" t="n">
        <v>45078</v>
      </c>
      <c r="C40" s="21" t="n">
        <f aca="false">G39</f>
        <v>388238.807579903</v>
      </c>
      <c r="D40" s="24" t="n">
        <f aca="false">C40*E$6</f>
        <v>1617.66169824959</v>
      </c>
      <c r="E40" s="25" t="n">
        <f aca="false">E39</f>
        <v>1000</v>
      </c>
      <c r="F40" s="126" t="n">
        <f aca="false">D40+E40</f>
        <v>2617.66169824959</v>
      </c>
      <c r="G40" s="24" t="n">
        <f aca="false">C40-E40-F40</f>
        <v>384621.145881653</v>
      </c>
      <c r="I40" s="25" t="n">
        <f aca="false">I39+E40</f>
        <v>30000</v>
      </c>
      <c r="J40" s="24" t="n">
        <f aca="false">J39+D40</f>
        <v>55378.854118347</v>
      </c>
    </row>
    <row r="41" customFormat="false" ht="15" hidden="false" customHeight="false" outlineLevel="1" collapsed="false">
      <c r="B41" s="125" t="n">
        <v>45108</v>
      </c>
      <c r="C41" s="21" t="n">
        <f aca="false">G40</f>
        <v>384621.145881653</v>
      </c>
      <c r="D41" s="24" t="n">
        <f aca="false">C41*E$6</f>
        <v>1602.58810784022</v>
      </c>
      <c r="E41" s="25" t="n">
        <f aca="false">E40</f>
        <v>1000</v>
      </c>
      <c r="F41" s="126" t="n">
        <f aca="false">D41+E41</f>
        <v>2602.58810784022</v>
      </c>
      <c r="G41" s="24" t="n">
        <f aca="false">C41-E41-F41</f>
        <v>381018.557773813</v>
      </c>
      <c r="I41" s="25" t="n">
        <f aca="false">I40+E41</f>
        <v>31000</v>
      </c>
      <c r="J41" s="24" t="n">
        <f aca="false">J40+D41</f>
        <v>56981.4422261873</v>
      </c>
    </row>
    <row r="42" customFormat="false" ht="15" hidden="false" customHeight="false" outlineLevel="1" collapsed="false">
      <c r="B42" s="125" t="n">
        <v>45139</v>
      </c>
      <c r="C42" s="21" t="n">
        <f aca="false">G41</f>
        <v>381018.557773813</v>
      </c>
      <c r="D42" s="24" t="n">
        <f aca="false">C42*E$6</f>
        <v>1587.57732405755</v>
      </c>
      <c r="E42" s="25" t="n">
        <f aca="false">E41</f>
        <v>1000</v>
      </c>
      <c r="F42" s="126" t="n">
        <f aca="false">D42+E42</f>
        <v>2587.57732405755</v>
      </c>
      <c r="G42" s="24" t="n">
        <f aca="false">C42-E42-F42</f>
        <v>377430.980449755</v>
      </c>
      <c r="I42" s="25" t="n">
        <f aca="false">I41+E42</f>
        <v>32000</v>
      </c>
      <c r="J42" s="24" t="n">
        <f aca="false">J41+D42</f>
        <v>58569.0195502448</v>
      </c>
    </row>
    <row r="43" customFormat="false" ht="15" hidden="false" customHeight="false" outlineLevel="1" collapsed="false">
      <c r="B43" s="125" t="n">
        <v>45170</v>
      </c>
      <c r="C43" s="21" t="n">
        <f aca="false">G42</f>
        <v>377430.980449755</v>
      </c>
      <c r="D43" s="24" t="n">
        <f aca="false">C43*E$6</f>
        <v>1572.62908520731</v>
      </c>
      <c r="E43" s="25" t="n">
        <f aca="false">E42</f>
        <v>1000</v>
      </c>
      <c r="F43" s="126" t="n">
        <f aca="false">D43+E43</f>
        <v>2572.62908520731</v>
      </c>
      <c r="G43" s="24" t="n">
        <f aca="false">C43-E43-F43</f>
        <v>373858.351364548</v>
      </c>
      <c r="I43" s="25" t="n">
        <f aca="false">I42+E43</f>
        <v>33000</v>
      </c>
      <c r="J43" s="24" t="n">
        <f aca="false">J42+D43</f>
        <v>60141.6486354521</v>
      </c>
    </row>
    <row r="44" customFormat="false" ht="15" hidden="false" customHeight="false" outlineLevel="1" collapsed="false">
      <c r="B44" s="125" t="n">
        <v>45200</v>
      </c>
      <c r="C44" s="21" t="n">
        <f aca="false">G43</f>
        <v>373858.351364548</v>
      </c>
      <c r="D44" s="24" t="n">
        <f aca="false">C44*E$6</f>
        <v>1557.74313068562</v>
      </c>
      <c r="E44" s="25" t="n">
        <f aca="false">E43</f>
        <v>1000</v>
      </c>
      <c r="F44" s="126" t="n">
        <f aca="false">D44+E44</f>
        <v>2557.74313068562</v>
      </c>
      <c r="G44" s="24" t="n">
        <f aca="false">C44-E44-F44</f>
        <v>370300.608233862</v>
      </c>
      <c r="I44" s="25" t="n">
        <f aca="false">I43+E44</f>
        <v>34000</v>
      </c>
      <c r="J44" s="24" t="n">
        <f aca="false">J43+D44</f>
        <v>61699.3917661378</v>
      </c>
    </row>
    <row r="45" customFormat="false" ht="15" hidden="false" customHeight="false" outlineLevel="1" collapsed="false">
      <c r="B45" s="125" t="n">
        <v>45231</v>
      </c>
      <c r="C45" s="21" t="n">
        <f aca="false">G44</f>
        <v>370300.608233862</v>
      </c>
      <c r="D45" s="24" t="n">
        <f aca="false">C45*E$6</f>
        <v>1542.91920097443</v>
      </c>
      <c r="E45" s="25" t="n">
        <f aca="false">E44</f>
        <v>1000</v>
      </c>
      <c r="F45" s="126" t="n">
        <f aca="false">D45+E45</f>
        <v>2542.91920097443</v>
      </c>
      <c r="G45" s="24" t="n">
        <f aca="false">C45-E45-F45</f>
        <v>366757.689032888</v>
      </c>
      <c r="I45" s="25" t="n">
        <f aca="false">I44+E45</f>
        <v>35000</v>
      </c>
      <c r="J45" s="24" t="n">
        <f aca="false">J44+D45</f>
        <v>63242.3109671122</v>
      </c>
    </row>
    <row r="46" customFormat="false" ht="15" hidden="false" customHeight="false" outlineLevel="1" collapsed="false">
      <c r="B46" s="125" t="n">
        <v>45261</v>
      </c>
      <c r="C46" s="21" t="n">
        <f aca="false">G45</f>
        <v>366757.689032888</v>
      </c>
      <c r="D46" s="24" t="n">
        <f aca="false">C46*E$6</f>
        <v>1528.15703763703</v>
      </c>
      <c r="E46" s="25" t="n">
        <f aca="false">E45</f>
        <v>1000</v>
      </c>
      <c r="F46" s="126" t="n">
        <f aca="false">D46+E46</f>
        <v>2528.15703763703</v>
      </c>
      <c r="G46" s="24" t="n">
        <f aca="false">C46-E46-F46</f>
        <v>363229.531995251</v>
      </c>
      <c r="I46" s="25" t="n">
        <f aca="false">I45+E46</f>
        <v>36000</v>
      </c>
      <c r="J46" s="24" t="n">
        <f aca="false">J45+D46</f>
        <v>64770.4680047492</v>
      </c>
    </row>
    <row r="47" customFormat="false" ht="15" hidden="false" customHeight="false" outlineLevel="1" collapsed="false">
      <c r="B47" s="125" t="n">
        <v>45292</v>
      </c>
      <c r="C47" s="21" t="n">
        <f aca="false">G46</f>
        <v>363229.531995251</v>
      </c>
      <c r="D47" s="24" t="n">
        <f aca="false">C47*E$6</f>
        <v>1513.45638331355</v>
      </c>
      <c r="E47" s="25" t="n">
        <f aca="false">E46</f>
        <v>1000</v>
      </c>
      <c r="F47" s="126" t="n">
        <f aca="false">D47+E47</f>
        <v>2513.45638331355</v>
      </c>
      <c r="G47" s="24" t="n">
        <f aca="false">C47-E47-F47</f>
        <v>359716.075611937</v>
      </c>
      <c r="I47" s="25" t="n">
        <f aca="false">I46+E47</f>
        <v>37000</v>
      </c>
      <c r="J47" s="24" t="n">
        <f aca="false">J46+D47</f>
        <v>66283.9243880628</v>
      </c>
    </row>
    <row r="48" customFormat="false" ht="15" hidden="false" customHeight="false" outlineLevel="1" collapsed="false">
      <c r="B48" s="125" t="n">
        <v>45323</v>
      </c>
      <c r="C48" s="21" t="n">
        <f aca="false">G47</f>
        <v>359716.075611937</v>
      </c>
      <c r="D48" s="24" t="n">
        <f aca="false">C48*E$6</f>
        <v>1498.81698171641</v>
      </c>
      <c r="E48" s="25" t="n">
        <f aca="false">E47</f>
        <v>1000</v>
      </c>
      <c r="F48" s="126" t="n">
        <f aca="false">D48+E48</f>
        <v>2498.81698171641</v>
      </c>
      <c r="G48" s="24" t="n">
        <f aca="false">C48-E48-F48</f>
        <v>356217.258630221</v>
      </c>
      <c r="I48" s="25" t="n">
        <f aca="false">I47+E48</f>
        <v>38000</v>
      </c>
      <c r="J48" s="24" t="n">
        <f aca="false">J47+D48</f>
        <v>67782.7413697792</v>
      </c>
    </row>
    <row r="49" customFormat="false" ht="15" hidden="false" customHeight="false" outlineLevel="1" collapsed="false">
      <c r="B49" s="125" t="n">
        <v>45352</v>
      </c>
      <c r="C49" s="21" t="n">
        <f aca="false">G48</f>
        <v>356217.258630221</v>
      </c>
      <c r="D49" s="24" t="n">
        <f aca="false">C49*E$6</f>
        <v>1484.23857762592</v>
      </c>
      <c r="E49" s="25" t="n">
        <f aca="false">E48</f>
        <v>1000</v>
      </c>
      <c r="F49" s="126" t="n">
        <f aca="false">D49+E49</f>
        <v>2484.23857762592</v>
      </c>
      <c r="G49" s="24" t="n">
        <f aca="false">C49-E49-F49</f>
        <v>352733.020052595</v>
      </c>
      <c r="I49" s="25" t="n">
        <f aca="false">I48+E49</f>
        <v>39000</v>
      </c>
      <c r="J49" s="24" t="n">
        <f aca="false">J48+D49</f>
        <v>69266.9799474051</v>
      </c>
    </row>
    <row r="50" customFormat="false" ht="15" hidden="false" customHeight="false" outlineLevel="1" collapsed="false">
      <c r="B50" s="125" t="n">
        <v>45383</v>
      </c>
      <c r="C50" s="21" t="n">
        <f aca="false">G49</f>
        <v>352733.020052595</v>
      </c>
      <c r="D50" s="24" t="n">
        <f aca="false">C50*E$6</f>
        <v>1469.72091688581</v>
      </c>
      <c r="E50" s="25" t="n">
        <f aca="false">E49</f>
        <v>1000</v>
      </c>
      <c r="F50" s="126" t="n">
        <f aca="false">D50+E50</f>
        <v>2469.72091688581</v>
      </c>
      <c r="G50" s="24" t="n">
        <f aca="false">C50-E50-F50</f>
        <v>349263.299135709</v>
      </c>
      <c r="I50" s="25" t="n">
        <f aca="false">I49+E50</f>
        <v>40000</v>
      </c>
      <c r="J50" s="24" t="n">
        <f aca="false">J49+D50</f>
        <v>70736.7008642909</v>
      </c>
    </row>
    <row r="51" customFormat="false" ht="15" hidden="false" customHeight="false" outlineLevel="1" collapsed="false">
      <c r="B51" s="125" t="n">
        <v>45413</v>
      </c>
      <c r="C51" s="21" t="n">
        <f aca="false">G50</f>
        <v>349263.299135709</v>
      </c>
      <c r="D51" s="24" t="n">
        <f aca="false">C51*E$6</f>
        <v>1455.26374639879</v>
      </c>
      <c r="E51" s="25" t="n">
        <f aca="false">E50</f>
        <v>1000</v>
      </c>
      <c r="F51" s="126" t="n">
        <f aca="false">D51+E51</f>
        <v>2455.26374639879</v>
      </c>
      <c r="G51" s="24" t="n">
        <f aca="false">C51-E51-F51</f>
        <v>345808.03538931</v>
      </c>
      <c r="I51" s="25" t="n">
        <f aca="false">I50+E51</f>
        <v>41000</v>
      </c>
      <c r="J51" s="24" t="n">
        <f aca="false">J50+D51</f>
        <v>72191.9646106897</v>
      </c>
    </row>
    <row r="52" customFormat="false" ht="15" hidden="false" customHeight="false" outlineLevel="1" collapsed="false">
      <c r="B52" s="125" t="n">
        <v>45444</v>
      </c>
      <c r="C52" s="21" t="n">
        <f aca="false">G51</f>
        <v>345808.03538931</v>
      </c>
      <c r="D52" s="24" t="n">
        <f aca="false">C52*E$6</f>
        <v>1440.86681412213</v>
      </c>
      <c r="E52" s="25" t="n">
        <f aca="false">E51</f>
        <v>1000</v>
      </c>
      <c r="F52" s="126" t="n">
        <f aca="false">D52+E52</f>
        <v>2440.86681412213</v>
      </c>
      <c r="G52" s="24" t="n">
        <f aca="false">C52-E52-F52</f>
        <v>342367.168575188</v>
      </c>
      <c r="I52" s="25" t="n">
        <f aca="false">I51+E52</f>
        <v>42000</v>
      </c>
      <c r="J52" s="24" t="n">
        <f aca="false">J51+D52</f>
        <v>73632.8314248118</v>
      </c>
    </row>
    <row r="53" customFormat="false" ht="15" hidden="false" customHeight="false" outlineLevel="1" collapsed="false">
      <c r="B53" s="125" t="n">
        <v>45474</v>
      </c>
      <c r="C53" s="21" t="n">
        <f aca="false">G52</f>
        <v>342367.168575188</v>
      </c>
      <c r="D53" s="24" t="n">
        <f aca="false">C53*E$6</f>
        <v>1426.52986906328</v>
      </c>
      <c r="E53" s="25" t="n">
        <f aca="false">E52</f>
        <v>1000</v>
      </c>
      <c r="F53" s="126" t="n">
        <f aca="false">D53+E53</f>
        <v>2426.52986906328</v>
      </c>
      <c r="G53" s="24" t="n">
        <f aca="false">C53-E53-F53</f>
        <v>338940.638706125</v>
      </c>
      <c r="I53" s="25" t="n">
        <f aca="false">I52+E53</f>
        <v>43000</v>
      </c>
      <c r="J53" s="24" t="n">
        <f aca="false">J52+D53</f>
        <v>75059.3612938751</v>
      </c>
    </row>
    <row r="54" customFormat="false" ht="15" hidden="false" customHeight="false" outlineLevel="1" collapsed="false">
      <c r="B54" s="125" t="n">
        <v>45505</v>
      </c>
      <c r="C54" s="21" t="n">
        <f aca="false">G53</f>
        <v>338940.638706125</v>
      </c>
      <c r="D54" s="24" t="n">
        <f aca="false">C54*E$6</f>
        <v>1412.25266127552</v>
      </c>
      <c r="E54" s="25" t="n">
        <f aca="false">E53</f>
        <v>1000</v>
      </c>
      <c r="F54" s="126" t="n">
        <f aca="false">D54+E54</f>
        <v>2412.25266127552</v>
      </c>
      <c r="G54" s="24" t="n">
        <f aca="false">C54-E54-F54</f>
        <v>335528.386044849</v>
      </c>
      <c r="I54" s="25" t="n">
        <f aca="false">I53+E54</f>
        <v>44000</v>
      </c>
      <c r="J54" s="24" t="n">
        <f aca="false">J53+D54</f>
        <v>76471.6139551506</v>
      </c>
    </row>
    <row r="55" customFormat="false" ht="15" hidden="false" customHeight="false" outlineLevel="1" collapsed="false">
      <c r="B55" s="125" t="n">
        <v>45536</v>
      </c>
      <c r="C55" s="21" t="n">
        <f aca="false">G54</f>
        <v>335528.386044849</v>
      </c>
      <c r="D55" s="24" t="n">
        <f aca="false">C55*E$6</f>
        <v>1398.03494185354</v>
      </c>
      <c r="E55" s="25" t="n">
        <f aca="false">E54</f>
        <v>1000</v>
      </c>
      <c r="F55" s="126" t="n">
        <f aca="false">D55+E55</f>
        <v>2398.03494185354</v>
      </c>
      <c r="G55" s="24" t="n">
        <f aca="false">C55-E55-F55</f>
        <v>332130.351102996</v>
      </c>
      <c r="I55" s="25" t="n">
        <f aca="false">I54+E55</f>
        <v>45000</v>
      </c>
      <c r="J55" s="24" t="n">
        <f aca="false">J54+D55</f>
        <v>77869.6488970041</v>
      </c>
    </row>
    <row r="56" customFormat="false" ht="15" hidden="false" customHeight="false" outlineLevel="1" collapsed="false">
      <c r="B56" s="125" t="n">
        <v>45566</v>
      </c>
      <c r="C56" s="21" t="n">
        <f aca="false">G55</f>
        <v>332130.351102996</v>
      </c>
      <c r="D56" s="24" t="n">
        <f aca="false">C56*E$6</f>
        <v>1383.87646292915</v>
      </c>
      <c r="E56" s="25" t="n">
        <f aca="false">E55</f>
        <v>1000</v>
      </c>
      <c r="F56" s="126" t="n">
        <f aca="false">D56+E56</f>
        <v>2383.87646292915</v>
      </c>
      <c r="G56" s="24" t="n">
        <f aca="false">C56-E56-F56</f>
        <v>328746.474640067</v>
      </c>
      <c r="I56" s="25" t="n">
        <f aca="false">I55+E56</f>
        <v>46000</v>
      </c>
      <c r="J56" s="24" t="n">
        <f aca="false">J55+D56</f>
        <v>79253.5253599333</v>
      </c>
    </row>
    <row r="57" customFormat="false" ht="15" hidden="false" customHeight="false" outlineLevel="1" collapsed="false">
      <c r="B57" s="125" t="n">
        <v>45597</v>
      </c>
      <c r="C57" s="21" t="n">
        <f aca="false">G56</f>
        <v>328746.474640067</v>
      </c>
      <c r="D57" s="24" t="n">
        <f aca="false">C57*E$6</f>
        <v>1369.77697766695</v>
      </c>
      <c r="E57" s="25" t="n">
        <f aca="false">E56</f>
        <v>1000</v>
      </c>
      <c r="F57" s="126" t="n">
        <f aca="false">D57+E57</f>
        <v>2369.77697766694</v>
      </c>
      <c r="G57" s="24" t="n">
        <f aca="false">C57-E57-F57</f>
        <v>325376.6976624</v>
      </c>
      <c r="I57" s="25" t="n">
        <f aca="false">I56+E57</f>
        <v>47000</v>
      </c>
      <c r="J57" s="24" t="n">
        <f aca="false">J56+D57</f>
        <v>80623.3023376002</v>
      </c>
    </row>
    <row r="58" customFormat="false" ht="15" hidden="false" customHeight="false" outlineLevel="1" collapsed="false">
      <c r="B58" s="125" t="n">
        <v>45627</v>
      </c>
      <c r="C58" s="21" t="n">
        <f aca="false">G57</f>
        <v>325376.6976624</v>
      </c>
      <c r="D58" s="24" t="n">
        <f aca="false">C58*E$6</f>
        <v>1355.73624026</v>
      </c>
      <c r="E58" s="25" t="n">
        <f aca="false">E57</f>
        <v>1000</v>
      </c>
      <c r="F58" s="126" t="n">
        <f aca="false">D58+E58</f>
        <v>2355.73624026</v>
      </c>
      <c r="G58" s="24" t="n">
        <f aca="false">C58-E58-F58</f>
        <v>322020.96142214</v>
      </c>
      <c r="I58" s="25" t="n">
        <f aca="false">I57+E58</f>
        <v>48000</v>
      </c>
      <c r="J58" s="24" t="n">
        <f aca="false">J57+D58</f>
        <v>81979.0385778602</v>
      </c>
    </row>
    <row r="59" customFormat="false" ht="15" hidden="false" customHeight="false" outlineLevel="1" collapsed="false">
      <c r="B59" s="125" t="n">
        <v>45658</v>
      </c>
      <c r="C59" s="21" t="n">
        <f aca="false">G58</f>
        <v>322020.96142214</v>
      </c>
      <c r="D59" s="24" t="n">
        <f aca="false">C59*E$6</f>
        <v>1341.75400592558</v>
      </c>
      <c r="E59" s="25" t="n">
        <f aca="false">E58</f>
        <v>1000</v>
      </c>
      <c r="F59" s="126" t="n">
        <f aca="false">D59+E59</f>
        <v>2341.75400592558</v>
      </c>
      <c r="G59" s="24" t="n">
        <f aca="false">C59-E59-F59</f>
        <v>318679.207416214</v>
      </c>
      <c r="I59" s="25" t="n">
        <f aca="false">I58+E59</f>
        <v>49000</v>
      </c>
      <c r="J59" s="24" t="n">
        <f aca="false">J58+D59</f>
        <v>83320.7925837858</v>
      </c>
    </row>
    <row r="60" customFormat="false" ht="15" hidden="false" customHeight="false" outlineLevel="1" collapsed="false">
      <c r="B60" s="125" t="n">
        <v>45689</v>
      </c>
      <c r="C60" s="21" t="n">
        <f aca="false">G59</f>
        <v>318679.207416214</v>
      </c>
      <c r="D60" s="24" t="n">
        <f aca="false">C60*E$6</f>
        <v>1327.83003090089</v>
      </c>
      <c r="E60" s="25" t="n">
        <f aca="false">E59</f>
        <v>1000</v>
      </c>
      <c r="F60" s="126" t="n">
        <f aca="false">D60+E60</f>
        <v>2327.83003090089</v>
      </c>
      <c r="G60" s="24" t="n">
        <f aca="false">C60-E60-F60</f>
        <v>315351.377385313</v>
      </c>
      <c r="I60" s="25" t="n">
        <f aca="false">I59+E60</f>
        <v>50000</v>
      </c>
      <c r="J60" s="24" t="n">
        <f aca="false">J59+D60</f>
        <v>84648.6226146867</v>
      </c>
    </row>
    <row r="61" customFormat="false" ht="15" hidden="false" customHeight="false" outlineLevel="1" collapsed="false">
      <c r="B61" s="125" t="n">
        <v>45717</v>
      </c>
      <c r="C61" s="21" t="n">
        <f aca="false">G60</f>
        <v>315351.377385313</v>
      </c>
      <c r="D61" s="24" t="n">
        <f aca="false">C61*E$6</f>
        <v>1313.96407243881</v>
      </c>
      <c r="E61" s="25" t="n">
        <f aca="false">E60</f>
        <v>1000</v>
      </c>
      <c r="F61" s="126" t="n">
        <f aca="false">D61+E61</f>
        <v>2313.96407243881</v>
      </c>
      <c r="G61" s="24" t="n">
        <f aca="false">C61-E61-F61</f>
        <v>312037.413312875</v>
      </c>
      <c r="I61" s="25" t="n">
        <f aca="false">I60+E61</f>
        <v>51000</v>
      </c>
      <c r="J61" s="24" t="n">
        <f aca="false">J60+D61</f>
        <v>85962.5866871255</v>
      </c>
    </row>
    <row r="62" customFormat="false" ht="15" hidden="false" customHeight="false" outlineLevel="1" collapsed="false">
      <c r="B62" s="125" t="n">
        <v>45748</v>
      </c>
      <c r="C62" s="21" t="n">
        <f aca="false">G61</f>
        <v>312037.413312875</v>
      </c>
      <c r="D62" s="24" t="n">
        <f aca="false">C62*E$6</f>
        <v>1300.15588880364</v>
      </c>
      <c r="E62" s="25" t="n">
        <f aca="false">E61</f>
        <v>1000</v>
      </c>
      <c r="F62" s="126" t="n">
        <f aca="false">D62+E62</f>
        <v>2300.15588880364</v>
      </c>
      <c r="G62" s="24" t="n">
        <f aca="false">C62-E62-F62</f>
        <v>308737.257424071</v>
      </c>
      <c r="I62" s="25" t="n">
        <f aca="false">I61+E62</f>
        <v>52000</v>
      </c>
      <c r="J62" s="24" t="n">
        <f aca="false">J61+D62</f>
        <v>87262.7425759292</v>
      </c>
    </row>
    <row r="63" customFormat="false" ht="15" hidden="false" customHeight="false" outlineLevel="1" collapsed="false">
      <c r="B63" s="125" t="n">
        <v>45778</v>
      </c>
      <c r="C63" s="21" t="n">
        <f aca="false">G62</f>
        <v>308737.257424071</v>
      </c>
      <c r="D63" s="24" t="n">
        <f aca="false">C63*E$6</f>
        <v>1286.40523926696</v>
      </c>
      <c r="E63" s="25" t="n">
        <f aca="false">E62</f>
        <v>1000</v>
      </c>
      <c r="F63" s="126" t="n">
        <f aca="false">D63+E63</f>
        <v>2286.40523926696</v>
      </c>
      <c r="G63" s="24" t="n">
        <f aca="false">C63-E63-F63</f>
        <v>305450.852184804</v>
      </c>
      <c r="I63" s="25" t="n">
        <f aca="false">I62+E63</f>
        <v>53000</v>
      </c>
      <c r="J63" s="24" t="n">
        <f aca="false">J62+D63</f>
        <v>88549.1478151961</v>
      </c>
    </row>
    <row r="64" customFormat="false" ht="15" hidden="false" customHeight="false" outlineLevel="1" collapsed="false">
      <c r="B64" s="125" t="n">
        <v>45809</v>
      </c>
      <c r="C64" s="21" t="n">
        <f aca="false">G63</f>
        <v>305450.852184804</v>
      </c>
      <c r="D64" s="24" t="n">
        <f aca="false">C64*E$6</f>
        <v>1272.71188410335</v>
      </c>
      <c r="E64" s="25" t="n">
        <f aca="false">E63</f>
        <v>1000</v>
      </c>
      <c r="F64" s="126" t="n">
        <f aca="false">D64+E64</f>
        <v>2272.71188410335</v>
      </c>
      <c r="G64" s="24" t="n">
        <f aca="false">C64-E64-F64</f>
        <v>302178.140300701</v>
      </c>
      <c r="I64" s="25" t="n">
        <f aca="false">I63+E64</f>
        <v>54000</v>
      </c>
      <c r="J64" s="24" t="n">
        <f aca="false">J63+D64</f>
        <v>89821.8596992995</v>
      </c>
    </row>
    <row r="65" customFormat="false" ht="15" hidden="false" customHeight="false" outlineLevel="1" collapsed="false">
      <c r="B65" s="125" t="n">
        <v>45839</v>
      </c>
      <c r="C65" s="21" t="n">
        <f aca="false">G64</f>
        <v>302178.140300701</v>
      </c>
      <c r="D65" s="24" t="n">
        <f aca="false">C65*E$6</f>
        <v>1259.07558458625</v>
      </c>
      <c r="E65" s="25" t="n">
        <f aca="false">E64</f>
        <v>1000</v>
      </c>
      <c r="F65" s="126" t="n">
        <f aca="false">D65+E65</f>
        <v>2259.07558458625</v>
      </c>
      <c r="G65" s="24" t="n">
        <f aca="false">C65-E65-F65</f>
        <v>298919.064716114</v>
      </c>
      <c r="I65" s="25" t="n">
        <f aca="false">I64+E65</f>
        <v>55000</v>
      </c>
      <c r="J65" s="24" t="n">
        <f aca="false">J64+D65</f>
        <v>91080.9352838857</v>
      </c>
    </row>
    <row r="66" customFormat="false" ht="15" hidden="false" customHeight="false" outlineLevel="1" collapsed="false">
      <c r="B66" s="125" t="n">
        <v>45870</v>
      </c>
      <c r="C66" s="21" t="n">
        <f aca="false">G65</f>
        <v>298919.064716114</v>
      </c>
      <c r="D66" s="24" t="n">
        <f aca="false">C66*E$6</f>
        <v>1245.49610298381</v>
      </c>
      <c r="E66" s="25" t="n">
        <f aca="false">E65</f>
        <v>1000</v>
      </c>
      <c r="F66" s="126" t="n">
        <f aca="false">D66+E66</f>
        <v>2245.49610298381</v>
      </c>
      <c r="G66" s="24" t="n">
        <f aca="false">C66-E66-F66</f>
        <v>295673.568613131</v>
      </c>
      <c r="I66" s="25" t="n">
        <f aca="false">I65+E66</f>
        <v>56000</v>
      </c>
      <c r="J66" s="24" t="n">
        <f aca="false">J65+D66</f>
        <v>92326.4313868696</v>
      </c>
    </row>
    <row r="67" customFormat="false" ht="15" hidden="false" customHeight="false" outlineLevel="1" collapsed="false">
      <c r="B67" s="125" t="n">
        <v>45901</v>
      </c>
      <c r="C67" s="21" t="n">
        <f aca="false">G66</f>
        <v>295673.568613131</v>
      </c>
      <c r="D67" s="24" t="n">
        <f aca="false">C67*E$6</f>
        <v>1231.97320255471</v>
      </c>
      <c r="E67" s="25" t="n">
        <f aca="false">E66</f>
        <v>1000</v>
      </c>
      <c r="F67" s="126" t="n">
        <f aca="false">D67+E67</f>
        <v>2231.97320255471</v>
      </c>
      <c r="G67" s="24" t="n">
        <f aca="false">C67-E67-F67</f>
        <v>292441.595410576</v>
      </c>
      <c r="I67" s="25" t="n">
        <f aca="false">I66+E67</f>
        <v>57000</v>
      </c>
      <c r="J67" s="24" t="n">
        <f aca="false">J66+D67</f>
        <v>93558.4045894243</v>
      </c>
    </row>
    <row r="68" customFormat="false" ht="15" hidden="false" customHeight="false" outlineLevel="1" collapsed="false">
      <c r="B68" s="125" t="n">
        <v>45931</v>
      </c>
      <c r="C68" s="21" t="n">
        <f aca="false">G67</f>
        <v>292441.595410576</v>
      </c>
      <c r="D68" s="24" t="n">
        <f aca="false">C68*E$6</f>
        <v>1218.50664754407</v>
      </c>
      <c r="E68" s="25" t="n">
        <f aca="false">E67</f>
        <v>1000</v>
      </c>
      <c r="F68" s="126" t="n">
        <f aca="false">D68+E68</f>
        <v>2218.50664754407</v>
      </c>
      <c r="G68" s="24" t="n">
        <f aca="false">C68-E68-F68</f>
        <v>289223.088763032</v>
      </c>
      <c r="I68" s="25" t="n">
        <f aca="false">I67+E68</f>
        <v>58000</v>
      </c>
      <c r="J68" s="24" t="n">
        <f aca="false">J67+D68</f>
        <v>94776.9112369683</v>
      </c>
    </row>
    <row r="69" customFormat="false" ht="15" hidden="false" customHeight="false" outlineLevel="1" collapsed="false">
      <c r="B69" s="125" t="n">
        <v>45962</v>
      </c>
      <c r="C69" s="21" t="n">
        <f aca="false">G68</f>
        <v>289223.088763032</v>
      </c>
      <c r="D69" s="24" t="n">
        <f aca="false">C69*E$6</f>
        <v>1205.0962031793</v>
      </c>
      <c r="E69" s="25" t="n">
        <f aca="false">E68</f>
        <v>1000</v>
      </c>
      <c r="F69" s="126" t="n">
        <f aca="false">D69+E69</f>
        <v>2205.0962031793</v>
      </c>
      <c r="G69" s="24" t="n">
        <f aca="false">C69-E69-F69</f>
        <v>286017.992559853</v>
      </c>
      <c r="I69" s="25" t="n">
        <f aca="false">I68+E69</f>
        <v>59000</v>
      </c>
      <c r="J69" s="24" t="n">
        <f aca="false">J68+D69</f>
        <v>95982.0074401476</v>
      </c>
    </row>
    <row r="70" customFormat="false" ht="15" hidden="false" customHeight="false" outlineLevel="0" collapsed="false">
      <c r="A70" s="0" t="s">
        <v>63</v>
      </c>
      <c r="B70" s="125" t="n">
        <v>45992</v>
      </c>
      <c r="C70" s="21" t="n">
        <f aca="false">G69</f>
        <v>286017.992559853</v>
      </c>
      <c r="D70" s="24" t="n">
        <f aca="false">C70*E$6</f>
        <v>1191.74163566605</v>
      </c>
      <c r="E70" s="25" t="n">
        <f aca="false">E69</f>
        <v>1000</v>
      </c>
      <c r="F70" s="126" t="n">
        <f aca="false">D70+E70</f>
        <v>2191.74163566605</v>
      </c>
      <c r="G70" s="24" t="n">
        <f aca="false">C70-E70-F70</f>
        <v>282826.250924186</v>
      </c>
      <c r="I70" s="25" t="n">
        <f aca="false">I69+E70</f>
        <v>60000</v>
      </c>
      <c r="J70" s="24" t="n">
        <f aca="false">J69+D70</f>
        <v>97173.7490758137</v>
      </c>
    </row>
    <row r="71" customFormat="false" ht="15" hidden="false" customHeight="false" outlineLevel="1" collapsed="false">
      <c r="B71" s="125" t="n">
        <v>46023</v>
      </c>
      <c r="C71" s="21" t="n">
        <f aca="false">G70</f>
        <v>282826.250924186</v>
      </c>
      <c r="D71" s="24" t="n">
        <f aca="false">C71*E$6</f>
        <v>1178.44271218411</v>
      </c>
      <c r="E71" s="25" t="n">
        <f aca="false">E70</f>
        <v>1000</v>
      </c>
      <c r="F71" s="126" t="n">
        <f aca="false">D71+E71</f>
        <v>2178.44271218411</v>
      </c>
      <c r="G71" s="24" t="n">
        <f aca="false">C71-E71-F71</f>
        <v>279647.808212002</v>
      </c>
      <c r="I71" s="25" t="n">
        <f aca="false">I70+E71</f>
        <v>61000</v>
      </c>
      <c r="J71" s="24" t="n">
        <f aca="false">J70+D71</f>
        <v>98352.1917879978</v>
      </c>
    </row>
    <row r="72" customFormat="false" ht="15" hidden="false" customHeight="false" outlineLevel="1" collapsed="false">
      <c r="B72" s="125" t="n">
        <v>46054</v>
      </c>
      <c r="C72" s="21" t="n">
        <f aca="false">G71</f>
        <v>279647.808212002</v>
      </c>
      <c r="D72" s="24" t="n">
        <f aca="false">C72*E$6</f>
        <v>1165.19920088334</v>
      </c>
      <c r="E72" s="25" t="n">
        <f aca="false">E71</f>
        <v>1000</v>
      </c>
      <c r="F72" s="126" t="n">
        <f aca="false">D72+E72</f>
        <v>2165.19920088334</v>
      </c>
      <c r="G72" s="24" t="n">
        <f aca="false">C72-E72-F72</f>
        <v>276482.609011119</v>
      </c>
      <c r="I72" s="25" t="n">
        <f aca="false">I71+E72</f>
        <v>62000</v>
      </c>
      <c r="J72" s="24" t="n">
        <f aca="false">J71+D72</f>
        <v>99517.3909888812</v>
      </c>
    </row>
    <row r="73" customFormat="false" ht="15" hidden="false" customHeight="false" outlineLevel="1" collapsed="false">
      <c r="B73" s="125" t="n">
        <v>46082</v>
      </c>
      <c r="C73" s="21" t="n">
        <f aca="false">G72</f>
        <v>276482.609011119</v>
      </c>
      <c r="D73" s="24" t="n">
        <f aca="false">C73*E$6</f>
        <v>1152.01087087966</v>
      </c>
      <c r="E73" s="25" t="n">
        <f aca="false">E72</f>
        <v>1000</v>
      </c>
      <c r="F73" s="126" t="n">
        <f aca="false">D73+E73</f>
        <v>2152.01087087966</v>
      </c>
      <c r="G73" s="24" t="n">
        <f aca="false">C73-E73-F73</f>
        <v>273330.598140239</v>
      </c>
      <c r="I73" s="25" t="n">
        <f aca="false">I72+E73</f>
        <v>63000</v>
      </c>
      <c r="J73" s="24" t="n">
        <f aca="false">J72+D73</f>
        <v>100669.401859761</v>
      </c>
    </row>
    <row r="74" customFormat="false" ht="15" hidden="false" customHeight="false" outlineLevel="1" collapsed="false">
      <c r="B74" s="125" t="n">
        <v>46113</v>
      </c>
      <c r="C74" s="21" t="n">
        <f aca="false">G73</f>
        <v>273330.598140239</v>
      </c>
      <c r="D74" s="24" t="n">
        <f aca="false">C74*E$6</f>
        <v>1138.877492251</v>
      </c>
      <c r="E74" s="25" t="n">
        <f aca="false">E73</f>
        <v>1000</v>
      </c>
      <c r="F74" s="126" t="n">
        <f aca="false">D74+E74</f>
        <v>2138.877492251</v>
      </c>
      <c r="G74" s="24" t="n">
        <f aca="false">C74-E74-F74</f>
        <v>270191.720647988</v>
      </c>
      <c r="I74" s="25" t="n">
        <f aca="false">I73+E74</f>
        <v>64000</v>
      </c>
      <c r="J74" s="24" t="n">
        <f aca="false">J73+D74</f>
        <v>101808.279352012</v>
      </c>
    </row>
    <row r="75" customFormat="false" ht="15" hidden="false" customHeight="false" outlineLevel="1" collapsed="false">
      <c r="B75" s="125" t="n">
        <v>46143</v>
      </c>
      <c r="C75" s="21" t="n">
        <f aca="false">G74</f>
        <v>270191.720647988</v>
      </c>
      <c r="D75" s="24" t="n">
        <f aca="false">C75*E$6</f>
        <v>1125.79883603328</v>
      </c>
      <c r="E75" s="25" t="n">
        <f aca="false">E74</f>
        <v>1000</v>
      </c>
      <c r="F75" s="126" t="n">
        <f aca="false">D75+E75</f>
        <v>2125.79883603328</v>
      </c>
      <c r="G75" s="24" t="n">
        <f aca="false">C75-E75-F75</f>
        <v>267065.921811955</v>
      </c>
      <c r="I75" s="25" t="n">
        <f aca="false">I74+E75</f>
        <v>65000</v>
      </c>
      <c r="J75" s="24" t="n">
        <f aca="false">J74+D75</f>
        <v>102934.078188045</v>
      </c>
    </row>
    <row r="76" customFormat="false" ht="15" hidden="false" customHeight="false" outlineLevel="1" collapsed="false">
      <c r="B76" s="125" t="n">
        <v>46174</v>
      </c>
      <c r="C76" s="21" t="n">
        <f aca="false">G75</f>
        <v>267065.921811955</v>
      </c>
      <c r="D76" s="24" t="n">
        <f aca="false">C76*E$6</f>
        <v>1112.77467421648</v>
      </c>
      <c r="E76" s="25" t="n">
        <f aca="false">E75</f>
        <v>1000</v>
      </c>
      <c r="F76" s="126" t="n">
        <f aca="false">D76+E76</f>
        <v>2112.77467421648</v>
      </c>
      <c r="G76" s="24" t="n">
        <f aca="false">C76-E76-F76</f>
        <v>263953.147137739</v>
      </c>
      <c r="I76" s="25" t="n">
        <f aca="false">I75+E76</f>
        <v>66000</v>
      </c>
      <c r="J76" s="24" t="n">
        <f aca="false">J75+D76</f>
        <v>104046.852862262</v>
      </c>
    </row>
    <row r="77" customFormat="false" ht="15" hidden="false" customHeight="false" outlineLevel="1" collapsed="false">
      <c r="B77" s="125" t="n">
        <v>46204</v>
      </c>
      <c r="C77" s="21" t="n">
        <f aca="false">G76</f>
        <v>263953.147137739</v>
      </c>
      <c r="D77" s="24" t="n">
        <f aca="false">C77*E$6</f>
        <v>1099.80477974058</v>
      </c>
      <c r="E77" s="25" t="n">
        <f aca="false">E76</f>
        <v>1000</v>
      </c>
      <c r="F77" s="126" t="n">
        <f aca="false">D77+E77</f>
        <v>2099.80477974058</v>
      </c>
      <c r="G77" s="24" t="n">
        <f aca="false">C77-E77-F77</f>
        <v>260853.342357998</v>
      </c>
      <c r="I77" s="25" t="n">
        <f aca="false">I76+E77</f>
        <v>67000</v>
      </c>
      <c r="J77" s="24" t="n">
        <f aca="false">J76+D77</f>
        <v>105146.657642002</v>
      </c>
    </row>
    <row r="78" customFormat="false" ht="15" hidden="false" customHeight="false" outlineLevel="1" collapsed="false">
      <c r="B78" s="125" t="n">
        <v>46235</v>
      </c>
      <c r="C78" s="21" t="n">
        <f aca="false">G77</f>
        <v>260853.342357998</v>
      </c>
      <c r="D78" s="24" t="n">
        <f aca="false">C78*E$6</f>
        <v>1086.88892649166</v>
      </c>
      <c r="E78" s="25" t="n">
        <f aca="false">E77</f>
        <v>1000</v>
      </c>
      <c r="F78" s="126" t="n">
        <f aca="false">D78+E78</f>
        <v>2086.88892649166</v>
      </c>
      <c r="G78" s="24" t="n">
        <f aca="false">C78-E78-F78</f>
        <v>257766.453431506</v>
      </c>
      <c r="I78" s="25" t="n">
        <f aca="false">I77+E78</f>
        <v>68000</v>
      </c>
      <c r="J78" s="24" t="n">
        <f aca="false">J77+D78</f>
        <v>106233.546568494</v>
      </c>
    </row>
    <row r="79" customFormat="false" ht="15" hidden="false" customHeight="false" outlineLevel="1" collapsed="false">
      <c r="B79" s="125" t="n">
        <v>46266</v>
      </c>
      <c r="C79" s="21" t="n">
        <f aca="false">G78</f>
        <v>257766.453431506</v>
      </c>
      <c r="D79" s="24" t="n">
        <f aca="false">C79*E$6</f>
        <v>1074.02688929794</v>
      </c>
      <c r="E79" s="25" t="n">
        <f aca="false">E78</f>
        <v>1000</v>
      </c>
      <c r="F79" s="126" t="n">
        <f aca="false">D79+E79</f>
        <v>2074.02688929794</v>
      </c>
      <c r="G79" s="24" t="n">
        <f aca="false">C79-E79-F79</f>
        <v>254692.426542208</v>
      </c>
      <c r="I79" s="25" t="n">
        <f aca="false">I78+E79</f>
        <v>69000</v>
      </c>
      <c r="J79" s="24" t="n">
        <f aca="false">J78+D79</f>
        <v>107307.573457792</v>
      </c>
    </row>
    <row r="80" customFormat="false" ht="15" hidden="false" customHeight="false" outlineLevel="1" collapsed="false">
      <c r="B80" s="125" t="n">
        <v>46296</v>
      </c>
      <c r="C80" s="21" t="n">
        <f aca="false">G79</f>
        <v>254692.426542208</v>
      </c>
      <c r="D80" s="24" t="n">
        <f aca="false">C80*E$6</f>
        <v>1061.21844392587</v>
      </c>
      <c r="E80" s="25" t="n">
        <f aca="false">E79</f>
        <v>1000</v>
      </c>
      <c r="F80" s="126" t="n">
        <f aca="false">D80+E80</f>
        <v>2061.21844392587</v>
      </c>
      <c r="G80" s="24" t="n">
        <f aca="false">C80-E80-F80</f>
        <v>251631.208098283</v>
      </c>
      <c r="I80" s="25" t="n">
        <f aca="false">I79+E80</f>
        <v>70000</v>
      </c>
      <c r="J80" s="24" t="n">
        <f aca="false">J79+D80</f>
        <v>108368.791901718</v>
      </c>
    </row>
    <row r="81" customFormat="false" ht="15" hidden="false" customHeight="false" outlineLevel="1" collapsed="false">
      <c r="B81" s="125" t="n">
        <v>46327</v>
      </c>
      <c r="C81" s="21" t="n">
        <f aca="false">G80</f>
        <v>251631.208098283</v>
      </c>
      <c r="D81" s="24" t="n">
        <f aca="false">C81*E$6</f>
        <v>1048.46336707618</v>
      </c>
      <c r="E81" s="25" t="n">
        <f aca="false">E80</f>
        <v>1000</v>
      </c>
      <c r="F81" s="126" t="n">
        <f aca="false">D81+E81</f>
        <v>2048.46336707618</v>
      </c>
      <c r="G81" s="24" t="n">
        <f aca="false">C81-E81-F81</f>
        <v>248582.744731206</v>
      </c>
      <c r="I81" s="25" t="n">
        <f aca="false">I80+E81</f>
        <v>71000</v>
      </c>
      <c r="J81" s="24" t="n">
        <f aca="false">J80+D81</f>
        <v>109417.255268794</v>
      </c>
    </row>
    <row r="82" customFormat="false" ht="15" hidden="false" customHeight="false" outlineLevel="1" collapsed="false">
      <c r="B82" s="125" t="n">
        <v>46357</v>
      </c>
      <c r="C82" s="21" t="n">
        <f aca="false">G81</f>
        <v>248582.744731206</v>
      </c>
      <c r="D82" s="24" t="n">
        <f aca="false">C82*E$6</f>
        <v>1035.76143638003</v>
      </c>
      <c r="E82" s="25" t="n">
        <f aca="false">E81</f>
        <v>1000</v>
      </c>
      <c r="F82" s="126" t="n">
        <f aca="false">D82+E82</f>
        <v>2035.76143638003</v>
      </c>
      <c r="G82" s="24" t="n">
        <f aca="false">C82-E82-F82</f>
        <v>245546.983294826</v>
      </c>
      <c r="I82" s="25" t="n">
        <f aca="false">I81+E82</f>
        <v>72000</v>
      </c>
      <c r="J82" s="24" t="n">
        <f aca="false">J81+D82</f>
        <v>110453.016705174</v>
      </c>
    </row>
    <row r="83" customFormat="false" ht="15" hidden="false" customHeight="false" outlineLevel="1" collapsed="false">
      <c r="B83" s="125" t="n">
        <v>46388</v>
      </c>
      <c r="C83" s="21" t="n">
        <f aca="false">G82</f>
        <v>245546.983294826</v>
      </c>
      <c r="D83" s="24" t="n">
        <f aca="false">C83*E$6</f>
        <v>1023.11243039511</v>
      </c>
      <c r="E83" s="25" t="n">
        <f aca="false">E82</f>
        <v>1000</v>
      </c>
      <c r="F83" s="126" t="n">
        <f aca="false">D83+E83</f>
        <v>2023.11243039511</v>
      </c>
      <c r="G83" s="24" t="n">
        <f aca="false">C83-E83-F83</f>
        <v>242523.870864431</v>
      </c>
      <c r="I83" s="25" t="n">
        <f aca="false">I82+E83</f>
        <v>73000</v>
      </c>
      <c r="J83" s="24" t="n">
        <f aca="false">J82+D83</f>
        <v>111476.129135569</v>
      </c>
    </row>
    <row r="84" customFormat="false" ht="15" hidden="false" customHeight="false" outlineLevel="1" collapsed="false">
      <c r="B84" s="125" t="n">
        <v>46419</v>
      </c>
      <c r="C84" s="21" t="n">
        <f aca="false">G83</f>
        <v>242523.870864431</v>
      </c>
      <c r="D84" s="24" t="n">
        <f aca="false">C84*E$6</f>
        <v>1010.5161286018</v>
      </c>
      <c r="E84" s="25" t="n">
        <f aca="false">E83</f>
        <v>1000</v>
      </c>
      <c r="F84" s="126" t="n">
        <f aca="false">D84+E84</f>
        <v>2010.5161286018</v>
      </c>
      <c r="G84" s="24" t="n">
        <f aca="false">C84-E84-F84</f>
        <v>239513.354735829</v>
      </c>
      <c r="I84" s="25" t="n">
        <f aca="false">I83+E84</f>
        <v>74000</v>
      </c>
      <c r="J84" s="24" t="n">
        <f aca="false">J83+D84</f>
        <v>112486.645264171</v>
      </c>
    </row>
    <row r="85" customFormat="false" ht="15" hidden="false" customHeight="false" outlineLevel="1" collapsed="false">
      <c r="B85" s="125" t="n">
        <v>46447</v>
      </c>
      <c r="C85" s="21" t="n">
        <f aca="false">G84</f>
        <v>239513.354735829</v>
      </c>
      <c r="D85" s="24" t="n">
        <f aca="false">C85*E$6</f>
        <v>997.972311399289</v>
      </c>
      <c r="E85" s="25" t="n">
        <f aca="false">E84</f>
        <v>1000</v>
      </c>
      <c r="F85" s="126" t="n">
        <f aca="false">D85+E85</f>
        <v>1997.97231139929</v>
      </c>
      <c r="G85" s="24" t="n">
        <f aca="false">C85-E85-F85</f>
        <v>236515.38242443</v>
      </c>
      <c r="I85" s="25" t="n">
        <f aca="false">I84+E85</f>
        <v>75000</v>
      </c>
      <c r="J85" s="24" t="n">
        <f aca="false">J84+D85</f>
        <v>113484.61757557</v>
      </c>
    </row>
    <row r="86" customFormat="false" ht="15" hidden="false" customHeight="false" outlineLevel="1" collapsed="false">
      <c r="B86" s="125" t="n">
        <v>46478</v>
      </c>
      <c r="C86" s="21" t="n">
        <f aca="false">G85</f>
        <v>236515.38242443</v>
      </c>
      <c r="D86" s="24" t="n">
        <f aca="false">C86*E$6</f>
        <v>985.480760101792</v>
      </c>
      <c r="E86" s="25" t="n">
        <f aca="false">E85</f>
        <v>1000</v>
      </c>
      <c r="F86" s="126" t="n">
        <f aca="false">D86+E86</f>
        <v>1985.48076010179</v>
      </c>
      <c r="G86" s="24" t="n">
        <f aca="false">C86-E86-F86</f>
        <v>233529.901664328</v>
      </c>
      <c r="I86" s="25" t="n">
        <f aca="false">I85+E86</f>
        <v>76000</v>
      </c>
      <c r="J86" s="24" t="n">
        <f aca="false">J85+D86</f>
        <v>114470.098335672</v>
      </c>
    </row>
    <row r="87" customFormat="false" ht="15" hidden="false" customHeight="false" outlineLevel="1" collapsed="false">
      <c r="B87" s="125" t="n">
        <v>46508</v>
      </c>
      <c r="C87" s="21" t="n">
        <f aca="false">G86</f>
        <v>233529.901664328</v>
      </c>
      <c r="D87" s="24" t="n">
        <f aca="false">C87*E$6</f>
        <v>973.041256934701</v>
      </c>
      <c r="E87" s="25" t="n">
        <f aca="false">E86</f>
        <v>1000</v>
      </c>
      <c r="F87" s="126" t="n">
        <f aca="false">D87+E87</f>
        <v>1973.0412569347</v>
      </c>
      <c r="G87" s="24" t="n">
        <f aca="false">C87-E87-F87</f>
        <v>230556.860407394</v>
      </c>
      <c r="I87" s="25" t="n">
        <f aca="false">I86+E87</f>
        <v>77000</v>
      </c>
      <c r="J87" s="24" t="n">
        <f aca="false">J86+D87</f>
        <v>115443.139592607</v>
      </c>
    </row>
    <row r="88" customFormat="false" ht="15" hidden="false" customHeight="false" outlineLevel="1" collapsed="false">
      <c r="B88" s="125" t="n">
        <v>46539</v>
      </c>
      <c r="C88" s="21" t="n">
        <f aca="false">G87</f>
        <v>230556.860407394</v>
      </c>
      <c r="D88" s="24" t="n">
        <f aca="false">C88*E$6</f>
        <v>960.653585030807</v>
      </c>
      <c r="E88" s="25" t="n">
        <f aca="false">E87</f>
        <v>1000</v>
      </c>
      <c r="F88" s="126" t="n">
        <f aca="false">D88+E88</f>
        <v>1960.65358503081</v>
      </c>
      <c r="G88" s="24" t="n">
        <f aca="false">C88-E88-F88</f>
        <v>227596.206822363</v>
      </c>
      <c r="I88" s="25" t="n">
        <f aca="false">I87+E88</f>
        <v>78000</v>
      </c>
      <c r="J88" s="24" t="n">
        <f aca="false">J87+D88</f>
        <v>116403.793177637</v>
      </c>
    </row>
    <row r="89" customFormat="false" ht="15" hidden="false" customHeight="false" outlineLevel="1" collapsed="false">
      <c r="B89" s="125" t="n">
        <v>46569</v>
      </c>
      <c r="C89" s="21" t="n">
        <f aca="false">G88</f>
        <v>227596.206822363</v>
      </c>
      <c r="D89" s="24" t="n">
        <f aca="false">C89*E$6</f>
        <v>948.317528426512</v>
      </c>
      <c r="E89" s="25" t="n">
        <f aca="false">E88</f>
        <v>1000</v>
      </c>
      <c r="F89" s="126" t="n">
        <f aca="false">D89+E89</f>
        <v>1948.31752842651</v>
      </c>
      <c r="G89" s="24" t="n">
        <f aca="false">C89-E89-F89</f>
        <v>224647.889293936</v>
      </c>
      <c r="I89" s="25" t="n">
        <f aca="false">I88+E89</f>
        <v>79000</v>
      </c>
      <c r="J89" s="24" t="n">
        <f aca="false">J88+D89</f>
        <v>117352.110706064</v>
      </c>
    </row>
    <row r="90" customFormat="false" ht="15" hidden="false" customHeight="false" outlineLevel="1" collapsed="false">
      <c r="B90" s="125" t="n">
        <v>46600</v>
      </c>
      <c r="C90" s="21" t="n">
        <f aca="false">G89</f>
        <v>224647.889293936</v>
      </c>
      <c r="D90" s="24" t="n">
        <f aca="false">C90*E$6</f>
        <v>936.032872058068</v>
      </c>
      <c r="E90" s="25" t="n">
        <f aca="false">E89</f>
        <v>1000</v>
      </c>
      <c r="F90" s="126" t="n">
        <f aca="false">D90+E90</f>
        <v>1936.03287205807</v>
      </c>
      <c r="G90" s="24" t="n">
        <f aca="false">C90-E90-F90</f>
        <v>221711.856421878</v>
      </c>
      <c r="I90" s="25" t="n">
        <f aca="false">I89+E90</f>
        <v>80000</v>
      </c>
      <c r="J90" s="24" t="n">
        <f aca="false">J89+D90</f>
        <v>118288.143578122</v>
      </c>
    </row>
    <row r="91" customFormat="false" ht="15" hidden="false" customHeight="false" outlineLevel="1" collapsed="false">
      <c r="B91" s="125" t="n">
        <v>46631</v>
      </c>
      <c r="C91" s="21" t="n">
        <f aca="false">G90</f>
        <v>221711.856421878</v>
      </c>
      <c r="D91" s="24" t="n">
        <f aca="false">C91*E$6</f>
        <v>923.799401757826</v>
      </c>
      <c r="E91" s="25" t="n">
        <f aca="false">E90</f>
        <v>1000</v>
      </c>
      <c r="F91" s="126" t="n">
        <f aca="false">D91+E91</f>
        <v>1923.79940175783</v>
      </c>
      <c r="G91" s="24" t="n">
        <f aca="false">C91-E91-F91</f>
        <v>218788.05702012</v>
      </c>
      <c r="I91" s="25" t="n">
        <f aca="false">I90+E91</f>
        <v>81000</v>
      </c>
      <c r="J91" s="24" t="n">
        <f aca="false">J90+D91</f>
        <v>119211.94297988</v>
      </c>
    </row>
    <row r="92" customFormat="false" ht="15" hidden="false" customHeight="false" outlineLevel="1" collapsed="false">
      <c r="B92" s="125" t="n">
        <v>46661</v>
      </c>
      <c r="C92" s="21" t="n">
        <f aca="false">G91</f>
        <v>218788.05702012</v>
      </c>
      <c r="D92" s="24" t="n">
        <f aca="false">C92*E$6</f>
        <v>911.616904250502</v>
      </c>
      <c r="E92" s="25" t="n">
        <f aca="false">E91</f>
        <v>1000</v>
      </c>
      <c r="F92" s="126" t="n">
        <f aca="false">D92+E92</f>
        <v>1911.6169042505</v>
      </c>
      <c r="G92" s="24" t="n">
        <f aca="false">C92-E92-F92</f>
        <v>215876.44011587</v>
      </c>
      <c r="I92" s="25" t="n">
        <f aca="false">I91+E92</f>
        <v>82000</v>
      </c>
      <c r="J92" s="24" t="n">
        <f aca="false">J91+D92</f>
        <v>120123.55988413</v>
      </c>
    </row>
    <row r="93" customFormat="false" ht="15" hidden="false" customHeight="false" outlineLevel="1" collapsed="false">
      <c r="B93" s="125" t="n">
        <v>46692</v>
      </c>
      <c r="C93" s="21" t="n">
        <f aca="false">G92</f>
        <v>215876.44011587</v>
      </c>
      <c r="D93" s="24" t="n">
        <f aca="false">C93*E$6</f>
        <v>899.485167149458</v>
      </c>
      <c r="E93" s="25" t="n">
        <f aca="false">E92</f>
        <v>1000</v>
      </c>
      <c r="F93" s="126" t="n">
        <f aca="false">D93+E93</f>
        <v>1899.48516714946</v>
      </c>
      <c r="G93" s="24" t="n">
        <f aca="false">C93-E93-F93</f>
        <v>212976.95494872</v>
      </c>
      <c r="I93" s="25" t="n">
        <f aca="false">I92+E93</f>
        <v>83000</v>
      </c>
      <c r="J93" s="24" t="n">
        <f aca="false">J92+D93</f>
        <v>121023.04505128</v>
      </c>
    </row>
    <row r="94" customFormat="false" ht="15" hidden="false" customHeight="false" outlineLevel="1" collapsed="false">
      <c r="B94" s="125" t="n">
        <v>46722</v>
      </c>
      <c r="C94" s="21" t="n">
        <f aca="false">G93</f>
        <v>212976.95494872</v>
      </c>
      <c r="D94" s="24" t="n">
        <f aca="false">C94*E$6</f>
        <v>887.403978953002</v>
      </c>
      <c r="E94" s="25" t="n">
        <f aca="false">E93</f>
        <v>1000</v>
      </c>
      <c r="F94" s="126" t="n">
        <f aca="false">D94+E94</f>
        <v>1887.403978953</v>
      </c>
      <c r="G94" s="24" t="n">
        <f aca="false">C94-E94-F94</f>
        <v>210089.550969767</v>
      </c>
      <c r="I94" s="25" t="n">
        <f aca="false">I93+E94</f>
        <v>84000</v>
      </c>
      <c r="J94" s="24" t="n">
        <f aca="false">J93+D94</f>
        <v>121910.449030233</v>
      </c>
    </row>
    <row r="95" customFormat="false" ht="15" hidden="false" customHeight="false" outlineLevel="1" collapsed="false">
      <c r="B95" s="125" t="n">
        <v>46753</v>
      </c>
      <c r="C95" s="21" t="n">
        <f aca="false">G94</f>
        <v>210089.550969767</v>
      </c>
      <c r="D95" s="24" t="n">
        <f aca="false">C95*E$6</f>
        <v>875.373129040698</v>
      </c>
      <c r="E95" s="25" t="n">
        <f aca="false">E94</f>
        <v>1000</v>
      </c>
      <c r="F95" s="126" t="n">
        <f aca="false">D95+E95</f>
        <v>1875.3731290407</v>
      </c>
      <c r="G95" s="24" t="n">
        <f aca="false">C95-E95-F95</f>
        <v>207214.177840727</v>
      </c>
      <c r="I95" s="25" t="n">
        <f aca="false">I94+E95</f>
        <v>85000</v>
      </c>
      <c r="J95" s="24" t="n">
        <f aca="false">J94+D95</f>
        <v>122785.822159273</v>
      </c>
    </row>
    <row r="96" customFormat="false" ht="15" hidden="false" customHeight="false" outlineLevel="1" collapsed="false">
      <c r="B96" s="125" t="n">
        <v>46784</v>
      </c>
      <c r="C96" s="21" t="n">
        <f aca="false">G95</f>
        <v>207214.177840727</v>
      </c>
      <c r="D96" s="24" t="n">
        <f aca="false">C96*E$6</f>
        <v>863.392407669695</v>
      </c>
      <c r="E96" s="25" t="n">
        <f aca="false">E95</f>
        <v>1000</v>
      </c>
      <c r="F96" s="126" t="n">
        <f aca="false">D96+E96</f>
        <v>1863.39240766969</v>
      </c>
      <c r="G96" s="24" t="n">
        <f aca="false">C96-E96-F96</f>
        <v>204350.785433057</v>
      </c>
      <c r="I96" s="25" t="n">
        <f aca="false">I95+E96</f>
        <v>86000</v>
      </c>
      <c r="J96" s="24" t="n">
        <f aca="false">J95+D96</f>
        <v>123649.214566943</v>
      </c>
    </row>
    <row r="97" customFormat="false" ht="15" hidden="false" customHeight="false" outlineLevel="1" collapsed="false">
      <c r="B97" s="125" t="n">
        <v>46813</v>
      </c>
      <c r="C97" s="21" t="n">
        <f aca="false">G96</f>
        <v>204350.785433057</v>
      </c>
      <c r="D97" s="24" t="n">
        <f aca="false">C97*E$6</f>
        <v>851.461605971071</v>
      </c>
      <c r="E97" s="25" t="n">
        <f aca="false">E96</f>
        <v>1000</v>
      </c>
      <c r="F97" s="126" t="n">
        <f aca="false">D97+E97</f>
        <v>1851.46160597107</v>
      </c>
      <c r="G97" s="24" t="n">
        <f aca="false">C97-E97-F97</f>
        <v>201499.323827086</v>
      </c>
      <c r="I97" s="25" t="n">
        <f aca="false">I96+E97</f>
        <v>87000</v>
      </c>
      <c r="J97" s="24" t="n">
        <f aca="false">J96+D97</f>
        <v>124500.676172914</v>
      </c>
    </row>
    <row r="98" customFormat="false" ht="15" hidden="false" customHeight="false" outlineLevel="1" collapsed="false">
      <c r="B98" s="125" t="n">
        <v>46844</v>
      </c>
      <c r="C98" s="21" t="n">
        <f aca="false">G97</f>
        <v>201499.323827086</v>
      </c>
      <c r="D98" s="24" t="n">
        <f aca="false">C98*E$6</f>
        <v>839.580515946192</v>
      </c>
      <c r="E98" s="25" t="n">
        <f aca="false">E97</f>
        <v>1000</v>
      </c>
      <c r="F98" s="126" t="n">
        <f aca="false">D98+E98</f>
        <v>1839.58051594619</v>
      </c>
      <c r="G98" s="24" t="n">
        <f aca="false">C98-E98-F98</f>
        <v>198659.74331114</v>
      </c>
      <c r="I98" s="25" t="n">
        <f aca="false">I97+E98</f>
        <v>88000</v>
      </c>
      <c r="J98" s="24" t="n">
        <f aca="false">J97+D98</f>
        <v>125340.25668886</v>
      </c>
    </row>
    <row r="99" customFormat="false" ht="15" hidden="false" customHeight="false" outlineLevel="1" collapsed="false">
      <c r="B99" s="125" t="n">
        <v>46874</v>
      </c>
      <c r="C99" s="21" t="n">
        <f aca="false">G98</f>
        <v>198659.74331114</v>
      </c>
      <c r="D99" s="24" t="n">
        <f aca="false">C99*E$6</f>
        <v>827.748930463083</v>
      </c>
      <c r="E99" s="25" t="n">
        <f aca="false">E98</f>
        <v>1000</v>
      </c>
      <c r="F99" s="126" t="n">
        <f aca="false">D99+E99</f>
        <v>1827.74893046308</v>
      </c>
      <c r="G99" s="24" t="n">
        <f aca="false">C99-E99-F99</f>
        <v>195831.994380677</v>
      </c>
      <c r="I99" s="25" t="n">
        <f aca="false">I98+E99</f>
        <v>89000</v>
      </c>
      <c r="J99" s="24" t="n">
        <f aca="false">J98+D99</f>
        <v>126168.005619323</v>
      </c>
    </row>
    <row r="100" customFormat="false" ht="15" hidden="false" customHeight="false" outlineLevel="1" collapsed="false">
      <c r="B100" s="125" t="n">
        <v>46905</v>
      </c>
      <c r="C100" s="21" t="n">
        <f aca="false">G99</f>
        <v>195831.994380677</v>
      </c>
      <c r="D100" s="24" t="n">
        <f aca="false">C100*E$6</f>
        <v>815.96664325282</v>
      </c>
      <c r="E100" s="25" t="n">
        <f aca="false">E99</f>
        <v>1000</v>
      </c>
      <c r="F100" s="126" t="n">
        <f aca="false">D100+E100</f>
        <v>1815.96664325282</v>
      </c>
      <c r="G100" s="24" t="n">
        <f aca="false">C100-E100-F100</f>
        <v>193016.027737424</v>
      </c>
      <c r="I100" s="25" t="n">
        <f aca="false">I99+E100</f>
        <v>90000</v>
      </c>
      <c r="J100" s="24" t="n">
        <f aca="false">J99+D100</f>
        <v>126983.972262576</v>
      </c>
    </row>
    <row r="101" customFormat="false" ht="15" hidden="false" customHeight="false" outlineLevel="1" collapsed="false">
      <c r="B101" s="125" t="n">
        <v>46935</v>
      </c>
      <c r="C101" s="21" t="n">
        <f aca="false">G100</f>
        <v>193016.027737424</v>
      </c>
      <c r="D101" s="24" t="n">
        <f aca="false">C101*E$6</f>
        <v>804.233448905933</v>
      </c>
      <c r="E101" s="25" t="n">
        <f aca="false">E100</f>
        <v>1000</v>
      </c>
      <c r="F101" s="126" t="n">
        <f aca="false">D101+E101</f>
        <v>1804.23344890593</v>
      </c>
      <c r="G101" s="24" t="n">
        <f aca="false">C101-E101-F101</f>
        <v>190211.794288518</v>
      </c>
      <c r="I101" s="25" t="n">
        <f aca="false">I100+E101</f>
        <v>91000</v>
      </c>
      <c r="J101" s="24" t="n">
        <f aca="false">J100+D101</f>
        <v>127788.205711482</v>
      </c>
    </row>
    <row r="102" customFormat="false" ht="15" hidden="false" customHeight="false" outlineLevel="1" collapsed="false">
      <c r="B102" s="125" t="n">
        <v>46966</v>
      </c>
      <c r="C102" s="21" t="n">
        <f aca="false">G101</f>
        <v>190211.794288518</v>
      </c>
      <c r="D102" s="24" t="n">
        <f aca="false">C102*E$6</f>
        <v>792.549142868825</v>
      </c>
      <c r="E102" s="25" t="n">
        <f aca="false">E101</f>
        <v>1000</v>
      </c>
      <c r="F102" s="126" t="n">
        <f aca="false">D102+E102</f>
        <v>1792.54914286883</v>
      </c>
      <c r="G102" s="24" t="n">
        <f aca="false">C102-E102-F102</f>
        <v>187419.245145649</v>
      </c>
      <c r="I102" s="25" t="n">
        <f aca="false">I101+E102</f>
        <v>92000</v>
      </c>
      <c r="J102" s="24" t="n">
        <f aca="false">J101+D102</f>
        <v>128580.754854351</v>
      </c>
    </row>
    <row r="103" customFormat="false" ht="15" hidden="false" customHeight="false" outlineLevel="1" collapsed="false">
      <c r="B103" s="125" t="n">
        <v>46997</v>
      </c>
      <c r="C103" s="21" t="n">
        <f aca="false">G102</f>
        <v>187419.245145649</v>
      </c>
      <c r="D103" s="24" t="n">
        <f aca="false">C103*E$6</f>
        <v>780.913521440205</v>
      </c>
      <c r="E103" s="25" t="n">
        <f aca="false">E102</f>
        <v>1000</v>
      </c>
      <c r="F103" s="126" t="n">
        <f aca="false">D103+E103</f>
        <v>1780.91352144021</v>
      </c>
      <c r="G103" s="24" t="n">
        <f aca="false">C103-E103-F103</f>
        <v>184638.331624209</v>
      </c>
      <c r="I103" s="25" t="n">
        <f aca="false">I102+E103</f>
        <v>93000</v>
      </c>
      <c r="J103" s="24" t="n">
        <f aca="false">J102+D103</f>
        <v>129361.668375791</v>
      </c>
    </row>
    <row r="104" customFormat="false" ht="15" hidden="false" customHeight="false" outlineLevel="1" collapsed="false">
      <c r="B104" s="125" t="n">
        <v>47027</v>
      </c>
      <c r="C104" s="21" t="n">
        <f aca="false">G103</f>
        <v>184638.331624209</v>
      </c>
      <c r="D104" s="24" t="n">
        <f aca="false">C104*E$6</f>
        <v>769.326381767537</v>
      </c>
      <c r="E104" s="25" t="n">
        <f aca="false">E103</f>
        <v>1000</v>
      </c>
      <c r="F104" s="126" t="n">
        <f aca="false">D104+E104</f>
        <v>1769.32638176754</v>
      </c>
      <c r="G104" s="24" t="n">
        <f aca="false">C104-E104-F104</f>
        <v>181869.005242441</v>
      </c>
      <c r="I104" s="25" t="n">
        <f aca="false">I103+E104</f>
        <v>94000</v>
      </c>
      <c r="J104" s="24" t="n">
        <f aca="false">J103+D104</f>
        <v>130130.994757559</v>
      </c>
    </row>
    <row r="105" customFormat="false" ht="15" hidden="false" customHeight="false" outlineLevel="1" collapsed="false">
      <c r="B105" s="125" t="n">
        <v>47058</v>
      </c>
      <c r="C105" s="21" t="n">
        <f aca="false">G104</f>
        <v>181869.005242441</v>
      </c>
      <c r="D105" s="24" t="n">
        <f aca="false">C105*E$6</f>
        <v>757.787521843506</v>
      </c>
      <c r="E105" s="25" t="n">
        <f aca="false">E104</f>
        <v>1000</v>
      </c>
      <c r="F105" s="126" t="n">
        <f aca="false">D105+E105</f>
        <v>1757.78752184351</v>
      </c>
      <c r="G105" s="24" t="n">
        <f aca="false">C105-E105-F105</f>
        <v>179111.217720598</v>
      </c>
      <c r="I105" s="25" t="n">
        <f aca="false">I104+E105</f>
        <v>95000</v>
      </c>
      <c r="J105" s="24" t="n">
        <f aca="false">J104+D105</f>
        <v>130888.782279402</v>
      </c>
    </row>
    <row r="106" customFormat="false" ht="15" hidden="false" customHeight="false" outlineLevel="1" collapsed="false">
      <c r="B106" s="125" t="n">
        <v>47088</v>
      </c>
      <c r="C106" s="21" t="n">
        <f aca="false">G105</f>
        <v>179111.217720598</v>
      </c>
      <c r="D106" s="24" t="n">
        <f aca="false">C106*E$6</f>
        <v>746.296740502491</v>
      </c>
      <c r="E106" s="25" t="n">
        <f aca="false">E105</f>
        <v>1000</v>
      </c>
      <c r="F106" s="126" t="n">
        <f aca="false">D106+E106</f>
        <v>1746.29674050249</v>
      </c>
      <c r="G106" s="24" t="n">
        <f aca="false">C106-E106-F106</f>
        <v>176364.920980095</v>
      </c>
      <c r="I106" s="25" t="n">
        <f aca="false">I105+E106</f>
        <v>96000</v>
      </c>
      <c r="J106" s="24" t="n">
        <f aca="false">J105+D106</f>
        <v>131635.079019905</v>
      </c>
    </row>
    <row r="107" customFormat="false" ht="15" hidden="false" customHeight="false" outlineLevel="1" collapsed="false">
      <c r="B107" s="125" t="n">
        <v>47119</v>
      </c>
      <c r="C107" s="21" t="n">
        <f aca="false">G106</f>
        <v>176364.920980095</v>
      </c>
      <c r="D107" s="24" t="n">
        <f aca="false">C107*E$6</f>
        <v>734.853837417064</v>
      </c>
      <c r="E107" s="25" t="n">
        <f aca="false">E106</f>
        <v>1000</v>
      </c>
      <c r="F107" s="126" t="n">
        <f aca="false">D107+E107</f>
        <v>1734.85383741706</v>
      </c>
      <c r="G107" s="24" t="n">
        <f aca="false">C107-E107-F107</f>
        <v>173630.067142678</v>
      </c>
      <c r="I107" s="25" t="n">
        <f aca="false">I106+E107</f>
        <v>97000</v>
      </c>
      <c r="J107" s="24" t="n">
        <f aca="false">J106+D107</f>
        <v>132369.932857322</v>
      </c>
    </row>
    <row r="108" customFormat="false" ht="15" hidden="false" customHeight="false" outlineLevel="1" collapsed="false">
      <c r="B108" s="125" t="n">
        <v>47150</v>
      </c>
      <c r="C108" s="21" t="n">
        <f aca="false">G107</f>
        <v>173630.067142678</v>
      </c>
      <c r="D108" s="24" t="n">
        <f aca="false">C108*E$6</f>
        <v>723.458613094493</v>
      </c>
      <c r="E108" s="25" t="n">
        <f aca="false">E107</f>
        <v>1000</v>
      </c>
      <c r="F108" s="126" t="n">
        <f aca="false">D108+E108</f>
        <v>1723.45861309449</v>
      </c>
      <c r="G108" s="24" t="n">
        <f aca="false">C108-E108-F108</f>
        <v>170906.608529584</v>
      </c>
      <c r="I108" s="25" t="n">
        <f aca="false">I107+E108</f>
        <v>98000</v>
      </c>
      <c r="J108" s="24" t="n">
        <f aca="false">J107+D108</f>
        <v>133093.391470416</v>
      </c>
    </row>
    <row r="109" customFormat="false" ht="15" hidden="false" customHeight="false" outlineLevel="1" collapsed="false">
      <c r="B109" s="125" t="n">
        <v>47178</v>
      </c>
      <c r="C109" s="21" t="n">
        <f aca="false">G108</f>
        <v>170906.608529584</v>
      </c>
      <c r="D109" s="24" t="n">
        <f aca="false">C109*E$6</f>
        <v>712.110868873266</v>
      </c>
      <c r="E109" s="25" t="n">
        <f aca="false">E108</f>
        <v>1000</v>
      </c>
      <c r="F109" s="126" t="n">
        <f aca="false">D109+E109</f>
        <v>1712.11086887327</v>
      </c>
      <c r="G109" s="24" t="n">
        <f aca="false">C109-E109-F109</f>
        <v>168194.497660711</v>
      </c>
      <c r="I109" s="25" t="n">
        <f aca="false">I108+E109</f>
        <v>99000</v>
      </c>
      <c r="J109" s="24" t="n">
        <f aca="false">J108+D109</f>
        <v>133805.50233929</v>
      </c>
    </row>
    <row r="110" customFormat="false" ht="15" hidden="false" customHeight="false" outlineLevel="1" collapsed="false">
      <c r="B110" s="125" t="n">
        <v>47209</v>
      </c>
      <c r="C110" s="21" t="n">
        <f aca="false">G109</f>
        <v>168194.497660711</v>
      </c>
      <c r="D110" s="24" t="n">
        <f aca="false">C110*E$6</f>
        <v>700.810406919627</v>
      </c>
      <c r="E110" s="25" t="n">
        <f aca="false">E109</f>
        <v>1000</v>
      </c>
      <c r="F110" s="126" t="n">
        <f aca="false">D110+E110</f>
        <v>1700.81040691963</v>
      </c>
      <c r="G110" s="24" t="n">
        <f aca="false">C110-E110-F110</f>
        <v>165493.687253791</v>
      </c>
      <c r="I110" s="25" t="n">
        <f aca="false">I109+E110</f>
        <v>100000</v>
      </c>
      <c r="J110" s="24" t="n">
        <f aca="false">J109+D110</f>
        <v>134506.312746209</v>
      </c>
    </row>
    <row r="111" customFormat="false" ht="15" hidden="false" customHeight="false" outlineLevel="1" collapsed="false">
      <c r="B111" s="125" t="n">
        <v>47239</v>
      </c>
      <c r="C111" s="21" t="n">
        <f aca="false">G110</f>
        <v>165493.687253791</v>
      </c>
      <c r="D111" s="24" t="n">
        <f aca="false">C111*E$6</f>
        <v>689.557030224129</v>
      </c>
      <c r="E111" s="25" t="n">
        <f aca="false">E110</f>
        <v>1000</v>
      </c>
      <c r="F111" s="126" t="n">
        <f aca="false">D111+E111</f>
        <v>1689.55703022413</v>
      </c>
      <c r="G111" s="24" t="n">
        <f aca="false">C111-E111-F111</f>
        <v>162804.130223567</v>
      </c>
      <c r="I111" s="25" t="n">
        <f aca="false">I110+E111</f>
        <v>101000</v>
      </c>
      <c r="J111" s="24" t="n">
        <f aca="false">J110+D111</f>
        <v>135195.869776433</v>
      </c>
    </row>
    <row r="112" customFormat="false" ht="15" hidden="false" customHeight="false" outlineLevel="1" collapsed="false">
      <c r="B112" s="125" t="n">
        <v>47270</v>
      </c>
      <c r="C112" s="21" t="n">
        <f aca="false">G111</f>
        <v>162804.130223567</v>
      </c>
      <c r="D112" s="24" t="n">
        <f aca="false">C112*E$6</f>
        <v>678.350542598195</v>
      </c>
      <c r="E112" s="25" t="n">
        <f aca="false">E111</f>
        <v>1000</v>
      </c>
      <c r="F112" s="126" t="n">
        <f aca="false">D112+E112</f>
        <v>1678.3505425982</v>
      </c>
      <c r="G112" s="24" t="n">
        <f aca="false">C112-E112-F112</f>
        <v>160125.779680969</v>
      </c>
      <c r="I112" s="25" t="n">
        <f aca="false">I111+E112</f>
        <v>102000</v>
      </c>
      <c r="J112" s="24" t="n">
        <f aca="false">J111+D112</f>
        <v>135874.220319032</v>
      </c>
    </row>
    <row r="113" customFormat="false" ht="15" hidden="false" customHeight="false" outlineLevel="1" collapsed="false">
      <c r="B113" s="125" t="n">
        <v>47300</v>
      </c>
      <c r="C113" s="21" t="n">
        <f aca="false">G112</f>
        <v>160125.779680969</v>
      </c>
      <c r="D113" s="24" t="n">
        <f aca="false">C113*E$6</f>
        <v>667.190748670703</v>
      </c>
      <c r="E113" s="25" t="n">
        <f aca="false">E112</f>
        <v>1000</v>
      </c>
      <c r="F113" s="126" t="n">
        <f aca="false">D113+E113</f>
        <v>1667.1907486707</v>
      </c>
      <c r="G113" s="24" t="n">
        <f aca="false">C113-E113-F113</f>
        <v>157458.588932298</v>
      </c>
      <c r="I113" s="25" t="n">
        <f aca="false">I112+E113</f>
        <v>103000</v>
      </c>
      <c r="J113" s="24" t="n">
        <f aca="false">J112+D113</f>
        <v>136541.411067702</v>
      </c>
    </row>
    <row r="114" customFormat="false" ht="15" hidden="false" customHeight="false" outlineLevel="1" collapsed="false">
      <c r="B114" s="125" t="n">
        <v>47331</v>
      </c>
      <c r="C114" s="21" t="n">
        <f aca="false">G113</f>
        <v>157458.588932298</v>
      </c>
      <c r="D114" s="24" t="n">
        <f aca="false">C114*E$6</f>
        <v>656.077453884575</v>
      </c>
      <c r="E114" s="25" t="n">
        <f aca="false">E113</f>
        <v>1000</v>
      </c>
      <c r="F114" s="126" t="n">
        <f aca="false">D114+E114</f>
        <v>1656.07745388457</v>
      </c>
      <c r="G114" s="24" t="n">
        <f aca="false">C114-E114-F114</f>
        <v>154802.511478413</v>
      </c>
      <c r="I114" s="25" t="n">
        <f aca="false">I113+E114</f>
        <v>104000</v>
      </c>
      <c r="J114" s="24" t="n">
        <f aca="false">J113+D114</f>
        <v>137197.488521587</v>
      </c>
    </row>
    <row r="115" customFormat="false" ht="15" hidden="false" customHeight="false" outlineLevel="1" collapsed="false">
      <c r="B115" s="125" t="n">
        <v>47362</v>
      </c>
      <c r="C115" s="21" t="n">
        <f aca="false">G114</f>
        <v>154802.511478413</v>
      </c>
      <c r="D115" s="24" t="n">
        <f aca="false">C115*E$6</f>
        <v>645.010464493389</v>
      </c>
      <c r="E115" s="25" t="n">
        <f aca="false">E114</f>
        <v>1000</v>
      </c>
      <c r="F115" s="126" t="n">
        <f aca="false">D115+E115</f>
        <v>1645.01046449339</v>
      </c>
      <c r="G115" s="24" t="n">
        <f aca="false">C115-E115-F115</f>
        <v>152157.50101392</v>
      </c>
      <c r="I115" s="25" t="n">
        <f aca="false">I114+E115</f>
        <v>105000</v>
      </c>
      <c r="J115" s="24" t="n">
        <f aca="false">J114+D115</f>
        <v>137842.49898608</v>
      </c>
    </row>
    <row r="116" customFormat="false" ht="15" hidden="false" customHeight="false" outlineLevel="1" collapsed="false">
      <c r="B116" s="125" t="n">
        <v>47392</v>
      </c>
      <c r="C116" s="21" t="n">
        <f aca="false">G115</f>
        <v>152157.50101392</v>
      </c>
      <c r="D116" s="24" t="n">
        <f aca="false">C116*E$6</f>
        <v>633.989587558</v>
      </c>
      <c r="E116" s="25" t="n">
        <f aca="false">E115</f>
        <v>1000</v>
      </c>
      <c r="F116" s="126" t="n">
        <f aca="false">D116+E116</f>
        <v>1633.989587558</v>
      </c>
      <c r="G116" s="24" t="n">
        <f aca="false">C116-E116-F116</f>
        <v>149523.511426362</v>
      </c>
      <c r="I116" s="25" t="n">
        <f aca="false">I115+E116</f>
        <v>106000</v>
      </c>
      <c r="J116" s="24" t="n">
        <f aca="false">J115+D116</f>
        <v>138476.488573638</v>
      </c>
    </row>
    <row r="117" customFormat="false" ht="15" hidden="false" customHeight="false" outlineLevel="1" collapsed="false">
      <c r="B117" s="125" t="n">
        <v>47423</v>
      </c>
      <c r="C117" s="21" t="n">
        <f aca="false">G116</f>
        <v>149523.511426362</v>
      </c>
      <c r="D117" s="24" t="n">
        <f aca="false">C117*E$6</f>
        <v>623.014630943175</v>
      </c>
      <c r="E117" s="25" t="n">
        <f aca="false">E116</f>
        <v>1000</v>
      </c>
      <c r="F117" s="126" t="n">
        <f aca="false">D117+E117</f>
        <v>1623.01463094317</v>
      </c>
      <c r="G117" s="24" t="n">
        <f aca="false">C117-E117-F117</f>
        <v>146900.496795419</v>
      </c>
      <c r="I117" s="25" t="n">
        <f aca="false">I116+E117</f>
        <v>107000</v>
      </c>
      <c r="J117" s="24" t="n">
        <f aca="false">J116+D117</f>
        <v>139099.503204581</v>
      </c>
    </row>
    <row r="118" customFormat="false" ht="15" hidden="false" customHeight="false" outlineLevel="1" collapsed="false">
      <c r="B118" s="125" t="n">
        <v>47453</v>
      </c>
      <c r="C118" s="21" t="n">
        <f aca="false">G117</f>
        <v>146900.496795419</v>
      </c>
      <c r="D118" s="24" t="n">
        <f aca="false">C118*E$6</f>
        <v>612.085403314245</v>
      </c>
      <c r="E118" s="25" t="n">
        <f aca="false">E117</f>
        <v>1000</v>
      </c>
      <c r="F118" s="126" t="n">
        <f aca="false">D118+E118</f>
        <v>1612.08540331425</v>
      </c>
      <c r="G118" s="24" t="n">
        <f aca="false">C118-E118-F118</f>
        <v>144288.411392105</v>
      </c>
      <c r="I118" s="25" t="n">
        <f aca="false">I117+E118</f>
        <v>108000</v>
      </c>
      <c r="J118" s="24" t="n">
        <f aca="false">J117+D118</f>
        <v>139711.588607896</v>
      </c>
    </row>
    <row r="119" customFormat="false" ht="15" hidden="false" customHeight="false" outlineLevel="1" collapsed="false">
      <c r="B119" s="125" t="n">
        <v>47484</v>
      </c>
      <c r="C119" s="21" t="n">
        <f aca="false">G118</f>
        <v>144288.411392105</v>
      </c>
      <c r="D119" s="24" t="n">
        <f aca="false">C119*E$6</f>
        <v>601.201714133769</v>
      </c>
      <c r="E119" s="25" t="n">
        <f aca="false">E118</f>
        <v>1000</v>
      </c>
      <c r="F119" s="126" t="n">
        <f aca="false">D119+E119</f>
        <v>1601.20171413377</v>
      </c>
      <c r="G119" s="24" t="n">
        <f aca="false">C119-E119-F119</f>
        <v>141687.209677971</v>
      </c>
      <c r="I119" s="25" t="n">
        <f aca="false">I118+E119</f>
        <v>109000</v>
      </c>
      <c r="J119" s="24" t="n">
        <f aca="false">J118+D119</f>
        <v>140312.790322029</v>
      </c>
    </row>
    <row r="120" customFormat="false" ht="15" hidden="false" customHeight="false" outlineLevel="1" collapsed="false">
      <c r="B120" s="125" t="n">
        <v>47515</v>
      </c>
      <c r="C120" s="21" t="n">
        <f aca="false">G119</f>
        <v>141687.209677971</v>
      </c>
      <c r="D120" s="24" t="n">
        <f aca="false">C120*E$6</f>
        <v>590.363373658212</v>
      </c>
      <c r="E120" s="25" t="n">
        <f aca="false">E119</f>
        <v>1000</v>
      </c>
      <c r="F120" s="126" t="n">
        <f aca="false">D120+E120</f>
        <v>1590.36337365821</v>
      </c>
      <c r="G120" s="24" t="n">
        <f aca="false">C120-E120-F120</f>
        <v>139096.846304313</v>
      </c>
      <c r="I120" s="25" t="n">
        <f aca="false">I119+E120</f>
        <v>110000</v>
      </c>
      <c r="J120" s="24" t="n">
        <f aca="false">J119+D120</f>
        <v>140903.153695688</v>
      </c>
    </row>
    <row r="121" customFormat="false" ht="15" hidden="false" customHeight="false" outlineLevel="1" collapsed="false">
      <c r="B121" s="125" t="n">
        <v>47543</v>
      </c>
      <c r="C121" s="21" t="n">
        <f aca="false">G120</f>
        <v>139096.846304313</v>
      </c>
      <c r="D121" s="24" t="n">
        <f aca="false">C121*E$6</f>
        <v>579.570192934636</v>
      </c>
      <c r="E121" s="25" t="n">
        <f aca="false">E120</f>
        <v>1000</v>
      </c>
      <c r="F121" s="126" t="n">
        <f aca="false">D121+E121</f>
        <v>1579.57019293464</v>
      </c>
      <c r="G121" s="24" t="n">
        <f aca="false">C121-E121-F121</f>
        <v>136517.276111378</v>
      </c>
      <c r="I121" s="25" t="n">
        <f aca="false">I120+E121</f>
        <v>111000</v>
      </c>
      <c r="J121" s="24" t="n">
        <f aca="false">J120+D121</f>
        <v>141482.723888622</v>
      </c>
    </row>
    <row r="122" customFormat="false" ht="15" hidden="false" customHeight="false" outlineLevel="1" collapsed="false">
      <c r="B122" s="125" t="n">
        <v>47574</v>
      </c>
      <c r="C122" s="21" t="n">
        <f aca="false">G121</f>
        <v>136517.276111378</v>
      </c>
      <c r="D122" s="24" t="n">
        <f aca="false">C122*E$6</f>
        <v>568.821983797408</v>
      </c>
      <c r="E122" s="25" t="n">
        <f aca="false">E121</f>
        <v>1000</v>
      </c>
      <c r="F122" s="126" t="n">
        <f aca="false">D122+E122</f>
        <v>1568.82198379741</v>
      </c>
      <c r="G122" s="24" t="n">
        <f aca="false">C122-E122-F122</f>
        <v>133948.454127581</v>
      </c>
      <c r="I122" s="25" t="n">
        <f aca="false">I121+E122</f>
        <v>112000</v>
      </c>
      <c r="J122" s="24" t="n">
        <f aca="false">J121+D122</f>
        <v>142051.54587242</v>
      </c>
    </row>
    <row r="123" customFormat="false" ht="15" hidden="false" customHeight="false" outlineLevel="1" collapsed="false">
      <c r="B123" s="125" t="n">
        <v>47604</v>
      </c>
      <c r="C123" s="21" t="n">
        <f aca="false">G122</f>
        <v>133948.454127581</v>
      </c>
      <c r="D123" s="24" t="n">
        <f aca="false">C123*E$6</f>
        <v>558.118558864919</v>
      </c>
      <c r="E123" s="25" t="n">
        <f aca="false">E122</f>
        <v>1000</v>
      </c>
      <c r="F123" s="126" t="n">
        <f aca="false">D123+E123</f>
        <v>1558.11855886492</v>
      </c>
      <c r="G123" s="24" t="n">
        <f aca="false">C123-E123-F123</f>
        <v>131390.335568716</v>
      </c>
      <c r="I123" s="25" t="n">
        <f aca="false">I122+E123</f>
        <v>113000</v>
      </c>
      <c r="J123" s="24" t="n">
        <f aca="false">J122+D123</f>
        <v>142609.664431285</v>
      </c>
    </row>
    <row r="124" customFormat="false" ht="15" hidden="false" customHeight="false" outlineLevel="1" collapsed="false">
      <c r="B124" s="125" t="n">
        <v>47635</v>
      </c>
      <c r="C124" s="21" t="n">
        <f aca="false">G123</f>
        <v>131390.335568716</v>
      </c>
      <c r="D124" s="24" t="n">
        <f aca="false">C124*E$6</f>
        <v>547.459731536315</v>
      </c>
      <c r="E124" s="25" t="n">
        <f aca="false">E123</f>
        <v>1000</v>
      </c>
      <c r="F124" s="126" t="n">
        <f aca="false">D124+E124</f>
        <v>1547.45973153632</v>
      </c>
      <c r="G124" s="24" t="n">
        <f aca="false">C124-E124-F124</f>
        <v>128842.875837179</v>
      </c>
      <c r="I124" s="25" t="n">
        <f aca="false">I123+E124</f>
        <v>114000</v>
      </c>
      <c r="J124" s="24" t="n">
        <f aca="false">J123+D124</f>
        <v>143157.124162821</v>
      </c>
    </row>
    <row r="125" customFormat="false" ht="15" hidden="false" customHeight="false" outlineLevel="1" collapsed="false">
      <c r="B125" s="125" t="n">
        <v>47665</v>
      </c>
      <c r="C125" s="21" t="n">
        <f aca="false">G124</f>
        <v>128842.875837179</v>
      </c>
      <c r="D125" s="24" t="n">
        <f aca="false">C125*E$6</f>
        <v>536.845315988247</v>
      </c>
      <c r="E125" s="25" t="n">
        <f aca="false">E124</f>
        <v>1000</v>
      </c>
      <c r="F125" s="126" t="n">
        <f aca="false">D125+E125</f>
        <v>1536.84531598825</v>
      </c>
      <c r="G125" s="24" t="n">
        <f aca="false">C125-E125-F125</f>
        <v>126306.030521191</v>
      </c>
      <c r="I125" s="25" t="n">
        <f aca="false">I124+E125</f>
        <v>115000</v>
      </c>
      <c r="J125" s="24" t="n">
        <f aca="false">J124+D125</f>
        <v>143693.969478809</v>
      </c>
    </row>
    <row r="126" customFormat="false" ht="15" hidden="false" customHeight="false" outlineLevel="1" collapsed="false">
      <c r="B126" s="125" t="n">
        <v>47696</v>
      </c>
      <c r="C126" s="21" t="n">
        <f aca="false">G125</f>
        <v>126306.030521191</v>
      </c>
      <c r="D126" s="24" t="n">
        <f aca="false">C126*E$6</f>
        <v>526.275127171629</v>
      </c>
      <c r="E126" s="25" t="n">
        <f aca="false">E125</f>
        <v>1000</v>
      </c>
      <c r="F126" s="126" t="n">
        <f aca="false">D126+E126</f>
        <v>1526.27512717163</v>
      </c>
      <c r="G126" s="24" t="n">
        <f aca="false">C126-E126-F126</f>
        <v>123779.755394019</v>
      </c>
      <c r="I126" s="25" t="n">
        <f aca="false">I125+E126</f>
        <v>116000</v>
      </c>
      <c r="J126" s="24" t="n">
        <f aca="false">J125+D126</f>
        <v>144220.244605981</v>
      </c>
    </row>
    <row r="127" customFormat="false" ht="15" hidden="false" customHeight="false" outlineLevel="1" collapsed="false">
      <c r="B127" s="125" t="n">
        <v>47727</v>
      </c>
      <c r="C127" s="21" t="n">
        <f aca="false">G126</f>
        <v>123779.755394019</v>
      </c>
      <c r="D127" s="24" t="n">
        <f aca="false">C127*E$6</f>
        <v>515.748980808414</v>
      </c>
      <c r="E127" s="25" t="n">
        <f aca="false">E126</f>
        <v>1000</v>
      </c>
      <c r="F127" s="126" t="n">
        <f aca="false">D127+E127</f>
        <v>1515.74898080841</v>
      </c>
      <c r="G127" s="24" t="n">
        <f aca="false">C127-E127-F127</f>
        <v>121264.006413211</v>
      </c>
      <c r="I127" s="25" t="n">
        <f aca="false">I126+E127</f>
        <v>117000</v>
      </c>
      <c r="J127" s="24" t="n">
        <f aca="false">J126+D127</f>
        <v>144735.993586789</v>
      </c>
    </row>
    <row r="128" customFormat="false" ht="15" hidden="false" customHeight="false" outlineLevel="1" collapsed="false">
      <c r="B128" s="125" t="n">
        <v>47757</v>
      </c>
      <c r="C128" s="21" t="n">
        <f aca="false">G127</f>
        <v>121264.006413211</v>
      </c>
      <c r="D128" s="24" t="n">
        <f aca="false">C128*E$6</f>
        <v>505.266693388379</v>
      </c>
      <c r="E128" s="25" t="n">
        <f aca="false">E127</f>
        <v>1000</v>
      </c>
      <c r="F128" s="126" t="n">
        <f aca="false">D128+E128</f>
        <v>1505.26669338838</v>
      </c>
      <c r="G128" s="24" t="n">
        <f aca="false">C128-E128-F128</f>
        <v>118758.739719823</v>
      </c>
      <c r="I128" s="25" t="n">
        <f aca="false">I127+E128</f>
        <v>118000</v>
      </c>
      <c r="J128" s="24" t="n">
        <f aca="false">J127+D128</f>
        <v>145241.260280178</v>
      </c>
    </row>
    <row r="129" customFormat="false" ht="15" hidden="false" customHeight="false" outlineLevel="1" collapsed="false">
      <c r="B129" s="125" t="n">
        <v>47788</v>
      </c>
      <c r="C129" s="21" t="n">
        <f aca="false">G128</f>
        <v>118758.739719823</v>
      </c>
      <c r="D129" s="24" t="n">
        <f aca="false">C129*E$6</f>
        <v>494.828082165928</v>
      </c>
      <c r="E129" s="25" t="n">
        <f aca="false">E128</f>
        <v>1000</v>
      </c>
      <c r="F129" s="127" t="n">
        <v>0</v>
      </c>
      <c r="G129" s="24" t="n">
        <f aca="false">C129-E129-F129</f>
        <v>117758.739719823</v>
      </c>
      <c r="I129" s="25" t="n">
        <f aca="false">I128+E129</f>
        <v>119000</v>
      </c>
      <c r="J129" s="24" t="n">
        <f aca="false">J128+D129</f>
        <v>145736.088362343</v>
      </c>
    </row>
    <row r="130" customFormat="false" ht="15" hidden="false" customHeight="false" outlineLevel="1" collapsed="false">
      <c r="B130" s="125" t="n">
        <v>47818</v>
      </c>
      <c r="C130" s="21" t="n">
        <f aca="false">G129</f>
        <v>117758.739719823</v>
      </c>
      <c r="D130" s="24" t="n">
        <f aca="false">C130*E$6</f>
        <v>490.661415499261</v>
      </c>
      <c r="E130" s="25" t="n">
        <f aca="false">E129</f>
        <v>1000</v>
      </c>
      <c r="F130" s="126" t="n">
        <v>0</v>
      </c>
      <c r="G130" s="24" t="n">
        <f aca="false">C130-E130-F130</f>
        <v>116758.739719823</v>
      </c>
      <c r="I130" s="25" t="n">
        <f aca="false">I129+E130</f>
        <v>120000</v>
      </c>
      <c r="J130" s="24" t="n">
        <f aca="false">J129+D130</f>
        <v>146226.749777843</v>
      </c>
    </row>
    <row r="131" customFormat="false" ht="15" hidden="false" customHeight="false" outlineLevel="1" collapsed="false">
      <c r="B131" s="125" t="n">
        <v>47849</v>
      </c>
      <c r="C131" s="21" t="n">
        <f aca="false">G130</f>
        <v>116758.739719823</v>
      </c>
      <c r="D131" s="24" t="n">
        <f aca="false">C131*E$6</f>
        <v>486.494748832594</v>
      </c>
      <c r="E131" s="25" t="n">
        <f aca="false">E130</f>
        <v>1000</v>
      </c>
      <c r="F131" s="127" t="n">
        <v>0</v>
      </c>
      <c r="G131" s="24" t="n">
        <f aca="false">C131-E131-F131</f>
        <v>115758.739719823</v>
      </c>
      <c r="I131" s="25" t="n">
        <f aca="false">I130+E131</f>
        <v>121000</v>
      </c>
      <c r="J131" s="24" t="n">
        <f aca="false">J130+D131</f>
        <v>146713.244526675</v>
      </c>
    </row>
    <row r="132" customFormat="false" ht="15" hidden="false" customHeight="false" outlineLevel="1" collapsed="false">
      <c r="B132" s="125" t="n">
        <v>47880</v>
      </c>
      <c r="C132" s="21" t="n">
        <f aca="false">G131</f>
        <v>115758.739719823</v>
      </c>
      <c r="D132" s="24" t="n">
        <f aca="false">C132*E$6</f>
        <v>482.328082165928</v>
      </c>
      <c r="E132" s="25" t="n">
        <f aca="false">E131</f>
        <v>1000</v>
      </c>
      <c r="F132" s="126" t="n">
        <v>0</v>
      </c>
      <c r="G132" s="24" t="n">
        <f aca="false">C132-E132-F132</f>
        <v>114758.739719823</v>
      </c>
      <c r="I132" s="25" t="n">
        <f aca="false">I131+E132</f>
        <v>122000</v>
      </c>
      <c r="J132" s="24" t="n">
        <f aca="false">J131+D132</f>
        <v>147195.572608841</v>
      </c>
    </row>
    <row r="133" customFormat="false" ht="15" hidden="false" customHeight="false" outlineLevel="1" collapsed="false">
      <c r="B133" s="125" t="n">
        <v>47908</v>
      </c>
      <c r="C133" s="21" t="n">
        <f aca="false">G132</f>
        <v>114758.739719823</v>
      </c>
      <c r="D133" s="24" t="n">
        <f aca="false">C133*E$6</f>
        <v>478.161415499261</v>
      </c>
      <c r="E133" s="25" t="n">
        <f aca="false">E132</f>
        <v>1000</v>
      </c>
      <c r="F133" s="127" t="n">
        <v>0</v>
      </c>
      <c r="G133" s="24" t="n">
        <f aca="false">C133-E133-F133</f>
        <v>113758.739719823</v>
      </c>
      <c r="I133" s="25" t="n">
        <f aca="false">I132+E133</f>
        <v>123000</v>
      </c>
      <c r="J133" s="24" t="n">
        <f aca="false">J132+D133</f>
        <v>147673.73402434</v>
      </c>
    </row>
    <row r="134" customFormat="false" ht="15" hidden="false" customHeight="false" outlineLevel="1" collapsed="false">
      <c r="B134" s="125" t="n">
        <v>47939</v>
      </c>
      <c r="C134" s="21" t="n">
        <f aca="false">G133</f>
        <v>113758.739719823</v>
      </c>
      <c r="D134" s="24" t="n">
        <f aca="false">C134*E$6</f>
        <v>473.994748832594</v>
      </c>
      <c r="E134" s="25" t="n">
        <f aca="false">E133</f>
        <v>1000</v>
      </c>
      <c r="F134" s="126" t="n">
        <v>0</v>
      </c>
      <c r="G134" s="24" t="n">
        <f aca="false">C134-E134-F134</f>
        <v>112758.739719823</v>
      </c>
      <c r="I134" s="25" t="n">
        <f aca="false">I133+E134</f>
        <v>124000</v>
      </c>
      <c r="J134" s="24" t="n">
        <f aca="false">J133+D134</f>
        <v>148147.728773173</v>
      </c>
    </row>
    <row r="135" customFormat="false" ht="15" hidden="false" customHeight="false" outlineLevel="1" collapsed="false">
      <c r="B135" s="125" t="n">
        <v>47969</v>
      </c>
      <c r="C135" s="21" t="n">
        <f aca="false">G134</f>
        <v>112758.739719823</v>
      </c>
      <c r="D135" s="24" t="n">
        <f aca="false">C135*E$6</f>
        <v>469.828082165928</v>
      </c>
      <c r="E135" s="25" t="n">
        <f aca="false">E134</f>
        <v>1000</v>
      </c>
      <c r="F135" s="127" t="n">
        <v>0</v>
      </c>
      <c r="G135" s="24" t="n">
        <f aca="false">C135-E135-F135</f>
        <v>111758.739719823</v>
      </c>
      <c r="I135" s="25" t="n">
        <f aca="false">I134+E135</f>
        <v>125000</v>
      </c>
      <c r="J135" s="24" t="n">
        <f aca="false">J134+D135</f>
        <v>148617.556855339</v>
      </c>
    </row>
    <row r="136" customFormat="false" ht="15" hidden="false" customHeight="false" outlineLevel="1" collapsed="false">
      <c r="B136" s="125" t="n">
        <v>48000</v>
      </c>
      <c r="C136" s="21" t="n">
        <f aca="false">G135</f>
        <v>111758.739719823</v>
      </c>
      <c r="D136" s="24" t="n">
        <f aca="false">C136*E$6</f>
        <v>465.661415499261</v>
      </c>
      <c r="E136" s="25" t="n">
        <f aca="false">E135</f>
        <v>1000</v>
      </c>
      <c r="F136" s="126" t="n">
        <v>0</v>
      </c>
      <c r="G136" s="24" t="n">
        <f aca="false">C136-E136-F136</f>
        <v>110758.739719823</v>
      </c>
      <c r="I136" s="25" t="n">
        <f aca="false">I135+E136</f>
        <v>126000</v>
      </c>
      <c r="J136" s="24" t="n">
        <f aca="false">J135+D136</f>
        <v>149083.218270838</v>
      </c>
    </row>
    <row r="137" customFormat="false" ht="15" hidden="false" customHeight="false" outlineLevel="1" collapsed="false">
      <c r="B137" s="125" t="n">
        <v>48030</v>
      </c>
      <c r="C137" s="21" t="n">
        <f aca="false">G136</f>
        <v>110758.739719823</v>
      </c>
      <c r="D137" s="24" t="n">
        <f aca="false">C137*E$6</f>
        <v>461.494748832594</v>
      </c>
      <c r="E137" s="25" t="n">
        <f aca="false">E136</f>
        <v>1000</v>
      </c>
      <c r="F137" s="127" t="n">
        <v>0</v>
      </c>
      <c r="G137" s="24" t="n">
        <f aca="false">C137-E137-F137</f>
        <v>109758.739719823</v>
      </c>
      <c r="I137" s="25" t="n">
        <f aca="false">I136+E137</f>
        <v>127000</v>
      </c>
      <c r="J137" s="24" t="n">
        <f aca="false">J136+D137</f>
        <v>149544.713019671</v>
      </c>
    </row>
    <row r="138" customFormat="false" ht="15" hidden="false" customHeight="false" outlineLevel="1" collapsed="false">
      <c r="B138" s="125" t="n">
        <v>48061</v>
      </c>
      <c r="C138" s="21" t="n">
        <f aca="false">G137</f>
        <v>109758.739719823</v>
      </c>
      <c r="D138" s="24" t="n">
        <f aca="false">C138*E$6</f>
        <v>457.328082165928</v>
      </c>
      <c r="E138" s="25" t="n">
        <f aca="false">E137</f>
        <v>1000</v>
      </c>
      <c r="F138" s="126" t="n">
        <v>0</v>
      </c>
      <c r="G138" s="24" t="n">
        <f aca="false">C138-E138-F138</f>
        <v>108758.739719823</v>
      </c>
      <c r="I138" s="25" t="n">
        <f aca="false">I137+E138</f>
        <v>128000</v>
      </c>
      <c r="J138" s="24" t="n">
        <f aca="false">J137+D138</f>
        <v>150002.041101837</v>
      </c>
    </row>
    <row r="139" customFormat="false" ht="15" hidden="false" customHeight="false" outlineLevel="1" collapsed="false">
      <c r="B139" s="125" t="n">
        <v>48092</v>
      </c>
      <c r="C139" s="21" t="n">
        <f aca="false">G138</f>
        <v>108758.739719823</v>
      </c>
      <c r="D139" s="24" t="n">
        <f aca="false">C139*E$6</f>
        <v>453.161415499261</v>
      </c>
      <c r="E139" s="25" t="n">
        <f aca="false">E138</f>
        <v>1000</v>
      </c>
      <c r="F139" s="127" t="n">
        <v>0</v>
      </c>
      <c r="G139" s="24" t="n">
        <f aca="false">C139-E139-F139</f>
        <v>107758.739719823</v>
      </c>
      <c r="I139" s="25" t="n">
        <f aca="false">I138+E139</f>
        <v>129000</v>
      </c>
      <c r="J139" s="24" t="n">
        <f aca="false">J138+D139</f>
        <v>150455.202517336</v>
      </c>
    </row>
    <row r="140" customFormat="false" ht="15" hidden="false" customHeight="false" outlineLevel="1" collapsed="false">
      <c r="B140" s="125" t="n">
        <v>48122</v>
      </c>
      <c r="C140" s="21" t="n">
        <f aca="false">G139</f>
        <v>107758.739719823</v>
      </c>
      <c r="D140" s="24" t="n">
        <f aca="false">C140*E$6</f>
        <v>448.994748832594</v>
      </c>
      <c r="E140" s="25" t="n">
        <f aca="false">E139</f>
        <v>1000</v>
      </c>
      <c r="F140" s="126" t="n">
        <v>0</v>
      </c>
      <c r="G140" s="24" t="n">
        <f aca="false">C140-E140-F140</f>
        <v>106758.739719823</v>
      </c>
      <c r="I140" s="25" t="n">
        <f aca="false">I139+E140</f>
        <v>130000</v>
      </c>
      <c r="J140" s="24" t="n">
        <f aca="false">J139+D140</f>
        <v>150904.197266169</v>
      </c>
    </row>
    <row r="141" customFormat="false" ht="15" hidden="false" customHeight="false" outlineLevel="1" collapsed="false">
      <c r="B141" s="125" t="n">
        <v>48153</v>
      </c>
      <c r="C141" s="21" t="n">
        <f aca="false">G140</f>
        <v>106758.739719823</v>
      </c>
      <c r="D141" s="24" t="n">
        <f aca="false">C141*E$6</f>
        <v>444.828082165928</v>
      </c>
      <c r="E141" s="25" t="n">
        <f aca="false">E140</f>
        <v>1000</v>
      </c>
      <c r="F141" s="127" t="n">
        <v>0</v>
      </c>
      <c r="G141" s="24" t="n">
        <f aca="false">C141-E141-F141</f>
        <v>105758.739719823</v>
      </c>
      <c r="I141" s="25" t="n">
        <f aca="false">I140+E141</f>
        <v>131000</v>
      </c>
      <c r="J141" s="24" t="n">
        <f aca="false">J140+D141</f>
        <v>151349.025348335</v>
      </c>
    </row>
    <row r="142" customFormat="false" ht="15" hidden="false" customHeight="false" outlineLevel="1" collapsed="false">
      <c r="B142" s="125" t="n">
        <v>48183</v>
      </c>
      <c r="C142" s="21" t="n">
        <f aca="false">G141</f>
        <v>105758.739719823</v>
      </c>
      <c r="D142" s="24" t="n">
        <f aca="false">C142*E$6</f>
        <v>440.661415499261</v>
      </c>
      <c r="E142" s="25" t="n">
        <f aca="false">E141</f>
        <v>1000</v>
      </c>
      <c r="F142" s="126" t="n">
        <v>0</v>
      </c>
      <c r="G142" s="24" t="n">
        <f aca="false">C142-E142-F142</f>
        <v>104758.739719823</v>
      </c>
      <c r="I142" s="25" t="n">
        <f aca="false">I141+E142</f>
        <v>132000</v>
      </c>
      <c r="J142" s="24" t="n">
        <f aca="false">J141+D142</f>
        <v>151789.686763834</v>
      </c>
    </row>
    <row r="143" customFormat="false" ht="15" hidden="false" customHeight="false" outlineLevel="1" collapsed="false">
      <c r="B143" s="125" t="n">
        <v>48214</v>
      </c>
      <c r="C143" s="21" t="n">
        <f aca="false">G142</f>
        <v>104758.739719823</v>
      </c>
      <c r="D143" s="24" t="n">
        <f aca="false">C143*E$6</f>
        <v>436.494748832594</v>
      </c>
      <c r="E143" s="25" t="n">
        <f aca="false">E142</f>
        <v>1000</v>
      </c>
      <c r="F143" s="127" t="n">
        <v>0</v>
      </c>
      <c r="G143" s="24" t="n">
        <f aca="false">C143-E143-F143</f>
        <v>103758.739719823</v>
      </c>
      <c r="I143" s="25" t="n">
        <f aca="false">I142+E143</f>
        <v>133000</v>
      </c>
      <c r="J143" s="24" t="n">
        <f aca="false">J142+D143</f>
        <v>152226.181512666</v>
      </c>
    </row>
    <row r="144" customFormat="false" ht="15" hidden="false" customHeight="false" outlineLevel="1" collapsed="false">
      <c r="B144" s="125" t="n">
        <v>48245</v>
      </c>
      <c r="C144" s="21" t="n">
        <f aca="false">G143</f>
        <v>103758.739719823</v>
      </c>
      <c r="D144" s="24" t="n">
        <f aca="false">C144*E$6</f>
        <v>432.328082165928</v>
      </c>
      <c r="E144" s="25" t="n">
        <f aca="false">E143</f>
        <v>1000</v>
      </c>
      <c r="F144" s="126" t="n">
        <v>0</v>
      </c>
      <c r="G144" s="24" t="n">
        <f aca="false">C144-E144-F144</f>
        <v>102758.739719823</v>
      </c>
      <c r="I144" s="25" t="n">
        <f aca="false">I143+E144</f>
        <v>134000</v>
      </c>
      <c r="J144" s="24" t="n">
        <f aca="false">J143+D144</f>
        <v>152658.509594832</v>
      </c>
    </row>
    <row r="145" customFormat="false" ht="15" hidden="false" customHeight="false" outlineLevel="1" collapsed="false">
      <c r="B145" s="125" t="n">
        <v>48274</v>
      </c>
      <c r="C145" s="21" t="n">
        <f aca="false">G144</f>
        <v>102758.739719823</v>
      </c>
      <c r="D145" s="24" t="n">
        <f aca="false">C145*E$6</f>
        <v>428.161415499261</v>
      </c>
      <c r="E145" s="25" t="n">
        <f aca="false">E144</f>
        <v>1000</v>
      </c>
      <c r="F145" s="127" t="n">
        <v>0</v>
      </c>
      <c r="G145" s="24" t="n">
        <f aca="false">C145-E145-F145</f>
        <v>101758.739719823</v>
      </c>
      <c r="I145" s="25" t="n">
        <f aca="false">I144+E145</f>
        <v>135000</v>
      </c>
      <c r="J145" s="24" t="n">
        <f aca="false">J144+D145</f>
        <v>153086.671010332</v>
      </c>
    </row>
    <row r="146" customFormat="false" ht="15" hidden="false" customHeight="false" outlineLevel="1" collapsed="false">
      <c r="B146" s="125" t="n">
        <v>48305</v>
      </c>
      <c r="C146" s="21" t="n">
        <f aca="false">G145</f>
        <v>101758.739719823</v>
      </c>
      <c r="D146" s="24" t="n">
        <f aca="false">C146*E$6</f>
        <v>423.994748832594</v>
      </c>
      <c r="E146" s="25" t="n">
        <f aca="false">E145</f>
        <v>1000</v>
      </c>
      <c r="F146" s="126" t="n">
        <v>0</v>
      </c>
      <c r="G146" s="24" t="n">
        <f aca="false">C146-E146-F146</f>
        <v>100758.739719823</v>
      </c>
      <c r="I146" s="25" t="n">
        <f aca="false">I145+E146</f>
        <v>136000</v>
      </c>
      <c r="J146" s="24" t="n">
        <f aca="false">J145+D146</f>
        <v>153510.665759164</v>
      </c>
    </row>
    <row r="147" customFormat="false" ht="15" hidden="false" customHeight="false" outlineLevel="1" collapsed="false">
      <c r="B147" s="125" t="n">
        <v>48335</v>
      </c>
      <c r="C147" s="21" t="n">
        <f aca="false">G146</f>
        <v>100758.739719823</v>
      </c>
      <c r="D147" s="24" t="n">
        <f aca="false">C147*E$6</f>
        <v>419.828082165928</v>
      </c>
      <c r="E147" s="25" t="n">
        <f aca="false">E146</f>
        <v>1000</v>
      </c>
      <c r="F147" s="127" t="n">
        <v>0</v>
      </c>
      <c r="G147" s="24" t="n">
        <f aca="false">C147-E147-F147</f>
        <v>99758.7397198226</v>
      </c>
      <c r="I147" s="25" t="n">
        <f aca="false">I146+E147</f>
        <v>137000</v>
      </c>
      <c r="J147" s="24" t="n">
        <f aca="false">J146+D147</f>
        <v>153930.49384133</v>
      </c>
    </row>
    <row r="148" customFormat="false" ht="15" hidden="false" customHeight="false" outlineLevel="1" collapsed="false">
      <c r="B148" s="125" t="n">
        <v>48366</v>
      </c>
      <c r="C148" s="21" t="n">
        <f aca="false">G147</f>
        <v>99758.7397198226</v>
      </c>
      <c r="D148" s="24" t="n">
        <f aca="false">C148*E$6</f>
        <v>415.661415499261</v>
      </c>
      <c r="E148" s="25" t="n">
        <f aca="false">E147</f>
        <v>1000</v>
      </c>
      <c r="F148" s="126" t="n">
        <v>0</v>
      </c>
      <c r="G148" s="24" t="n">
        <f aca="false">C148-E148-F148</f>
        <v>98758.7397198226</v>
      </c>
      <c r="I148" s="25" t="n">
        <f aca="false">I147+E148</f>
        <v>138000</v>
      </c>
      <c r="J148" s="24" t="n">
        <f aca="false">J147+D148</f>
        <v>154346.155256829</v>
      </c>
    </row>
    <row r="149" customFormat="false" ht="15" hidden="false" customHeight="false" outlineLevel="1" collapsed="false">
      <c r="B149" s="125" t="n">
        <v>48396</v>
      </c>
      <c r="C149" s="21" t="n">
        <f aca="false">G148</f>
        <v>98758.7397198226</v>
      </c>
      <c r="D149" s="24" t="n">
        <f aca="false">C149*E$6</f>
        <v>411.494748832594</v>
      </c>
      <c r="E149" s="25" t="n">
        <f aca="false">E148</f>
        <v>1000</v>
      </c>
      <c r="F149" s="127" t="n">
        <v>0</v>
      </c>
      <c r="G149" s="24" t="n">
        <f aca="false">C149-E149-F149</f>
        <v>97758.7397198226</v>
      </c>
      <c r="I149" s="25" t="n">
        <f aca="false">I148+E149</f>
        <v>139000</v>
      </c>
      <c r="J149" s="24" t="n">
        <f aca="false">J148+D149</f>
        <v>154757.650005662</v>
      </c>
    </row>
    <row r="150" customFormat="false" ht="15" hidden="false" customHeight="false" outlineLevel="1" collapsed="false">
      <c r="B150" s="125" t="n">
        <v>48427</v>
      </c>
      <c r="C150" s="21" t="n">
        <f aca="false">G149</f>
        <v>97758.7397198226</v>
      </c>
      <c r="D150" s="24" t="n">
        <f aca="false">C150*E$6</f>
        <v>407.328082165928</v>
      </c>
      <c r="E150" s="25" t="n">
        <f aca="false">E149</f>
        <v>1000</v>
      </c>
      <c r="F150" s="126" t="n">
        <v>0</v>
      </c>
      <c r="G150" s="24" t="n">
        <f aca="false">C150-E150-F150</f>
        <v>96758.7397198226</v>
      </c>
      <c r="I150" s="25" t="n">
        <f aca="false">I149+E150</f>
        <v>140000</v>
      </c>
      <c r="J150" s="24" t="n">
        <f aca="false">J149+D150</f>
        <v>155164.978087828</v>
      </c>
    </row>
    <row r="151" customFormat="false" ht="15" hidden="false" customHeight="false" outlineLevel="1" collapsed="false">
      <c r="B151" s="125" t="n">
        <v>48458</v>
      </c>
      <c r="C151" s="21" t="n">
        <f aca="false">G150</f>
        <v>96758.7397198226</v>
      </c>
      <c r="D151" s="24" t="n">
        <f aca="false">C151*E$6</f>
        <v>403.161415499261</v>
      </c>
      <c r="E151" s="25" t="n">
        <f aca="false">E150</f>
        <v>1000</v>
      </c>
      <c r="F151" s="127" t="n">
        <v>0</v>
      </c>
      <c r="G151" s="24" t="n">
        <f aca="false">C151-E151-F151</f>
        <v>95758.7397198226</v>
      </c>
      <c r="I151" s="25" t="n">
        <f aca="false">I150+E151</f>
        <v>141000</v>
      </c>
      <c r="J151" s="24" t="n">
        <f aca="false">J150+D151</f>
        <v>155568.139503327</v>
      </c>
    </row>
    <row r="152" customFormat="false" ht="15" hidden="false" customHeight="false" outlineLevel="1" collapsed="false">
      <c r="B152" s="125" t="n">
        <v>48488</v>
      </c>
      <c r="C152" s="21" t="n">
        <f aca="false">G151</f>
        <v>95758.7397198226</v>
      </c>
      <c r="D152" s="24" t="n">
        <f aca="false">C152*E$6</f>
        <v>398.994748832594</v>
      </c>
      <c r="E152" s="25" t="n">
        <f aca="false">E151</f>
        <v>1000</v>
      </c>
      <c r="F152" s="126" t="n">
        <v>0</v>
      </c>
      <c r="G152" s="24" t="n">
        <f aca="false">C152-E152-F152</f>
        <v>94758.7397198226</v>
      </c>
      <c r="I152" s="25" t="n">
        <f aca="false">I151+E152</f>
        <v>142000</v>
      </c>
      <c r="J152" s="24" t="n">
        <f aca="false">J151+D152</f>
        <v>155967.13425216</v>
      </c>
    </row>
    <row r="153" customFormat="false" ht="15" hidden="false" customHeight="false" outlineLevel="1" collapsed="false">
      <c r="B153" s="125" t="n">
        <v>48519</v>
      </c>
      <c r="C153" s="21" t="n">
        <f aca="false">G152</f>
        <v>94758.7397198226</v>
      </c>
      <c r="D153" s="24" t="n">
        <f aca="false">C153*E$6</f>
        <v>394.828082165928</v>
      </c>
      <c r="E153" s="25" t="n">
        <f aca="false">E152</f>
        <v>1000</v>
      </c>
      <c r="F153" s="127" t="n">
        <v>0</v>
      </c>
      <c r="G153" s="24" t="n">
        <f aca="false">C153-E153-F153</f>
        <v>93758.7397198226</v>
      </c>
      <c r="I153" s="25" t="n">
        <f aca="false">I152+E153</f>
        <v>143000</v>
      </c>
      <c r="J153" s="24" t="n">
        <f aca="false">J152+D153</f>
        <v>156361.962334326</v>
      </c>
    </row>
    <row r="154" customFormat="false" ht="15" hidden="false" customHeight="false" outlineLevel="1" collapsed="false">
      <c r="B154" s="125" t="n">
        <v>48549</v>
      </c>
      <c r="C154" s="21" t="n">
        <f aca="false">G153</f>
        <v>93758.7397198226</v>
      </c>
      <c r="D154" s="24" t="n">
        <f aca="false">C154*E$6</f>
        <v>390.661415499261</v>
      </c>
      <c r="E154" s="25" t="n">
        <f aca="false">E153</f>
        <v>1000</v>
      </c>
      <c r="F154" s="126" t="n">
        <v>0</v>
      </c>
      <c r="G154" s="24" t="n">
        <f aca="false">C154-E154-F154</f>
        <v>92758.7397198226</v>
      </c>
      <c r="I154" s="25" t="n">
        <f aca="false">I153+E154</f>
        <v>144000</v>
      </c>
      <c r="J154" s="24" t="n">
        <f aca="false">J153+D154</f>
        <v>156752.623749825</v>
      </c>
    </row>
    <row r="155" customFormat="false" ht="15" hidden="false" customHeight="false" outlineLevel="1" collapsed="false">
      <c r="B155" s="125" t="n">
        <v>48580</v>
      </c>
      <c r="C155" s="21" t="n">
        <f aca="false">G154</f>
        <v>92758.7397198226</v>
      </c>
      <c r="D155" s="24" t="n">
        <f aca="false">C155*E$6</f>
        <v>386.494748832594</v>
      </c>
      <c r="E155" s="25" t="n">
        <f aca="false">E154</f>
        <v>1000</v>
      </c>
      <c r="F155" s="127" t="n">
        <v>0</v>
      </c>
      <c r="G155" s="24" t="n">
        <f aca="false">C155-E155-F155</f>
        <v>91758.7397198226</v>
      </c>
      <c r="I155" s="25" t="n">
        <f aca="false">I154+E155</f>
        <v>145000</v>
      </c>
      <c r="J155" s="24" t="n">
        <f aca="false">J154+D155</f>
        <v>157139.118498657</v>
      </c>
    </row>
    <row r="156" customFormat="false" ht="15" hidden="false" customHeight="false" outlineLevel="1" collapsed="false">
      <c r="B156" s="125" t="n">
        <v>48611</v>
      </c>
      <c r="C156" s="21" t="n">
        <f aca="false">G155</f>
        <v>91758.7397198226</v>
      </c>
      <c r="D156" s="24" t="n">
        <f aca="false">C156*E$6</f>
        <v>382.328082165928</v>
      </c>
      <c r="E156" s="25" t="n">
        <f aca="false">E155</f>
        <v>1000</v>
      </c>
      <c r="F156" s="126" t="n">
        <v>0</v>
      </c>
      <c r="G156" s="24" t="n">
        <f aca="false">C156-E156-F156</f>
        <v>90758.7397198226</v>
      </c>
      <c r="I156" s="25" t="n">
        <f aca="false">I155+E156</f>
        <v>146000</v>
      </c>
      <c r="J156" s="24" t="n">
        <f aca="false">J155+D156</f>
        <v>157521.446580823</v>
      </c>
    </row>
    <row r="157" customFormat="false" ht="15" hidden="false" customHeight="false" outlineLevel="1" collapsed="false">
      <c r="B157" s="125" t="n">
        <v>48639</v>
      </c>
      <c r="C157" s="21" t="n">
        <f aca="false">G156</f>
        <v>90758.7397198226</v>
      </c>
      <c r="D157" s="24" t="n">
        <f aca="false">C157*E$6</f>
        <v>378.161415499261</v>
      </c>
      <c r="E157" s="25" t="n">
        <f aca="false">E156</f>
        <v>1000</v>
      </c>
      <c r="F157" s="127" t="n">
        <v>0</v>
      </c>
      <c r="G157" s="24" t="n">
        <f aca="false">C157-E157-F157</f>
        <v>89758.7397198226</v>
      </c>
      <c r="I157" s="25" t="n">
        <f aca="false">I156+E157</f>
        <v>147000</v>
      </c>
      <c r="J157" s="24" t="n">
        <f aca="false">J156+D157</f>
        <v>157899.607996323</v>
      </c>
    </row>
    <row r="158" customFormat="false" ht="15" hidden="false" customHeight="false" outlineLevel="1" collapsed="false">
      <c r="B158" s="125" t="n">
        <v>48670</v>
      </c>
      <c r="C158" s="21" t="n">
        <f aca="false">G157</f>
        <v>89758.7397198226</v>
      </c>
      <c r="D158" s="24" t="n">
        <f aca="false">C158*E$6</f>
        <v>373.994748832594</v>
      </c>
      <c r="E158" s="25" t="n">
        <f aca="false">E157</f>
        <v>1000</v>
      </c>
      <c r="F158" s="126" t="n">
        <v>0</v>
      </c>
      <c r="G158" s="24" t="n">
        <f aca="false">C158-E158-F158</f>
        <v>88758.7397198226</v>
      </c>
      <c r="I158" s="25" t="n">
        <f aca="false">I157+E158</f>
        <v>148000</v>
      </c>
      <c r="J158" s="24" t="n">
        <f aca="false">J157+D158</f>
        <v>158273.602745155</v>
      </c>
    </row>
    <row r="159" customFormat="false" ht="15" hidden="false" customHeight="false" outlineLevel="1" collapsed="false">
      <c r="B159" s="125" t="n">
        <v>48700</v>
      </c>
      <c r="C159" s="21" t="n">
        <f aca="false">G158</f>
        <v>88758.7397198226</v>
      </c>
      <c r="D159" s="24" t="n">
        <f aca="false">C159*E$6</f>
        <v>369.828082165928</v>
      </c>
      <c r="E159" s="25" t="n">
        <f aca="false">E158</f>
        <v>1000</v>
      </c>
      <c r="F159" s="127" t="n">
        <v>0</v>
      </c>
      <c r="G159" s="24" t="n">
        <f aca="false">C159-E159-F159</f>
        <v>87758.7397198226</v>
      </c>
      <c r="I159" s="25" t="n">
        <f aca="false">I158+E159</f>
        <v>149000</v>
      </c>
      <c r="J159" s="24" t="n">
        <f aca="false">J158+D159</f>
        <v>158643.430827321</v>
      </c>
    </row>
    <row r="160" customFormat="false" ht="15" hidden="false" customHeight="false" outlineLevel="1" collapsed="false">
      <c r="B160" s="125" t="n">
        <v>48731</v>
      </c>
      <c r="C160" s="21" t="n">
        <f aca="false">G159</f>
        <v>87758.7397198226</v>
      </c>
      <c r="D160" s="24" t="n">
        <f aca="false">C160*E$6</f>
        <v>365.661415499261</v>
      </c>
      <c r="E160" s="25" t="n">
        <f aca="false">E159</f>
        <v>1000</v>
      </c>
      <c r="F160" s="126" t="n">
        <v>0</v>
      </c>
      <c r="G160" s="24" t="n">
        <f aca="false">C160-E160-F160</f>
        <v>86758.7397198226</v>
      </c>
      <c r="I160" s="25" t="n">
        <f aca="false">I159+E160</f>
        <v>150000</v>
      </c>
      <c r="J160" s="24" t="n">
        <f aca="false">J159+D160</f>
        <v>159009.09224282</v>
      </c>
    </row>
    <row r="161" customFormat="false" ht="15" hidden="false" customHeight="false" outlineLevel="1" collapsed="false">
      <c r="B161" s="125" t="n">
        <v>48761</v>
      </c>
      <c r="C161" s="21" t="n">
        <f aca="false">G160</f>
        <v>86758.7397198226</v>
      </c>
      <c r="D161" s="24" t="n">
        <f aca="false">C161*E$6</f>
        <v>361.494748832594</v>
      </c>
      <c r="E161" s="25" t="n">
        <f aca="false">E160</f>
        <v>1000</v>
      </c>
      <c r="F161" s="127" t="n">
        <v>0</v>
      </c>
      <c r="G161" s="24" t="n">
        <f aca="false">C161-E161-F161</f>
        <v>85758.7397198226</v>
      </c>
      <c r="I161" s="25" t="n">
        <f aca="false">I160+E161</f>
        <v>151000</v>
      </c>
      <c r="J161" s="24" t="n">
        <f aca="false">J160+D161</f>
        <v>159370.586991653</v>
      </c>
    </row>
    <row r="162" customFormat="false" ht="15" hidden="false" customHeight="false" outlineLevel="1" collapsed="false">
      <c r="B162" s="125" t="n">
        <v>48792</v>
      </c>
      <c r="C162" s="21" t="n">
        <f aca="false">G161</f>
        <v>85758.7397198226</v>
      </c>
      <c r="D162" s="24" t="n">
        <f aca="false">C162*E$6</f>
        <v>357.328082165928</v>
      </c>
      <c r="E162" s="25" t="n">
        <f aca="false">E161</f>
        <v>1000</v>
      </c>
      <c r="F162" s="126" t="n">
        <v>0</v>
      </c>
      <c r="G162" s="24" t="n">
        <f aca="false">C162-E162-F162</f>
        <v>84758.7397198226</v>
      </c>
      <c r="I162" s="25" t="n">
        <f aca="false">I161+E162</f>
        <v>152000</v>
      </c>
      <c r="J162" s="24" t="n">
        <f aca="false">J161+D162</f>
        <v>159727.915073819</v>
      </c>
    </row>
    <row r="163" customFormat="false" ht="15" hidden="false" customHeight="false" outlineLevel="1" collapsed="false">
      <c r="B163" s="125" t="n">
        <v>48823</v>
      </c>
      <c r="C163" s="21" t="n">
        <f aca="false">G162</f>
        <v>84758.7397198226</v>
      </c>
      <c r="D163" s="24" t="n">
        <f aca="false">C163*E$6</f>
        <v>353.161415499261</v>
      </c>
      <c r="E163" s="25" t="n">
        <f aca="false">E162</f>
        <v>1000</v>
      </c>
      <c r="F163" s="127" t="n">
        <v>0</v>
      </c>
      <c r="G163" s="24" t="n">
        <f aca="false">C163-E163-F163</f>
        <v>83758.7397198226</v>
      </c>
      <c r="I163" s="25" t="n">
        <f aca="false">I162+E163</f>
        <v>153000</v>
      </c>
      <c r="J163" s="24" t="n">
        <f aca="false">J162+D163</f>
        <v>160081.076489318</v>
      </c>
    </row>
    <row r="164" customFormat="false" ht="15" hidden="false" customHeight="false" outlineLevel="1" collapsed="false">
      <c r="B164" s="125" t="n">
        <v>48853</v>
      </c>
      <c r="C164" s="21" t="n">
        <f aca="false">G163</f>
        <v>83758.7397198226</v>
      </c>
      <c r="D164" s="24" t="n">
        <f aca="false">C164*E$6</f>
        <v>348.994748832594</v>
      </c>
      <c r="E164" s="25" t="n">
        <f aca="false">E163</f>
        <v>1000</v>
      </c>
      <c r="F164" s="126" t="n">
        <v>0</v>
      </c>
      <c r="G164" s="24" t="n">
        <f aca="false">C164-E164-F164</f>
        <v>82758.7397198226</v>
      </c>
      <c r="I164" s="25" t="n">
        <f aca="false">I163+E164</f>
        <v>154000</v>
      </c>
      <c r="J164" s="24" t="n">
        <f aca="false">J163+D164</f>
        <v>160430.071238151</v>
      </c>
    </row>
    <row r="165" customFormat="false" ht="15" hidden="false" customHeight="false" outlineLevel="1" collapsed="false">
      <c r="B165" s="125" t="n">
        <v>48884</v>
      </c>
      <c r="C165" s="21" t="n">
        <f aca="false">G164</f>
        <v>82758.7397198226</v>
      </c>
      <c r="D165" s="24" t="n">
        <f aca="false">C165*E$6</f>
        <v>344.828082165928</v>
      </c>
      <c r="E165" s="25" t="n">
        <f aca="false">E164</f>
        <v>1000</v>
      </c>
      <c r="F165" s="127" t="n">
        <v>0</v>
      </c>
      <c r="G165" s="24" t="n">
        <f aca="false">C165-E165-F165</f>
        <v>81758.7397198226</v>
      </c>
      <c r="I165" s="25" t="n">
        <f aca="false">I164+E165</f>
        <v>155000</v>
      </c>
      <c r="J165" s="24" t="n">
        <f aca="false">J164+D165</f>
        <v>160774.899320317</v>
      </c>
    </row>
    <row r="166" customFormat="false" ht="15" hidden="false" customHeight="false" outlineLevel="1" collapsed="false">
      <c r="B166" s="125" t="n">
        <v>48914</v>
      </c>
      <c r="C166" s="21" t="n">
        <f aca="false">G165</f>
        <v>81758.7397198226</v>
      </c>
      <c r="D166" s="24" t="n">
        <f aca="false">C166*E$6</f>
        <v>340.661415499261</v>
      </c>
      <c r="E166" s="25" t="n">
        <f aca="false">E165</f>
        <v>1000</v>
      </c>
      <c r="F166" s="126" t="n">
        <v>0</v>
      </c>
      <c r="G166" s="24" t="n">
        <f aca="false">C166-E166-F166</f>
        <v>80758.7397198226</v>
      </c>
      <c r="I166" s="25" t="n">
        <f aca="false">I165+E166</f>
        <v>156000</v>
      </c>
      <c r="J166" s="24" t="n">
        <f aca="false">J165+D166</f>
        <v>161115.560735816</v>
      </c>
    </row>
    <row r="167" customFormat="false" ht="15" hidden="false" customHeight="false" outlineLevel="1" collapsed="false">
      <c r="B167" s="125" t="n">
        <v>48945</v>
      </c>
      <c r="C167" s="21" t="n">
        <f aca="false">G166</f>
        <v>80758.7397198226</v>
      </c>
      <c r="D167" s="24" t="n">
        <f aca="false">C167*E$6</f>
        <v>336.494748832594</v>
      </c>
      <c r="E167" s="25" t="n">
        <f aca="false">E166</f>
        <v>1000</v>
      </c>
      <c r="F167" s="127" t="n">
        <v>0</v>
      </c>
      <c r="G167" s="24" t="n">
        <f aca="false">C167-E167-F167</f>
        <v>79758.7397198226</v>
      </c>
      <c r="I167" s="25" t="n">
        <f aca="false">I166+E167</f>
        <v>157000</v>
      </c>
      <c r="J167" s="24" t="n">
        <f aca="false">J166+D167</f>
        <v>161452.055484649</v>
      </c>
    </row>
    <row r="168" customFormat="false" ht="15" hidden="false" customHeight="false" outlineLevel="1" collapsed="false">
      <c r="B168" s="125" t="n">
        <v>48976</v>
      </c>
      <c r="C168" s="21" t="n">
        <f aca="false">G167</f>
        <v>79758.7397198226</v>
      </c>
      <c r="D168" s="24" t="n">
        <f aca="false">C168*E$6</f>
        <v>332.328082165928</v>
      </c>
      <c r="E168" s="25" t="n">
        <f aca="false">E167</f>
        <v>1000</v>
      </c>
      <c r="F168" s="126" t="n">
        <v>0</v>
      </c>
      <c r="G168" s="24" t="n">
        <f aca="false">C168-E168-F168</f>
        <v>78758.7397198226</v>
      </c>
      <c r="I168" s="25" t="n">
        <f aca="false">I167+E168</f>
        <v>158000</v>
      </c>
      <c r="J168" s="24" t="n">
        <f aca="false">J167+D168</f>
        <v>161784.383566814</v>
      </c>
    </row>
    <row r="169" customFormat="false" ht="15" hidden="false" customHeight="false" outlineLevel="1" collapsed="false">
      <c r="B169" s="125" t="n">
        <v>49004</v>
      </c>
      <c r="C169" s="21" t="n">
        <f aca="false">G168</f>
        <v>78758.7397198226</v>
      </c>
      <c r="D169" s="24" t="n">
        <f aca="false">C169*E$6</f>
        <v>328.161415499261</v>
      </c>
      <c r="E169" s="25" t="n">
        <f aca="false">E168</f>
        <v>1000</v>
      </c>
      <c r="F169" s="127" t="n">
        <v>0</v>
      </c>
      <c r="G169" s="24" t="n">
        <f aca="false">C169-E169-F169</f>
        <v>77758.7397198226</v>
      </c>
      <c r="I169" s="25" t="n">
        <f aca="false">I168+E169</f>
        <v>159000</v>
      </c>
      <c r="J169" s="24" t="n">
        <f aca="false">J168+D169</f>
        <v>162112.544982314</v>
      </c>
    </row>
    <row r="170" customFormat="false" ht="15" hidden="false" customHeight="false" outlineLevel="1" collapsed="false">
      <c r="B170" s="125" t="n">
        <v>49035</v>
      </c>
      <c r="C170" s="21" t="n">
        <f aca="false">G169</f>
        <v>77758.7397198226</v>
      </c>
      <c r="D170" s="24" t="n">
        <f aca="false">C170*E$6</f>
        <v>323.994748832594</v>
      </c>
      <c r="E170" s="25" t="n">
        <f aca="false">E169</f>
        <v>1000</v>
      </c>
      <c r="F170" s="126" t="n">
        <v>0</v>
      </c>
      <c r="G170" s="24" t="n">
        <f aca="false">C170-E170-F170</f>
        <v>76758.7397198226</v>
      </c>
      <c r="I170" s="25" t="n">
        <f aca="false">I169+E170</f>
        <v>160000</v>
      </c>
      <c r="J170" s="24" t="n">
        <f aca="false">J169+D170</f>
        <v>162436.539731146</v>
      </c>
    </row>
    <row r="171" customFormat="false" ht="15" hidden="false" customHeight="false" outlineLevel="1" collapsed="false">
      <c r="B171" s="125" t="n">
        <v>49065</v>
      </c>
      <c r="C171" s="21" t="n">
        <f aca="false">G170</f>
        <v>76758.7397198226</v>
      </c>
      <c r="D171" s="24" t="n">
        <f aca="false">C171*E$6</f>
        <v>319.828082165928</v>
      </c>
      <c r="E171" s="25" t="n">
        <f aca="false">E170</f>
        <v>1000</v>
      </c>
      <c r="F171" s="127" t="n">
        <v>0</v>
      </c>
      <c r="G171" s="24" t="n">
        <f aca="false">C171-E171-F171</f>
        <v>75758.7397198226</v>
      </c>
      <c r="I171" s="25" t="n">
        <f aca="false">I170+E171</f>
        <v>161000</v>
      </c>
      <c r="J171" s="24" t="n">
        <f aca="false">J170+D171</f>
        <v>162756.367813312</v>
      </c>
    </row>
    <row r="172" customFormat="false" ht="15" hidden="false" customHeight="false" outlineLevel="1" collapsed="false">
      <c r="B172" s="125" t="n">
        <v>49096</v>
      </c>
      <c r="C172" s="21" t="n">
        <f aca="false">G171</f>
        <v>75758.7397198226</v>
      </c>
      <c r="D172" s="24" t="n">
        <f aca="false">C172*E$6</f>
        <v>315.661415499261</v>
      </c>
      <c r="E172" s="25" t="n">
        <f aca="false">E171</f>
        <v>1000</v>
      </c>
      <c r="F172" s="126" t="n">
        <v>0</v>
      </c>
      <c r="G172" s="24" t="n">
        <f aca="false">C172-E172-F172</f>
        <v>74758.7397198226</v>
      </c>
      <c r="I172" s="25" t="n">
        <f aca="false">I171+E172</f>
        <v>162000</v>
      </c>
      <c r="J172" s="24" t="n">
        <f aca="false">J171+D172</f>
        <v>163072.029228811</v>
      </c>
    </row>
    <row r="173" customFormat="false" ht="15" hidden="false" customHeight="false" outlineLevel="1" collapsed="false">
      <c r="B173" s="125" t="n">
        <v>49126</v>
      </c>
      <c r="C173" s="21" t="n">
        <f aca="false">G172</f>
        <v>74758.7397198226</v>
      </c>
      <c r="D173" s="24" t="n">
        <f aca="false">C173*E$6</f>
        <v>311.494748832594</v>
      </c>
      <c r="E173" s="25" t="n">
        <f aca="false">E172</f>
        <v>1000</v>
      </c>
      <c r="F173" s="127" t="n">
        <v>0</v>
      </c>
      <c r="G173" s="24" t="n">
        <f aca="false">C173-E173-F173</f>
        <v>73758.7397198226</v>
      </c>
      <c r="I173" s="25" t="n">
        <f aca="false">I172+E173</f>
        <v>163000</v>
      </c>
      <c r="J173" s="24" t="n">
        <f aca="false">J172+D173</f>
        <v>163383.523977644</v>
      </c>
    </row>
    <row r="174" customFormat="false" ht="15" hidden="false" customHeight="false" outlineLevel="1" collapsed="false">
      <c r="B174" s="125" t="n">
        <v>49157</v>
      </c>
      <c r="C174" s="21" t="n">
        <f aca="false">G173</f>
        <v>73758.7397198226</v>
      </c>
      <c r="D174" s="24" t="n">
        <f aca="false">C174*E$6</f>
        <v>307.328082165928</v>
      </c>
      <c r="E174" s="25" t="n">
        <f aca="false">E173</f>
        <v>1000</v>
      </c>
      <c r="F174" s="126" t="n">
        <v>0</v>
      </c>
      <c r="G174" s="24" t="n">
        <f aca="false">C174-E174-F174</f>
        <v>72758.7397198226</v>
      </c>
      <c r="I174" s="25" t="n">
        <f aca="false">I173+E174</f>
        <v>164000</v>
      </c>
      <c r="J174" s="24" t="n">
        <f aca="false">J173+D174</f>
        <v>163690.85205981</v>
      </c>
    </row>
    <row r="175" customFormat="false" ht="15" hidden="false" customHeight="false" outlineLevel="1" collapsed="false">
      <c r="B175" s="125" t="n">
        <v>49188</v>
      </c>
      <c r="C175" s="21" t="n">
        <f aca="false">G174</f>
        <v>72758.7397198226</v>
      </c>
      <c r="D175" s="24" t="n">
        <f aca="false">C175*E$6</f>
        <v>303.161415499261</v>
      </c>
      <c r="E175" s="25" t="n">
        <f aca="false">E174</f>
        <v>1000</v>
      </c>
      <c r="F175" s="127" t="n">
        <v>0</v>
      </c>
      <c r="G175" s="24" t="n">
        <f aca="false">C175-E175-F175</f>
        <v>71758.7397198226</v>
      </c>
      <c r="I175" s="25" t="n">
        <f aca="false">I174+E175</f>
        <v>165000</v>
      </c>
      <c r="J175" s="24" t="n">
        <f aca="false">J174+D175</f>
        <v>163994.013475309</v>
      </c>
    </row>
    <row r="176" customFormat="false" ht="15" hidden="false" customHeight="false" outlineLevel="1" collapsed="false">
      <c r="B176" s="125" t="n">
        <v>49218</v>
      </c>
      <c r="C176" s="21" t="n">
        <f aca="false">G175</f>
        <v>71758.7397198226</v>
      </c>
      <c r="D176" s="24" t="n">
        <f aca="false">C176*E$6</f>
        <v>298.994748832594</v>
      </c>
      <c r="E176" s="25" t="n">
        <f aca="false">E175</f>
        <v>1000</v>
      </c>
      <c r="F176" s="126" t="n">
        <v>0</v>
      </c>
      <c r="G176" s="24" t="n">
        <f aca="false">C176-E176-F176</f>
        <v>70758.7397198226</v>
      </c>
      <c r="I176" s="25" t="n">
        <f aca="false">I175+E176</f>
        <v>166000</v>
      </c>
      <c r="J176" s="24" t="n">
        <f aca="false">J175+D176</f>
        <v>164293.008224142</v>
      </c>
    </row>
    <row r="177" customFormat="false" ht="15" hidden="false" customHeight="false" outlineLevel="1" collapsed="false">
      <c r="B177" s="125" t="n">
        <v>49249</v>
      </c>
      <c r="C177" s="21" t="n">
        <f aca="false">G176</f>
        <v>70758.7397198226</v>
      </c>
      <c r="D177" s="24" t="n">
        <f aca="false">C177*E$6</f>
        <v>294.828082165928</v>
      </c>
      <c r="E177" s="25" t="n">
        <f aca="false">E176</f>
        <v>1000</v>
      </c>
      <c r="F177" s="127" t="n">
        <v>0</v>
      </c>
      <c r="G177" s="24" t="n">
        <f aca="false">C177-E177-F177</f>
        <v>69758.7397198226</v>
      </c>
      <c r="I177" s="25" t="n">
        <f aca="false">I176+E177</f>
        <v>167000</v>
      </c>
      <c r="J177" s="24" t="n">
        <f aca="false">J176+D177</f>
        <v>164587.836306308</v>
      </c>
    </row>
    <row r="178" customFormat="false" ht="15" hidden="false" customHeight="false" outlineLevel="1" collapsed="false">
      <c r="B178" s="125" t="n">
        <v>49279</v>
      </c>
      <c r="C178" s="21" t="n">
        <f aca="false">G177</f>
        <v>69758.7397198226</v>
      </c>
      <c r="D178" s="24" t="n">
        <f aca="false">C178*E$6</f>
        <v>290.661415499261</v>
      </c>
      <c r="E178" s="25" t="n">
        <f aca="false">E177</f>
        <v>1000</v>
      </c>
      <c r="F178" s="126" t="n">
        <v>0</v>
      </c>
      <c r="G178" s="24" t="n">
        <f aca="false">C178-E178-F178</f>
        <v>68758.7397198226</v>
      </c>
      <c r="I178" s="25" t="n">
        <f aca="false">I177+E178</f>
        <v>168000</v>
      </c>
      <c r="J178" s="24" t="n">
        <f aca="false">J177+D178</f>
        <v>164878.497721807</v>
      </c>
    </row>
    <row r="179" customFormat="false" ht="15" hidden="false" customHeight="false" outlineLevel="1" collapsed="false">
      <c r="B179" s="125" t="n">
        <v>49310</v>
      </c>
      <c r="C179" s="21" t="n">
        <f aca="false">G178</f>
        <v>68758.7397198226</v>
      </c>
      <c r="D179" s="24" t="n">
        <f aca="false">C179*E$6</f>
        <v>286.494748832594</v>
      </c>
      <c r="E179" s="25" t="n">
        <f aca="false">E178</f>
        <v>1000</v>
      </c>
      <c r="F179" s="127" t="n">
        <v>0</v>
      </c>
      <c r="G179" s="24" t="n">
        <f aca="false">C179-E179-F179</f>
        <v>67758.7397198226</v>
      </c>
      <c r="I179" s="25" t="n">
        <f aca="false">I178+E179</f>
        <v>169000</v>
      </c>
      <c r="J179" s="24" t="n">
        <f aca="false">J178+D179</f>
        <v>165164.99247064</v>
      </c>
    </row>
    <row r="180" customFormat="false" ht="15" hidden="false" customHeight="false" outlineLevel="1" collapsed="false">
      <c r="B180" s="125" t="n">
        <v>49341</v>
      </c>
      <c r="C180" s="21" t="n">
        <f aca="false">G179</f>
        <v>67758.7397198226</v>
      </c>
      <c r="D180" s="24" t="n">
        <f aca="false">C180*E$6</f>
        <v>282.328082165928</v>
      </c>
      <c r="E180" s="25" t="n">
        <f aca="false">E179</f>
        <v>1000</v>
      </c>
      <c r="F180" s="126" t="n">
        <v>0</v>
      </c>
      <c r="G180" s="24" t="n">
        <f aca="false">C180-E180-F180</f>
        <v>66758.7397198226</v>
      </c>
      <c r="I180" s="25" t="n">
        <f aca="false">I179+E180</f>
        <v>170000</v>
      </c>
      <c r="J180" s="24" t="n">
        <f aca="false">J179+D180</f>
        <v>165447.320552806</v>
      </c>
    </row>
    <row r="181" customFormat="false" ht="15" hidden="false" customHeight="false" outlineLevel="1" collapsed="false">
      <c r="B181" s="125" t="n">
        <v>49369</v>
      </c>
      <c r="C181" s="21" t="n">
        <f aca="false">G180</f>
        <v>66758.7397198226</v>
      </c>
      <c r="D181" s="24" t="n">
        <f aca="false">C181*E$6</f>
        <v>278.161415499261</v>
      </c>
      <c r="E181" s="25" t="n">
        <f aca="false">E180</f>
        <v>1000</v>
      </c>
      <c r="F181" s="127" t="n">
        <v>0</v>
      </c>
      <c r="G181" s="24" t="n">
        <f aca="false">C181-E181-F181</f>
        <v>65758.7397198226</v>
      </c>
      <c r="I181" s="25" t="n">
        <f aca="false">I180+E181</f>
        <v>171000</v>
      </c>
      <c r="J181" s="24" t="n">
        <f aca="false">J180+D181</f>
        <v>165725.481968305</v>
      </c>
    </row>
    <row r="182" customFormat="false" ht="15" hidden="false" customHeight="false" outlineLevel="1" collapsed="false">
      <c r="B182" s="125" t="n">
        <v>49400</v>
      </c>
      <c r="C182" s="21" t="n">
        <f aca="false">G181</f>
        <v>65758.7397198226</v>
      </c>
      <c r="D182" s="24" t="n">
        <f aca="false">C182*E$6</f>
        <v>273.994748832594</v>
      </c>
      <c r="E182" s="25" t="n">
        <f aca="false">E181</f>
        <v>1000</v>
      </c>
      <c r="F182" s="126" t="n">
        <v>0</v>
      </c>
      <c r="G182" s="24" t="n">
        <f aca="false">C182-E182-F182</f>
        <v>64758.7397198226</v>
      </c>
      <c r="I182" s="25" t="n">
        <f aca="false">I181+E182</f>
        <v>172000</v>
      </c>
      <c r="J182" s="24" t="n">
        <f aca="false">J181+D182</f>
        <v>165999.476717137</v>
      </c>
    </row>
    <row r="183" customFormat="false" ht="15" hidden="false" customHeight="false" outlineLevel="1" collapsed="false">
      <c r="B183" s="125" t="n">
        <v>49430</v>
      </c>
      <c r="C183" s="21" t="n">
        <f aca="false">G182</f>
        <v>64758.7397198226</v>
      </c>
      <c r="D183" s="24" t="n">
        <f aca="false">C183*E$6</f>
        <v>269.828082165928</v>
      </c>
      <c r="E183" s="25" t="n">
        <f aca="false">E182</f>
        <v>1000</v>
      </c>
      <c r="F183" s="127" t="n">
        <v>0</v>
      </c>
      <c r="G183" s="24" t="n">
        <f aca="false">C183-E183-F183</f>
        <v>63758.7397198226</v>
      </c>
      <c r="I183" s="25" t="n">
        <f aca="false">I182+E183</f>
        <v>173000</v>
      </c>
      <c r="J183" s="24" t="n">
        <f aca="false">J182+D183</f>
        <v>166269.304799303</v>
      </c>
    </row>
    <row r="184" customFormat="false" ht="15" hidden="false" customHeight="false" outlineLevel="1" collapsed="false">
      <c r="B184" s="125" t="n">
        <v>49461</v>
      </c>
      <c r="C184" s="21" t="n">
        <f aca="false">G183</f>
        <v>63758.7397198226</v>
      </c>
      <c r="D184" s="24" t="n">
        <f aca="false">C184*E$6</f>
        <v>265.661415499261</v>
      </c>
      <c r="E184" s="25" t="n">
        <f aca="false">E183</f>
        <v>1000</v>
      </c>
      <c r="F184" s="126" t="n">
        <v>0</v>
      </c>
      <c r="G184" s="24" t="n">
        <f aca="false">C184-E184-F184</f>
        <v>62758.7397198226</v>
      </c>
      <c r="I184" s="25" t="n">
        <f aca="false">I183+E184</f>
        <v>174000</v>
      </c>
      <c r="J184" s="24" t="n">
        <f aca="false">J183+D184</f>
        <v>166534.966214803</v>
      </c>
    </row>
    <row r="185" customFormat="false" ht="15" hidden="false" customHeight="false" outlineLevel="1" collapsed="false">
      <c r="B185" s="125" t="n">
        <v>49491</v>
      </c>
      <c r="C185" s="21" t="n">
        <f aca="false">G184</f>
        <v>62758.7397198226</v>
      </c>
      <c r="D185" s="24" t="n">
        <f aca="false">C185*E$6</f>
        <v>261.494748832594</v>
      </c>
      <c r="E185" s="25" t="n">
        <f aca="false">E184</f>
        <v>1000</v>
      </c>
      <c r="F185" s="127" t="n">
        <v>0</v>
      </c>
      <c r="G185" s="24" t="n">
        <f aca="false">C185-E185-F185</f>
        <v>61758.7397198226</v>
      </c>
      <c r="I185" s="25" t="n">
        <f aca="false">I184+E185</f>
        <v>175000</v>
      </c>
      <c r="J185" s="24" t="n">
        <f aca="false">J184+D185</f>
        <v>166796.460963635</v>
      </c>
    </row>
    <row r="186" customFormat="false" ht="15" hidden="false" customHeight="false" outlineLevel="1" collapsed="false">
      <c r="B186" s="125" t="n">
        <v>49522</v>
      </c>
      <c r="C186" s="21" t="n">
        <f aca="false">G185</f>
        <v>61758.7397198226</v>
      </c>
      <c r="D186" s="24" t="n">
        <f aca="false">C186*E$6</f>
        <v>257.328082165928</v>
      </c>
      <c r="E186" s="25" t="n">
        <f aca="false">E185</f>
        <v>1000</v>
      </c>
      <c r="F186" s="126" t="n">
        <v>0</v>
      </c>
      <c r="G186" s="24" t="n">
        <f aca="false">C186-E186-F186</f>
        <v>60758.7397198226</v>
      </c>
      <c r="I186" s="25" t="n">
        <f aca="false">I185+E186</f>
        <v>176000</v>
      </c>
      <c r="J186" s="24" t="n">
        <f aca="false">J185+D186</f>
        <v>167053.789045801</v>
      </c>
    </row>
    <row r="187" customFormat="false" ht="15" hidden="false" customHeight="false" outlineLevel="1" collapsed="false">
      <c r="B187" s="125" t="n">
        <v>49553</v>
      </c>
      <c r="C187" s="21" t="n">
        <f aca="false">G186</f>
        <v>60758.7397198226</v>
      </c>
      <c r="D187" s="24" t="n">
        <f aca="false">C187*E$6</f>
        <v>253.161415499261</v>
      </c>
      <c r="E187" s="25" t="n">
        <f aca="false">E186</f>
        <v>1000</v>
      </c>
      <c r="F187" s="127" t="n">
        <v>0</v>
      </c>
      <c r="G187" s="24" t="n">
        <f aca="false">C187-E187-F187</f>
        <v>59758.7397198226</v>
      </c>
      <c r="I187" s="25" t="n">
        <f aca="false">I186+E187</f>
        <v>177000</v>
      </c>
      <c r="J187" s="24" t="n">
        <f aca="false">J186+D187</f>
        <v>167306.9504613</v>
      </c>
    </row>
    <row r="188" customFormat="false" ht="15" hidden="false" customHeight="false" outlineLevel="1" collapsed="false">
      <c r="B188" s="125" t="n">
        <v>49583</v>
      </c>
      <c r="C188" s="21" t="n">
        <f aca="false">G187</f>
        <v>59758.7397198226</v>
      </c>
      <c r="D188" s="24" t="n">
        <f aca="false">C188*E$6</f>
        <v>248.994748832594</v>
      </c>
      <c r="E188" s="25" t="n">
        <f aca="false">E187</f>
        <v>1000</v>
      </c>
      <c r="F188" s="126" t="n">
        <v>0</v>
      </c>
      <c r="G188" s="24" t="n">
        <f aca="false">C188-E188-F188</f>
        <v>58758.7397198226</v>
      </c>
      <c r="I188" s="25" t="n">
        <f aca="false">I187+E188</f>
        <v>178000</v>
      </c>
      <c r="J188" s="24" t="n">
        <f aca="false">J187+D188</f>
        <v>167555.945210133</v>
      </c>
    </row>
    <row r="189" customFormat="false" ht="15" hidden="false" customHeight="false" outlineLevel="1" collapsed="false">
      <c r="B189" s="125" t="n">
        <v>49614</v>
      </c>
      <c r="C189" s="21" t="n">
        <f aca="false">G188</f>
        <v>58758.7397198226</v>
      </c>
      <c r="D189" s="24" t="n">
        <f aca="false">C189*E$6</f>
        <v>244.828082165928</v>
      </c>
      <c r="E189" s="25" t="n">
        <f aca="false">E188</f>
        <v>1000</v>
      </c>
      <c r="F189" s="127" t="n">
        <v>0</v>
      </c>
      <c r="G189" s="24" t="n">
        <f aca="false">C189-E189-F189</f>
        <v>57758.7397198226</v>
      </c>
      <c r="I189" s="25" t="n">
        <f aca="false">I188+E189</f>
        <v>179000</v>
      </c>
      <c r="J189" s="24" t="n">
        <f aca="false">J188+D189</f>
        <v>167800.773292299</v>
      </c>
    </row>
    <row r="190" customFormat="false" ht="15" hidden="false" customHeight="false" outlineLevel="1" collapsed="false">
      <c r="B190" s="125" t="n">
        <v>49644</v>
      </c>
      <c r="C190" s="21" t="n">
        <f aca="false">G189</f>
        <v>57758.7397198226</v>
      </c>
      <c r="D190" s="24" t="n">
        <f aca="false">C190*E$6</f>
        <v>240.661415499261</v>
      </c>
      <c r="E190" s="25" t="n">
        <f aca="false">E189</f>
        <v>1000</v>
      </c>
      <c r="F190" s="126" t="n">
        <v>0</v>
      </c>
      <c r="G190" s="24" t="n">
        <f aca="false">C190-E190-F190</f>
        <v>56758.7397198226</v>
      </c>
      <c r="I190" s="25" t="n">
        <f aca="false">I189+E190</f>
        <v>180000</v>
      </c>
      <c r="J190" s="24" t="n">
        <f aca="false">J189+D190</f>
        <v>168041.434707798</v>
      </c>
    </row>
    <row r="191" customFormat="false" ht="15" hidden="false" customHeight="false" outlineLevel="1" collapsed="false">
      <c r="B191" s="125" t="n">
        <v>49675</v>
      </c>
      <c r="C191" s="21" t="n">
        <f aca="false">G190</f>
        <v>56758.7397198226</v>
      </c>
      <c r="D191" s="24" t="n">
        <f aca="false">C191*E$6</f>
        <v>236.494748832594</v>
      </c>
      <c r="E191" s="25" t="n">
        <f aca="false">E190</f>
        <v>1000</v>
      </c>
      <c r="F191" s="127" t="n">
        <v>0</v>
      </c>
      <c r="G191" s="24" t="n">
        <f aca="false">C191-E191-F191</f>
        <v>55758.7397198226</v>
      </c>
      <c r="I191" s="25" t="n">
        <f aca="false">I190+E191</f>
        <v>181000</v>
      </c>
      <c r="J191" s="24" t="n">
        <f aca="false">J190+D191</f>
        <v>168277.929456631</v>
      </c>
    </row>
    <row r="192" customFormat="false" ht="15" hidden="false" customHeight="false" outlineLevel="1" collapsed="false">
      <c r="B192" s="125" t="n">
        <v>49706</v>
      </c>
      <c r="C192" s="21" t="n">
        <f aca="false">G191</f>
        <v>55758.7397198226</v>
      </c>
      <c r="D192" s="24" t="n">
        <f aca="false">C192*E$6</f>
        <v>232.328082165928</v>
      </c>
      <c r="E192" s="25" t="n">
        <f aca="false">E191</f>
        <v>1000</v>
      </c>
      <c r="F192" s="126" t="n">
        <v>0</v>
      </c>
      <c r="G192" s="24" t="n">
        <f aca="false">C192-E192-F192</f>
        <v>54758.7397198226</v>
      </c>
      <c r="I192" s="25" t="n">
        <f aca="false">I191+E192</f>
        <v>182000</v>
      </c>
      <c r="J192" s="24" t="n">
        <f aca="false">J191+D192</f>
        <v>168510.257538797</v>
      </c>
    </row>
    <row r="193" customFormat="false" ht="15" hidden="false" customHeight="false" outlineLevel="1" collapsed="false">
      <c r="B193" s="125" t="n">
        <v>49735</v>
      </c>
      <c r="C193" s="21" t="n">
        <f aca="false">G192</f>
        <v>54758.7397198226</v>
      </c>
      <c r="D193" s="24" t="n">
        <f aca="false">C193*E$6</f>
        <v>228.161415499261</v>
      </c>
      <c r="E193" s="25" t="n">
        <f aca="false">E192</f>
        <v>1000</v>
      </c>
      <c r="F193" s="127" t="n">
        <v>0</v>
      </c>
      <c r="G193" s="24" t="n">
        <f aca="false">C193-E193-F193</f>
        <v>53758.7397198226</v>
      </c>
      <c r="I193" s="25" t="n">
        <f aca="false">I192+E193</f>
        <v>183000</v>
      </c>
      <c r="J193" s="24" t="n">
        <f aca="false">J192+D193</f>
        <v>168738.418954296</v>
      </c>
    </row>
    <row r="194" customFormat="false" ht="15" hidden="false" customHeight="false" outlineLevel="1" collapsed="false">
      <c r="B194" s="125" t="n">
        <v>49766</v>
      </c>
      <c r="C194" s="21" t="n">
        <f aca="false">G193</f>
        <v>53758.7397198226</v>
      </c>
      <c r="D194" s="24" t="n">
        <f aca="false">C194*E$6</f>
        <v>223.994748832594</v>
      </c>
      <c r="E194" s="25" t="n">
        <f aca="false">E193</f>
        <v>1000</v>
      </c>
      <c r="F194" s="126" t="n">
        <v>0</v>
      </c>
      <c r="G194" s="24" t="n">
        <f aca="false">C194-E194-F194</f>
        <v>52758.7397198226</v>
      </c>
      <c r="I194" s="25" t="n">
        <f aca="false">I193+E194</f>
        <v>184000</v>
      </c>
      <c r="J194" s="24" t="n">
        <f aca="false">J193+D194</f>
        <v>168962.413703128</v>
      </c>
    </row>
    <row r="195" customFormat="false" ht="15" hidden="false" customHeight="false" outlineLevel="1" collapsed="false">
      <c r="B195" s="125" t="n">
        <v>49796</v>
      </c>
      <c r="C195" s="21" t="n">
        <f aca="false">G194</f>
        <v>52758.7397198226</v>
      </c>
      <c r="D195" s="24" t="n">
        <f aca="false">C195*E$6</f>
        <v>219.828082165928</v>
      </c>
      <c r="E195" s="25" t="n">
        <f aca="false">E194</f>
        <v>1000</v>
      </c>
      <c r="F195" s="127" t="n">
        <v>0</v>
      </c>
      <c r="G195" s="24" t="n">
        <f aca="false">C195-E195-F195</f>
        <v>51758.7397198226</v>
      </c>
      <c r="I195" s="25" t="n">
        <f aca="false">I194+E195</f>
        <v>185000</v>
      </c>
      <c r="J195" s="24" t="n">
        <f aca="false">J194+D195</f>
        <v>169182.241785294</v>
      </c>
    </row>
    <row r="196" customFormat="false" ht="15" hidden="false" customHeight="false" outlineLevel="1" collapsed="false">
      <c r="B196" s="125" t="n">
        <v>49827</v>
      </c>
      <c r="C196" s="21" t="n">
        <f aca="false">G195</f>
        <v>51758.7397198226</v>
      </c>
      <c r="D196" s="24" t="n">
        <f aca="false">C196*E$6</f>
        <v>215.661415499261</v>
      </c>
      <c r="E196" s="25" t="n">
        <f aca="false">E195</f>
        <v>1000</v>
      </c>
      <c r="F196" s="126" t="n">
        <v>0</v>
      </c>
      <c r="G196" s="24" t="n">
        <f aca="false">C196-E196-F196</f>
        <v>50758.7397198226</v>
      </c>
      <c r="I196" s="25" t="n">
        <f aca="false">I195+E196</f>
        <v>186000</v>
      </c>
      <c r="J196" s="24" t="n">
        <f aca="false">J195+D196</f>
        <v>169397.903200794</v>
      </c>
    </row>
    <row r="197" customFormat="false" ht="15" hidden="false" customHeight="false" outlineLevel="1" collapsed="false">
      <c r="B197" s="125" t="n">
        <v>49857</v>
      </c>
      <c r="C197" s="21" t="n">
        <f aca="false">G196</f>
        <v>50758.7397198226</v>
      </c>
      <c r="D197" s="24" t="n">
        <f aca="false">C197*E$6</f>
        <v>211.494748832594</v>
      </c>
      <c r="E197" s="25" t="n">
        <f aca="false">E196</f>
        <v>1000</v>
      </c>
      <c r="F197" s="127" t="n">
        <v>0</v>
      </c>
      <c r="G197" s="24" t="n">
        <f aca="false">C197-E197-F197</f>
        <v>49758.7397198226</v>
      </c>
      <c r="I197" s="25" t="n">
        <f aca="false">I196+E197</f>
        <v>187000</v>
      </c>
      <c r="J197" s="24" t="n">
        <f aca="false">J196+D197</f>
        <v>169609.397949626</v>
      </c>
    </row>
    <row r="198" customFormat="false" ht="15" hidden="false" customHeight="false" outlineLevel="1" collapsed="false">
      <c r="B198" s="125" t="n">
        <v>49888</v>
      </c>
      <c r="C198" s="21" t="n">
        <f aca="false">G197</f>
        <v>49758.7397198226</v>
      </c>
      <c r="D198" s="24" t="n">
        <f aca="false">C198*E$6</f>
        <v>207.328082165928</v>
      </c>
      <c r="E198" s="25" t="n">
        <f aca="false">E197</f>
        <v>1000</v>
      </c>
      <c r="F198" s="126" t="n">
        <v>0</v>
      </c>
      <c r="G198" s="24" t="n">
        <f aca="false">C198-E198-F198</f>
        <v>48758.7397198226</v>
      </c>
      <c r="I198" s="25" t="n">
        <f aca="false">I197+E198</f>
        <v>188000</v>
      </c>
      <c r="J198" s="24" t="n">
        <f aca="false">J197+D198</f>
        <v>169816.726031792</v>
      </c>
    </row>
    <row r="199" customFormat="false" ht="15" hidden="false" customHeight="false" outlineLevel="1" collapsed="false">
      <c r="B199" s="125" t="n">
        <v>49919</v>
      </c>
      <c r="C199" s="21" t="n">
        <f aca="false">G198</f>
        <v>48758.7397198226</v>
      </c>
      <c r="D199" s="24" t="n">
        <f aca="false">C199*E$6</f>
        <v>203.161415499261</v>
      </c>
      <c r="E199" s="25" t="n">
        <f aca="false">E198</f>
        <v>1000</v>
      </c>
      <c r="F199" s="127" t="n">
        <v>0</v>
      </c>
      <c r="G199" s="24" t="n">
        <f aca="false">C199-E199-F199</f>
        <v>47758.7397198226</v>
      </c>
      <c r="I199" s="25" t="n">
        <f aca="false">I198+E199</f>
        <v>189000</v>
      </c>
      <c r="J199" s="24" t="n">
        <f aca="false">J198+D199</f>
        <v>170019.887447291</v>
      </c>
    </row>
    <row r="200" customFormat="false" ht="15" hidden="false" customHeight="false" outlineLevel="1" collapsed="false">
      <c r="B200" s="125" t="n">
        <v>49949</v>
      </c>
      <c r="C200" s="21" t="n">
        <f aca="false">G199</f>
        <v>47758.7397198226</v>
      </c>
      <c r="D200" s="24" t="n">
        <f aca="false">C200*E$6</f>
        <v>198.994748832594</v>
      </c>
      <c r="E200" s="25" t="n">
        <f aca="false">E199</f>
        <v>1000</v>
      </c>
      <c r="F200" s="126" t="n">
        <v>0</v>
      </c>
      <c r="G200" s="24" t="n">
        <f aca="false">C200-E200-F200</f>
        <v>46758.7397198226</v>
      </c>
      <c r="I200" s="25" t="n">
        <f aca="false">I199+E200</f>
        <v>190000</v>
      </c>
      <c r="J200" s="24" t="n">
        <f aca="false">J199+D200</f>
        <v>170218.882196124</v>
      </c>
    </row>
    <row r="201" customFormat="false" ht="15" hidden="false" customHeight="false" outlineLevel="1" collapsed="false">
      <c r="B201" s="125" t="n">
        <v>49980</v>
      </c>
      <c r="C201" s="21" t="n">
        <f aca="false">G200</f>
        <v>46758.7397198226</v>
      </c>
      <c r="D201" s="24" t="n">
        <f aca="false">C201*E$6</f>
        <v>194.828082165928</v>
      </c>
      <c r="E201" s="25" t="n">
        <f aca="false">E200</f>
        <v>1000</v>
      </c>
      <c r="F201" s="127" t="n">
        <v>0</v>
      </c>
      <c r="G201" s="24" t="n">
        <f aca="false">C201-E201-F201</f>
        <v>45758.7397198226</v>
      </c>
      <c r="I201" s="25" t="n">
        <f aca="false">I200+E201</f>
        <v>191000</v>
      </c>
      <c r="J201" s="24" t="n">
        <f aca="false">J200+D201</f>
        <v>170413.71027829</v>
      </c>
    </row>
    <row r="202" customFormat="false" ht="15" hidden="false" customHeight="false" outlineLevel="1" collapsed="false">
      <c r="B202" s="125" t="n">
        <v>50010</v>
      </c>
      <c r="C202" s="21" t="n">
        <f aca="false">G201</f>
        <v>45758.7397198226</v>
      </c>
      <c r="D202" s="24" t="n">
        <f aca="false">C202*E$6</f>
        <v>190.661415499261</v>
      </c>
      <c r="E202" s="25" t="n">
        <f aca="false">E201</f>
        <v>1000</v>
      </c>
      <c r="F202" s="126" t="n">
        <v>0</v>
      </c>
      <c r="G202" s="24" t="n">
        <f aca="false">C202-E202-F202</f>
        <v>44758.7397198226</v>
      </c>
      <c r="I202" s="25" t="n">
        <f aca="false">I201+E202</f>
        <v>192000</v>
      </c>
      <c r="J202" s="24" t="n">
        <f aca="false">J201+D202</f>
        <v>170604.371693789</v>
      </c>
    </row>
    <row r="203" customFormat="false" ht="15" hidden="false" customHeight="false" outlineLevel="1" collapsed="false">
      <c r="B203" s="125" t="n">
        <v>50041</v>
      </c>
      <c r="C203" s="21" t="n">
        <f aca="false">G202</f>
        <v>44758.7397198226</v>
      </c>
      <c r="D203" s="24" t="n">
        <f aca="false">C203*E$6</f>
        <v>186.494748832594</v>
      </c>
      <c r="E203" s="25" t="n">
        <f aca="false">E202</f>
        <v>1000</v>
      </c>
      <c r="F203" s="127" t="n">
        <v>0</v>
      </c>
      <c r="G203" s="24" t="n">
        <f aca="false">C203-E203-F203</f>
        <v>43758.7397198226</v>
      </c>
      <c r="I203" s="25" t="n">
        <f aca="false">I202+E203</f>
        <v>193000</v>
      </c>
      <c r="J203" s="24" t="n">
        <f aca="false">J202+D203</f>
        <v>170790.866442622</v>
      </c>
    </row>
    <row r="204" customFormat="false" ht="15" hidden="false" customHeight="false" outlineLevel="1" collapsed="false">
      <c r="B204" s="125" t="n">
        <v>50072</v>
      </c>
      <c r="C204" s="21" t="n">
        <f aca="false">G203</f>
        <v>43758.7397198226</v>
      </c>
      <c r="D204" s="24" t="n">
        <f aca="false">C204*E$6</f>
        <v>182.328082165928</v>
      </c>
      <c r="E204" s="25" t="n">
        <f aca="false">E203</f>
        <v>1000</v>
      </c>
      <c r="F204" s="126" t="n">
        <v>0</v>
      </c>
      <c r="G204" s="24" t="n">
        <f aca="false">C204-E204-F204</f>
        <v>42758.7397198226</v>
      </c>
      <c r="I204" s="25" t="n">
        <f aca="false">I203+E204</f>
        <v>194000</v>
      </c>
      <c r="J204" s="24" t="n">
        <f aca="false">J203+D204</f>
        <v>170973.194524788</v>
      </c>
    </row>
    <row r="205" customFormat="false" ht="15" hidden="false" customHeight="false" outlineLevel="1" collapsed="false">
      <c r="B205" s="125" t="n">
        <v>50100</v>
      </c>
      <c r="C205" s="21" t="n">
        <f aca="false">G204</f>
        <v>42758.7397198226</v>
      </c>
      <c r="D205" s="24" t="n">
        <f aca="false">C205*E$6</f>
        <v>178.161415499261</v>
      </c>
      <c r="E205" s="25" t="n">
        <f aca="false">E204</f>
        <v>1000</v>
      </c>
      <c r="F205" s="127" t="n">
        <v>0</v>
      </c>
      <c r="G205" s="24" t="n">
        <f aca="false">C205-E205-F205</f>
        <v>41758.7397198226</v>
      </c>
      <c r="I205" s="25" t="n">
        <f aca="false">I204+E205</f>
        <v>195000</v>
      </c>
      <c r="J205" s="24" t="n">
        <f aca="false">J204+D205</f>
        <v>171151.355940287</v>
      </c>
    </row>
    <row r="206" customFormat="false" ht="15" hidden="false" customHeight="false" outlineLevel="1" collapsed="false">
      <c r="B206" s="125" t="n">
        <v>50131</v>
      </c>
      <c r="C206" s="21" t="n">
        <f aca="false">G205</f>
        <v>41758.7397198226</v>
      </c>
      <c r="D206" s="24" t="n">
        <f aca="false">C206*E$6</f>
        <v>173.994748832594</v>
      </c>
      <c r="E206" s="25" t="n">
        <f aca="false">E205</f>
        <v>1000</v>
      </c>
      <c r="F206" s="126" t="n">
        <v>0</v>
      </c>
      <c r="G206" s="24" t="n">
        <f aca="false">C206-E206-F206</f>
        <v>40758.7397198226</v>
      </c>
      <c r="I206" s="25" t="n">
        <f aca="false">I205+E206</f>
        <v>196000</v>
      </c>
      <c r="J206" s="24" t="n">
        <f aca="false">J205+D206</f>
        <v>171325.35068912</v>
      </c>
    </row>
    <row r="207" customFormat="false" ht="15" hidden="false" customHeight="false" outlineLevel="1" collapsed="false">
      <c r="B207" s="125" t="n">
        <v>50161</v>
      </c>
      <c r="C207" s="21" t="n">
        <f aca="false">G206</f>
        <v>40758.7397198226</v>
      </c>
      <c r="D207" s="24" t="n">
        <f aca="false">C207*E$6</f>
        <v>169.828082165928</v>
      </c>
      <c r="E207" s="25" t="n">
        <f aca="false">E206</f>
        <v>1000</v>
      </c>
      <c r="F207" s="127" t="n">
        <v>0</v>
      </c>
      <c r="G207" s="24" t="n">
        <f aca="false">C207-E207-F207</f>
        <v>39758.7397198226</v>
      </c>
      <c r="I207" s="25" t="n">
        <f aca="false">I206+E207</f>
        <v>197000</v>
      </c>
      <c r="J207" s="24" t="n">
        <f aca="false">J206+D207</f>
        <v>171495.178771285</v>
      </c>
    </row>
    <row r="208" customFormat="false" ht="15" hidden="false" customHeight="false" outlineLevel="1" collapsed="false">
      <c r="B208" s="125" t="n">
        <v>50192</v>
      </c>
      <c r="C208" s="21" t="n">
        <f aca="false">G207</f>
        <v>39758.7397198226</v>
      </c>
      <c r="D208" s="24" t="n">
        <f aca="false">C208*E$6</f>
        <v>165.661415499261</v>
      </c>
      <c r="E208" s="25" t="n">
        <f aca="false">E207</f>
        <v>1000</v>
      </c>
      <c r="F208" s="126" t="n">
        <v>0</v>
      </c>
      <c r="G208" s="24" t="n">
        <f aca="false">C208-E208-F208</f>
        <v>38758.7397198226</v>
      </c>
      <c r="I208" s="25" t="n">
        <f aca="false">I207+E208</f>
        <v>198000</v>
      </c>
      <c r="J208" s="24" t="n">
        <f aca="false">J207+D208</f>
        <v>171660.840186785</v>
      </c>
    </row>
    <row r="209" customFormat="false" ht="15" hidden="false" customHeight="false" outlineLevel="1" collapsed="false">
      <c r="B209" s="125" t="n">
        <v>50222</v>
      </c>
      <c r="C209" s="21" t="n">
        <f aca="false">G208</f>
        <v>38758.7397198226</v>
      </c>
      <c r="D209" s="24" t="n">
        <f aca="false">C209*E$6</f>
        <v>161.494748832594</v>
      </c>
      <c r="E209" s="25" t="n">
        <f aca="false">E208</f>
        <v>1000</v>
      </c>
      <c r="F209" s="127" t="n">
        <v>0</v>
      </c>
      <c r="G209" s="24" t="n">
        <f aca="false">C209-E209-F209</f>
        <v>37758.7397198226</v>
      </c>
      <c r="I209" s="25" t="n">
        <f aca="false">I208+E209</f>
        <v>199000</v>
      </c>
      <c r="J209" s="24" t="n">
        <f aca="false">J208+D209</f>
        <v>171822.334935617</v>
      </c>
    </row>
    <row r="210" customFormat="false" ht="15" hidden="false" customHeight="false" outlineLevel="1" collapsed="false">
      <c r="B210" s="125" t="n">
        <v>50253</v>
      </c>
      <c r="C210" s="21" t="n">
        <f aca="false">G209</f>
        <v>37758.7397198226</v>
      </c>
      <c r="D210" s="24" t="n">
        <f aca="false">C210*E$6</f>
        <v>157.328082165928</v>
      </c>
      <c r="E210" s="25" t="n">
        <f aca="false">E209</f>
        <v>1000</v>
      </c>
      <c r="F210" s="126" t="n">
        <v>0</v>
      </c>
      <c r="G210" s="24" t="n">
        <f aca="false">C210-E210-F210</f>
        <v>36758.7397198226</v>
      </c>
      <c r="I210" s="25" t="n">
        <f aca="false">I209+E210</f>
        <v>200000</v>
      </c>
      <c r="J210" s="24" t="n">
        <f aca="false">J209+D210</f>
        <v>171979.663017783</v>
      </c>
    </row>
    <row r="211" customFormat="false" ht="15" hidden="false" customHeight="false" outlineLevel="1" collapsed="false">
      <c r="B211" s="125" t="n">
        <v>50284</v>
      </c>
      <c r="C211" s="21" t="n">
        <f aca="false">G210</f>
        <v>36758.7397198226</v>
      </c>
      <c r="D211" s="24" t="n">
        <f aca="false">C211*E$6</f>
        <v>153.161415499261</v>
      </c>
      <c r="E211" s="25" t="n">
        <f aca="false">E210</f>
        <v>1000</v>
      </c>
      <c r="F211" s="127" t="n">
        <v>0</v>
      </c>
      <c r="G211" s="24" t="n">
        <f aca="false">C211-E211-F211</f>
        <v>35758.7397198226</v>
      </c>
      <c r="I211" s="25" t="n">
        <f aca="false">I210+E211</f>
        <v>201000</v>
      </c>
      <c r="J211" s="24" t="n">
        <f aca="false">J210+D211</f>
        <v>172132.824433282</v>
      </c>
    </row>
    <row r="212" customFormat="false" ht="15" hidden="false" customHeight="false" outlineLevel="1" collapsed="false">
      <c r="B212" s="125" t="n">
        <v>50314</v>
      </c>
      <c r="C212" s="21" t="n">
        <f aca="false">G211</f>
        <v>35758.7397198226</v>
      </c>
      <c r="D212" s="24" t="n">
        <f aca="false">C212*E$6</f>
        <v>148.994748832594</v>
      </c>
      <c r="E212" s="25" t="n">
        <f aca="false">E211</f>
        <v>1000</v>
      </c>
      <c r="F212" s="126" t="n">
        <v>0</v>
      </c>
      <c r="G212" s="24" t="n">
        <f aca="false">C212-E212-F212</f>
        <v>34758.7397198226</v>
      </c>
      <c r="I212" s="25" t="n">
        <f aca="false">I211+E212</f>
        <v>202000</v>
      </c>
      <c r="J212" s="24" t="n">
        <f aca="false">J211+D212</f>
        <v>172281.819182115</v>
      </c>
    </row>
    <row r="213" customFormat="false" ht="15" hidden="false" customHeight="false" outlineLevel="1" collapsed="false">
      <c r="B213" s="125" t="n">
        <v>50345</v>
      </c>
      <c r="C213" s="21" t="n">
        <f aca="false">G212</f>
        <v>34758.7397198226</v>
      </c>
      <c r="D213" s="24" t="n">
        <f aca="false">C213*E$6</f>
        <v>144.828082165928</v>
      </c>
      <c r="E213" s="25" t="n">
        <f aca="false">E212</f>
        <v>1000</v>
      </c>
      <c r="F213" s="127" t="n">
        <v>0</v>
      </c>
      <c r="G213" s="24" t="n">
        <f aca="false">C213-E213-F213</f>
        <v>33758.7397198226</v>
      </c>
      <c r="I213" s="25" t="n">
        <f aca="false">I212+E213</f>
        <v>203000</v>
      </c>
      <c r="J213" s="24" t="n">
        <f aca="false">J212+D213</f>
        <v>172426.647264281</v>
      </c>
    </row>
    <row r="214" customFormat="false" ht="15" hidden="false" customHeight="false" outlineLevel="1" collapsed="false">
      <c r="B214" s="125" t="n">
        <v>50375</v>
      </c>
      <c r="C214" s="21" t="n">
        <f aca="false">G213</f>
        <v>33758.7397198226</v>
      </c>
      <c r="D214" s="24" t="n">
        <f aca="false">C214*E$6</f>
        <v>140.661415499261</v>
      </c>
      <c r="E214" s="25" t="n">
        <f aca="false">E213</f>
        <v>1000</v>
      </c>
      <c r="F214" s="126" t="n">
        <v>0</v>
      </c>
      <c r="G214" s="24" t="n">
        <f aca="false">C214-E214-F214</f>
        <v>32758.7397198226</v>
      </c>
      <c r="I214" s="25" t="n">
        <f aca="false">I213+E214</f>
        <v>204000</v>
      </c>
      <c r="J214" s="24" t="n">
        <f aca="false">J213+D214</f>
        <v>172567.30867978</v>
      </c>
    </row>
    <row r="215" customFormat="false" ht="15" hidden="false" customHeight="false" outlineLevel="1" collapsed="false">
      <c r="B215" s="125" t="n">
        <v>50406</v>
      </c>
      <c r="C215" s="21" t="n">
        <f aca="false">G214</f>
        <v>32758.7397198226</v>
      </c>
      <c r="D215" s="24" t="n">
        <f aca="false">C215*E$6</f>
        <v>136.494748832594</v>
      </c>
      <c r="E215" s="25" t="n">
        <f aca="false">E214</f>
        <v>1000</v>
      </c>
      <c r="F215" s="127" t="n">
        <v>0</v>
      </c>
      <c r="G215" s="24" t="n">
        <f aca="false">C215-E215-F215</f>
        <v>31758.7397198226</v>
      </c>
      <c r="I215" s="25" t="n">
        <f aca="false">I214+E215</f>
        <v>205000</v>
      </c>
      <c r="J215" s="24" t="n">
        <f aca="false">J214+D215</f>
        <v>172703.803428613</v>
      </c>
    </row>
    <row r="216" customFormat="false" ht="15" hidden="false" customHeight="false" outlineLevel="1" collapsed="false">
      <c r="B216" s="125" t="n">
        <v>50437</v>
      </c>
      <c r="C216" s="21" t="n">
        <f aca="false">G215</f>
        <v>31758.7397198226</v>
      </c>
      <c r="D216" s="24" t="n">
        <f aca="false">C216*E$6</f>
        <v>132.328082165928</v>
      </c>
      <c r="E216" s="25" t="n">
        <f aca="false">E215</f>
        <v>1000</v>
      </c>
      <c r="F216" s="126" t="n">
        <v>0</v>
      </c>
      <c r="G216" s="24" t="n">
        <f aca="false">C216-E216-F216</f>
        <v>30758.7397198226</v>
      </c>
      <c r="I216" s="25" t="n">
        <f aca="false">I215+E216</f>
        <v>206000</v>
      </c>
      <c r="J216" s="24" t="n">
        <f aca="false">J215+D216</f>
        <v>172836.131510779</v>
      </c>
    </row>
    <row r="217" customFormat="false" ht="15" hidden="false" customHeight="false" outlineLevel="1" collapsed="false">
      <c r="B217" s="125" t="n">
        <v>50465</v>
      </c>
      <c r="C217" s="21" t="n">
        <f aca="false">G216</f>
        <v>30758.7397198226</v>
      </c>
      <c r="D217" s="24" t="n">
        <f aca="false">C217*E$6</f>
        <v>128.161415499261</v>
      </c>
      <c r="E217" s="25" t="n">
        <f aca="false">E216</f>
        <v>1000</v>
      </c>
      <c r="F217" s="127" t="n">
        <v>0</v>
      </c>
      <c r="G217" s="24" t="n">
        <f aca="false">C217-E217-F217</f>
        <v>29758.7397198226</v>
      </c>
      <c r="I217" s="25" t="n">
        <f aca="false">I216+E217</f>
        <v>207000</v>
      </c>
      <c r="J217" s="24" t="n">
        <f aca="false">J216+D217</f>
        <v>172964.292926278</v>
      </c>
    </row>
    <row r="218" customFormat="false" ht="15" hidden="false" customHeight="false" outlineLevel="1" collapsed="false">
      <c r="B218" s="125" t="n">
        <v>50496</v>
      </c>
      <c r="C218" s="21" t="n">
        <f aca="false">G217</f>
        <v>29758.7397198226</v>
      </c>
      <c r="D218" s="24" t="n">
        <f aca="false">C218*E$6</f>
        <v>123.994748832594</v>
      </c>
      <c r="E218" s="25" t="n">
        <f aca="false">E217</f>
        <v>1000</v>
      </c>
      <c r="F218" s="126" t="n">
        <v>0</v>
      </c>
      <c r="G218" s="24" t="n">
        <f aca="false">C218-E218-F218</f>
        <v>28758.7397198226</v>
      </c>
      <c r="I218" s="25" t="n">
        <f aca="false">I217+E218</f>
        <v>208000</v>
      </c>
      <c r="J218" s="24" t="n">
        <f aca="false">J217+D218</f>
        <v>173088.287675111</v>
      </c>
    </row>
    <row r="219" customFormat="false" ht="15" hidden="false" customHeight="false" outlineLevel="1" collapsed="false">
      <c r="B219" s="125" t="n">
        <v>50526</v>
      </c>
      <c r="C219" s="21" t="n">
        <f aca="false">G218</f>
        <v>28758.7397198226</v>
      </c>
      <c r="D219" s="24" t="n">
        <f aca="false">C219*E$6</f>
        <v>119.828082165928</v>
      </c>
      <c r="E219" s="25" t="n">
        <f aca="false">E218</f>
        <v>1000</v>
      </c>
      <c r="F219" s="127" t="n">
        <v>0</v>
      </c>
      <c r="G219" s="24" t="n">
        <f aca="false">C219-E219-F219</f>
        <v>27758.7397198226</v>
      </c>
      <c r="I219" s="25" t="n">
        <f aca="false">I218+E219</f>
        <v>209000</v>
      </c>
      <c r="J219" s="24" t="n">
        <f aca="false">J218+D219</f>
        <v>173208.115757277</v>
      </c>
    </row>
    <row r="220" customFormat="false" ht="15" hidden="false" customHeight="false" outlineLevel="1" collapsed="false">
      <c r="B220" s="125" t="n">
        <v>50557</v>
      </c>
      <c r="C220" s="21" t="n">
        <f aca="false">G219</f>
        <v>27758.7397198226</v>
      </c>
      <c r="D220" s="24" t="n">
        <f aca="false">C220*E$6</f>
        <v>115.661415499261</v>
      </c>
      <c r="E220" s="25" t="n">
        <f aca="false">E219</f>
        <v>1000</v>
      </c>
      <c r="F220" s="126" t="n">
        <v>0</v>
      </c>
      <c r="G220" s="24" t="n">
        <f aca="false">C220-E220-F220</f>
        <v>26758.7397198226</v>
      </c>
      <c r="I220" s="25" t="n">
        <f aca="false">I219+E220</f>
        <v>210000</v>
      </c>
      <c r="J220" s="24" t="n">
        <f aca="false">J219+D220</f>
        <v>173323.777172776</v>
      </c>
    </row>
    <row r="221" customFormat="false" ht="15" hidden="false" customHeight="false" outlineLevel="1" collapsed="false">
      <c r="B221" s="125" t="n">
        <v>50587</v>
      </c>
      <c r="C221" s="21" t="n">
        <f aca="false">G220</f>
        <v>26758.7397198226</v>
      </c>
      <c r="D221" s="24" t="n">
        <f aca="false">C221*E$6</f>
        <v>111.494748832594</v>
      </c>
      <c r="E221" s="25" t="n">
        <f aca="false">E220</f>
        <v>1000</v>
      </c>
      <c r="F221" s="127" t="n">
        <v>0</v>
      </c>
      <c r="G221" s="24" t="n">
        <f aca="false">C221-E221-F221</f>
        <v>25758.7397198226</v>
      </c>
      <c r="I221" s="25" t="n">
        <f aca="false">I220+E221</f>
        <v>211000</v>
      </c>
      <c r="J221" s="24" t="n">
        <f aca="false">J220+D221</f>
        <v>173435.271921608</v>
      </c>
    </row>
    <row r="222" customFormat="false" ht="15" hidden="false" customHeight="false" outlineLevel="1" collapsed="false">
      <c r="B222" s="125" t="n">
        <v>50618</v>
      </c>
      <c r="C222" s="21" t="n">
        <f aca="false">G221</f>
        <v>25758.7397198226</v>
      </c>
      <c r="D222" s="24" t="n">
        <f aca="false">C222*E$6</f>
        <v>107.328082165928</v>
      </c>
      <c r="E222" s="25" t="n">
        <f aca="false">E221</f>
        <v>1000</v>
      </c>
      <c r="F222" s="126" t="n">
        <v>0</v>
      </c>
      <c r="G222" s="24" t="n">
        <f aca="false">C222-E222-F222</f>
        <v>24758.7397198226</v>
      </c>
      <c r="I222" s="25" t="n">
        <f aca="false">I221+E222</f>
        <v>212000</v>
      </c>
      <c r="J222" s="24" t="n">
        <f aca="false">J221+D222</f>
        <v>173542.600003774</v>
      </c>
    </row>
    <row r="223" customFormat="false" ht="15" hidden="false" customHeight="false" outlineLevel="1" collapsed="false">
      <c r="B223" s="125" t="n">
        <v>50649</v>
      </c>
      <c r="C223" s="21" t="n">
        <f aca="false">G222</f>
        <v>24758.7397198226</v>
      </c>
      <c r="D223" s="24" t="n">
        <f aca="false">C223*E$6</f>
        <v>103.161415499261</v>
      </c>
      <c r="E223" s="25" t="n">
        <f aca="false">E222</f>
        <v>1000</v>
      </c>
      <c r="F223" s="127" t="n">
        <v>0</v>
      </c>
      <c r="G223" s="24" t="n">
        <f aca="false">C223-E223-F223</f>
        <v>23758.7397198226</v>
      </c>
      <c r="I223" s="25" t="n">
        <f aca="false">I222+E223</f>
        <v>213000</v>
      </c>
      <c r="J223" s="24" t="n">
        <f aca="false">J222+D223</f>
        <v>173645.761419274</v>
      </c>
    </row>
    <row r="224" customFormat="false" ht="15" hidden="false" customHeight="false" outlineLevel="1" collapsed="false">
      <c r="B224" s="125" t="n">
        <v>50679</v>
      </c>
      <c r="C224" s="21" t="n">
        <f aca="false">G223</f>
        <v>23758.7397198226</v>
      </c>
      <c r="D224" s="24" t="n">
        <f aca="false">C224*E$6</f>
        <v>98.9947488325943</v>
      </c>
      <c r="E224" s="25" t="n">
        <f aca="false">E223</f>
        <v>1000</v>
      </c>
      <c r="F224" s="126" t="n">
        <v>0</v>
      </c>
      <c r="G224" s="24" t="n">
        <f aca="false">C224-E224-F224</f>
        <v>22758.7397198226</v>
      </c>
      <c r="I224" s="25" t="n">
        <f aca="false">I223+E224</f>
        <v>214000</v>
      </c>
      <c r="J224" s="24" t="n">
        <f aca="false">J223+D224</f>
        <v>173744.756168106</v>
      </c>
    </row>
    <row r="225" customFormat="false" ht="15" hidden="false" customHeight="false" outlineLevel="1" collapsed="false">
      <c r="B225" s="125" t="n">
        <v>50710</v>
      </c>
      <c r="C225" s="21" t="n">
        <f aca="false">G224</f>
        <v>22758.7397198226</v>
      </c>
      <c r="D225" s="24" t="n">
        <f aca="false">C225*E$6</f>
        <v>94.8280821659276</v>
      </c>
      <c r="E225" s="25" t="n">
        <f aca="false">E224</f>
        <v>1000</v>
      </c>
      <c r="F225" s="127" t="n">
        <v>0</v>
      </c>
      <c r="G225" s="24" t="n">
        <f aca="false">C225-E225-F225</f>
        <v>21758.7397198226</v>
      </c>
      <c r="I225" s="25" t="n">
        <f aca="false">I224+E225</f>
        <v>215000</v>
      </c>
      <c r="J225" s="24" t="n">
        <f aca="false">J224+D225</f>
        <v>173839.584250272</v>
      </c>
    </row>
    <row r="226" customFormat="false" ht="15" hidden="false" customHeight="false" outlineLevel="1" collapsed="false">
      <c r="B226" s="125" t="n">
        <v>50740</v>
      </c>
      <c r="C226" s="21" t="n">
        <f aca="false">G225</f>
        <v>21758.7397198226</v>
      </c>
      <c r="D226" s="24" t="n">
        <f aca="false">C226*E$6</f>
        <v>90.6614154992609</v>
      </c>
      <c r="E226" s="25" t="n">
        <f aca="false">E225</f>
        <v>1000</v>
      </c>
      <c r="F226" s="126" t="n">
        <v>0</v>
      </c>
      <c r="G226" s="24" t="n">
        <f aca="false">C226-E226-F226</f>
        <v>20758.7397198226</v>
      </c>
      <c r="I226" s="25" t="n">
        <f aca="false">I225+E226</f>
        <v>216000</v>
      </c>
      <c r="J226" s="24" t="n">
        <f aca="false">J225+D226</f>
        <v>173930.245665771</v>
      </c>
    </row>
    <row r="227" customFormat="false" ht="15" hidden="false" customHeight="false" outlineLevel="1" collapsed="false">
      <c r="B227" s="125" t="n">
        <v>50771</v>
      </c>
      <c r="C227" s="21" t="n">
        <f aca="false">G226</f>
        <v>20758.7397198226</v>
      </c>
      <c r="D227" s="24" t="n">
        <f aca="false">C227*E$6</f>
        <v>86.4947488325943</v>
      </c>
      <c r="E227" s="25" t="n">
        <f aca="false">E226</f>
        <v>1000</v>
      </c>
      <c r="F227" s="127" t="n">
        <v>0</v>
      </c>
      <c r="G227" s="24" t="n">
        <f aca="false">C227-E227-F227</f>
        <v>19758.7397198226</v>
      </c>
      <c r="I227" s="25" t="n">
        <f aca="false">I226+E227</f>
        <v>217000</v>
      </c>
      <c r="J227" s="24" t="n">
        <f aca="false">J226+D227</f>
        <v>174016.740414604</v>
      </c>
    </row>
    <row r="228" customFormat="false" ht="15" hidden="false" customHeight="false" outlineLevel="1" collapsed="false">
      <c r="B228" s="125" t="n">
        <v>50802</v>
      </c>
      <c r="C228" s="21" t="n">
        <f aca="false">G227</f>
        <v>19758.7397198226</v>
      </c>
      <c r="D228" s="24" t="n">
        <f aca="false">C228*E$6</f>
        <v>82.3280821659276</v>
      </c>
      <c r="E228" s="25" t="n">
        <f aca="false">E227</f>
        <v>1000</v>
      </c>
      <c r="F228" s="126" t="n">
        <v>0</v>
      </c>
      <c r="G228" s="24" t="n">
        <f aca="false">C228-E228-F228</f>
        <v>18758.7397198226</v>
      </c>
      <c r="I228" s="25" t="n">
        <f aca="false">I227+E228</f>
        <v>218000</v>
      </c>
      <c r="J228" s="24" t="n">
        <f aca="false">J227+D228</f>
        <v>174099.06849677</v>
      </c>
    </row>
    <row r="229" customFormat="false" ht="15" hidden="false" customHeight="false" outlineLevel="1" collapsed="false">
      <c r="B229" s="125" t="n">
        <v>50830</v>
      </c>
      <c r="C229" s="21" t="n">
        <f aca="false">G228</f>
        <v>18758.7397198226</v>
      </c>
      <c r="D229" s="24" t="n">
        <f aca="false">C229*E$6</f>
        <v>78.1614154992609</v>
      </c>
      <c r="E229" s="25" t="n">
        <f aca="false">E228</f>
        <v>1000</v>
      </c>
      <c r="F229" s="127" t="n">
        <v>0</v>
      </c>
      <c r="G229" s="24" t="n">
        <f aca="false">C229-E229-F229</f>
        <v>17758.7397198226</v>
      </c>
      <c r="I229" s="25" t="n">
        <f aca="false">I228+E229</f>
        <v>219000</v>
      </c>
      <c r="J229" s="24" t="n">
        <f aca="false">J228+D229</f>
        <v>174177.229912269</v>
      </c>
    </row>
    <row r="230" customFormat="false" ht="15" hidden="false" customHeight="false" outlineLevel="1" collapsed="false">
      <c r="B230" s="125" t="n">
        <v>50861</v>
      </c>
      <c r="C230" s="21" t="n">
        <f aca="false">G229</f>
        <v>17758.7397198226</v>
      </c>
      <c r="D230" s="24" t="n">
        <f aca="false">C230*E$6</f>
        <v>73.9947488325943</v>
      </c>
      <c r="E230" s="25" t="n">
        <f aca="false">E229</f>
        <v>1000</v>
      </c>
      <c r="F230" s="126" t="n">
        <v>0</v>
      </c>
      <c r="G230" s="24" t="n">
        <f aca="false">C230-E230-F230</f>
        <v>16758.7397198226</v>
      </c>
      <c r="I230" s="25" t="n">
        <f aca="false">I229+E230</f>
        <v>220000</v>
      </c>
      <c r="J230" s="24" t="n">
        <f aca="false">J229+D230</f>
        <v>174251.224661102</v>
      </c>
    </row>
    <row r="231" customFormat="false" ht="15" hidden="false" customHeight="false" outlineLevel="1" collapsed="false">
      <c r="B231" s="125" t="n">
        <v>50891</v>
      </c>
      <c r="C231" s="21" t="n">
        <f aca="false">G230</f>
        <v>16758.7397198226</v>
      </c>
      <c r="D231" s="24" t="n">
        <f aca="false">C231*E$6</f>
        <v>69.8280821659276</v>
      </c>
      <c r="E231" s="25" t="n">
        <f aca="false">E230</f>
        <v>1000</v>
      </c>
      <c r="F231" s="127" t="n">
        <v>0</v>
      </c>
      <c r="G231" s="24" t="n">
        <f aca="false">C231-E231-F231</f>
        <v>15758.7397198226</v>
      </c>
      <c r="I231" s="25" t="n">
        <f aca="false">I230+E231</f>
        <v>221000</v>
      </c>
      <c r="J231" s="24" t="n">
        <f aca="false">J230+D231</f>
        <v>174321.052743268</v>
      </c>
    </row>
    <row r="232" customFormat="false" ht="15" hidden="false" customHeight="false" outlineLevel="1" collapsed="false">
      <c r="B232" s="125" t="n">
        <v>50922</v>
      </c>
      <c r="C232" s="21" t="n">
        <f aca="false">G231</f>
        <v>15758.7397198226</v>
      </c>
      <c r="D232" s="24" t="n">
        <f aca="false">C232*E$6</f>
        <v>65.6614154992609</v>
      </c>
      <c r="E232" s="25" t="n">
        <f aca="false">E231</f>
        <v>1000</v>
      </c>
      <c r="F232" s="126" t="n">
        <v>0</v>
      </c>
      <c r="G232" s="24" t="n">
        <f aca="false">C232-E232-F232</f>
        <v>14758.7397198226</v>
      </c>
      <c r="I232" s="25" t="n">
        <f aca="false">I231+E232</f>
        <v>222000</v>
      </c>
      <c r="J232" s="24" t="n">
        <f aca="false">J231+D232</f>
        <v>174386.714158767</v>
      </c>
    </row>
    <row r="233" customFormat="false" ht="15" hidden="false" customHeight="false" outlineLevel="1" collapsed="false">
      <c r="B233" s="125" t="n">
        <v>50952</v>
      </c>
      <c r="C233" s="21" t="n">
        <f aca="false">G232</f>
        <v>14758.7397198226</v>
      </c>
      <c r="D233" s="24" t="n">
        <f aca="false">C233*E$6</f>
        <v>61.4947488325943</v>
      </c>
      <c r="E233" s="25" t="n">
        <f aca="false">E232</f>
        <v>1000</v>
      </c>
      <c r="F233" s="127" t="n">
        <v>0</v>
      </c>
      <c r="G233" s="24" t="n">
        <f aca="false">C233-E233-F233</f>
        <v>13758.7397198226</v>
      </c>
      <c r="I233" s="25" t="n">
        <f aca="false">I232+E233</f>
        <v>223000</v>
      </c>
      <c r="J233" s="24" t="n">
        <f aca="false">J232+D233</f>
        <v>174448.208907599</v>
      </c>
    </row>
    <row r="234" customFormat="false" ht="15" hidden="false" customHeight="false" outlineLevel="1" collapsed="false">
      <c r="B234" s="125" t="n">
        <v>50983</v>
      </c>
      <c r="C234" s="21" t="n">
        <f aca="false">G233</f>
        <v>13758.7397198226</v>
      </c>
      <c r="D234" s="24" t="n">
        <f aca="false">C234*E$6</f>
        <v>57.3280821659276</v>
      </c>
      <c r="E234" s="25" t="n">
        <f aca="false">E233</f>
        <v>1000</v>
      </c>
      <c r="F234" s="126" t="n">
        <v>0</v>
      </c>
      <c r="G234" s="24" t="n">
        <f aca="false">C234-E234-F234</f>
        <v>12758.7397198226</v>
      </c>
      <c r="I234" s="25" t="n">
        <f aca="false">I233+E234</f>
        <v>224000</v>
      </c>
      <c r="J234" s="24" t="n">
        <f aca="false">J233+D234</f>
        <v>174505.536989765</v>
      </c>
    </row>
    <row r="235" customFormat="false" ht="15" hidden="false" customHeight="false" outlineLevel="1" collapsed="false">
      <c r="B235" s="125" t="n">
        <v>51014</v>
      </c>
      <c r="C235" s="21" t="n">
        <f aca="false">G234</f>
        <v>12758.7397198226</v>
      </c>
      <c r="D235" s="24" t="n">
        <f aca="false">C235*E$6</f>
        <v>53.1614154992609</v>
      </c>
      <c r="E235" s="25" t="n">
        <f aca="false">E234</f>
        <v>1000</v>
      </c>
      <c r="F235" s="127" t="n">
        <v>0</v>
      </c>
      <c r="G235" s="24" t="n">
        <f aca="false">C235-E235-F235</f>
        <v>11758.7397198226</v>
      </c>
      <c r="I235" s="25" t="n">
        <f aca="false">I234+E235</f>
        <v>225000</v>
      </c>
      <c r="J235" s="24" t="n">
        <f aca="false">J234+D235</f>
        <v>174558.698405265</v>
      </c>
    </row>
    <row r="236" customFormat="false" ht="15" hidden="false" customHeight="false" outlineLevel="1" collapsed="false">
      <c r="B236" s="125" t="n">
        <v>51044</v>
      </c>
      <c r="C236" s="21" t="n">
        <f aca="false">G235</f>
        <v>11758.7397198226</v>
      </c>
      <c r="D236" s="24" t="n">
        <f aca="false">C236*E$6</f>
        <v>48.9947488325943</v>
      </c>
      <c r="E236" s="25" t="n">
        <f aca="false">E235</f>
        <v>1000</v>
      </c>
      <c r="F236" s="126" t="n">
        <v>0</v>
      </c>
      <c r="G236" s="24" t="n">
        <f aca="false">C236-E236-F236</f>
        <v>10758.7397198226</v>
      </c>
      <c r="I236" s="25" t="n">
        <f aca="false">I235+E236</f>
        <v>226000</v>
      </c>
      <c r="J236" s="24" t="n">
        <f aca="false">J235+D236</f>
        <v>174607.693154097</v>
      </c>
    </row>
    <row r="237" customFormat="false" ht="15" hidden="false" customHeight="false" outlineLevel="1" collapsed="false">
      <c r="B237" s="125" t="n">
        <v>51075</v>
      </c>
      <c r="C237" s="21" t="n">
        <f aca="false">G236</f>
        <v>10758.7397198226</v>
      </c>
      <c r="D237" s="24" t="n">
        <f aca="false">C237*E$6</f>
        <v>44.8280821659276</v>
      </c>
      <c r="E237" s="25" t="n">
        <f aca="false">E236</f>
        <v>1000</v>
      </c>
      <c r="F237" s="127" t="n">
        <v>0</v>
      </c>
      <c r="G237" s="24" t="n">
        <f aca="false">C237-E237-F237</f>
        <v>9758.73971982262</v>
      </c>
      <c r="I237" s="25" t="n">
        <f aca="false">I236+E237</f>
        <v>227000</v>
      </c>
      <c r="J237" s="24" t="n">
        <f aca="false">J236+D237</f>
        <v>174652.521236263</v>
      </c>
    </row>
    <row r="238" customFormat="false" ht="15" hidden="false" customHeight="false" outlineLevel="1" collapsed="false">
      <c r="B238" s="125" t="n">
        <v>51105</v>
      </c>
      <c r="C238" s="21" t="n">
        <f aca="false">G237</f>
        <v>9758.73971982262</v>
      </c>
      <c r="D238" s="24" t="n">
        <f aca="false">C238*E$6</f>
        <v>40.6614154992609</v>
      </c>
      <c r="E238" s="25" t="n">
        <f aca="false">E237</f>
        <v>1000</v>
      </c>
      <c r="F238" s="126" t="n">
        <v>0</v>
      </c>
      <c r="G238" s="24" t="n">
        <f aca="false">C238-E238-F238</f>
        <v>8758.73971982262</v>
      </c>
      <c r="I238" s="25" t="n">
        <f aca="false">I237+E238</f>
        <v>228000</v>
      </c>
      <c r="J238" s="24" t="n">
        <f aca="false">J237+D238</f>
        <v>174693.182651762</v>
      </c>
    </row>
    <row r="239" customFormat="false" ht="15" hidden="false" customHeight="false" outlineLevel="1" collapsed="false">
      <c r="B239" s="125" t="n">
        <v>51136</v>
      </c>
      <c r="C239" s="21" t="n">
        <f aca="false">G238</f>
        <v>8758.73971982262</v>
      </c>
      <c r="D239" s="24" t="n">
        <f aca="false">C239*E$6</f>
        <v>36.4947488325943</v>
      </c>
      <c r="E239" s="25" t="n">
        <f aca="false">E238</f>
        <v>1000</v>
      </c>
      <c r="F239" s="127" t="n">
        <v>0</v>
      </c>
      <c r="G239" s="24" t="n">
        <f aca="false">C239-E239-F239</f>
        <v>7758.73971982262</v>
      </c>
      <c r="I239" s="25" t="n">
        <f aca="false">I238+E239</f>
        <v>229000</v>
      </c>
      <c r="J239" s="24" t="n">
        <f aca="false">J238+D239</f>
        <v>174729.677400595</v>
      </c>
    </row>
    <row r="240" customFormat="false" ht="15" hidden="false" customHeight="false" outlineLevel="1" collapsed="false">
      <c r="B240" s="125" t="n">
        <v>51167</v>
      </c>
      <c r="C240" s="21" t="n">
        <f aca="false">G239</f>
        <v>7758.73971982262</v>
      </c>
      <c r="D240" s="24" t="n">
        <f aca="false">C240*E$6</f>
        <v>32.3280821659276</v>
      </c>
      <c r="E240" s="25" t="n">
        <f aca="false">E239</f>
        <v>1000</v>
      </c>
      <c r="F240" s="126" t="n">
        <v>0</v>
      </c>
      <c r="G240" s="24" t="n">
        <f aca="false">C240-E240-F240</f>
        <v>6758.73971982262</v>
      </c>
      <c r="I240" s="25" t="n">
        <f aca="false">I239+E240</f>
        <v>230000</v>
      </c>
      <c r="J240" s="24" t="n">
        <f aca="false">J239+D240</f>
        <v>174762.005482761</v>
      </c>
    </row>
    <row r="241" customFormat="false" ht="15" hidden="false" customHeight="false" outlineLevel="1" collapsed="false">
      <c r="B241" s="125" t="n">
        <v>51196</v>
      </c>
      <c r="C241" s="21" t="n">
        <f aca="false">G240</f>
        <v>6758.73971982262</v>
      </c>
      <c r="D241" s="24" t="n">
        <f aca="false">C241*E$6</f>
        <v>28.1614154992609</v>
      </c>
      <c r="E241" s="25" t="n">
        <f aca="false">E240</f>
        <v>1000</v>
      </c>
      <c r="F241" s="127" t="n">
        <v>0</v>
      </c>
      <c r="G241" s="24" t="n">
        <f aca="false">C241-E241-F241</f>
        <v>5758.73971982262</v>
      </c>
      <c r="I241" s="25" t="n">
        <f aca="false">I240+E241</f>
        <v>231000</v>
      </c>
      <c r="J241" s="24" t="n">
        <f aca="false">J240+D241</f>
        <v>174790.16689826</v>
      </c>
    </row>
    <row r="242" customFormat="false" ht="15" hidden="false" customHeight="false" outlineLevel="1" collapsed="false">
      <c r="B242" s="125" t="n">
        <v>51227</v>
      </c>
      <c r="C242" s="21" t="n">
        <f aca="false">G241</f>
        <v>5758.73971982262</v>
      </c>
      <c r="D242" s="24" t="n">
        <f aca="false">C242*E$6</f>
        <v>23.9947488325943</v>
      </c>
      <c r="E242" s="25" t="n">
        <f aca="false">E241</f>
        <v>1000</v>
      </c>
      <c r="F242" s="126" t="n">
        <v>0</v>
      </c>
      <c r="G242" s="24" t="n">
        <f aca="false">C242-E242-F242</f>
        <v>4758.73971982262</v>
      </c>
      <c r="I242" s="25" t="n">
        <f aca="false">I241+E242</f>
        <v>232000</v>
      </c>
      <c r="J242" s="24" t="n">
        <f aca="false">J241+D242</f>
        <v>174814.161647093</v>
      </c>
    </row>
    <row r="243" customFormat="false" ht="15" hidden="false" customHeight="false" outlineLevel="1" collapsed="false">
      <c r="B243" s="125" t="n">
        <v>51257</v>
      </c>
      <c r="C243" s="21" t="n">
        <f aca="false">G242</f>
        <v>4758.73971982262</v>
      </c>
      <c r="D243" s="24" t="n">
        <f aca="false">C243*E$6</f>
        <v>19.8280821659276</v>
      </c>
      <c r="E243" s="25" t="n">
        <f aca="false">E242</f>
        <v>1000</v>
      </c>
      <c r="F243" s="127" t="n">
        <v>0</v>
      </c>
      <c r="G243" s="24" t="n">
        <f aca="false">C243-E243-F243</f>
        <v>3758.73971982262</v>
      </c>
      <c r="I243" s="25" t="n">
        <f aca="false">I242+E243</f>
        <v>233000</v>
      </c>
      <c r="J243" s="24" t="n">
        <f aca="false">J242+D243</f>
        <v>174833.989729259</v>
      </c>
    </row>
    <row r="244" customFormat="false" ht="15" hidden="false" customHeight="false" outlineLevel="1" collapsed="false">
      <c r="B244" s="125" t="n">
        <v>51288</v>
      </c>
      <c r="C244" s="21" t="n">
        <f aca="false">G243</f>
        <v>3758.73971982262</v>
      </c>
      <c r="D244" s="24" t="n">
        <f aca="false">C244*E$6</f>
        <v>15.6614154992609</v>
      </c>
      <c r="E244" s="25" t="n">
        <f aca="false">E243</f>
        <v>1000</v>
      </c>
      <c r="F244" s="126" t="n">
        <v>0</v>
      </c>
      <c r="G244" s="24" t="n">
        <f aca="false">C244-E244-F244</f>
        <v>2758.73971982262</v>
      </c>
      <c r="I244" s="25" t="n">
        <f aca="false">I243+E244</f>
        <v>234000</v>
      </c>
      <c r="J244" s="24" t="n">
        <f aca="false">J243+D244</f>
        <v>174849.651144758</v>
      </c>
    </row>
    <row r="245" customFormat="false" ht="15" hidden="false" customHeight="false" outlineLevel="1" collapsed="false">
      <c r="B245" s="125" t="n">
        <v>51318</v>
      </c>
      <c r="C245" s="21" t="n">
        <f aca="false">G244</f>
        <v>2758.73971982262</v>
      </c>
      <c r="D245" s="24" t="n">
        <f aca="false">C245*E$6</f>
        <v>11.4947488325943</v>
      </c>
      <c r="E245" s="25" t="n">
        <f aca="false">E244</f>
        <v>1000</v>
      </c>
      <c r="F245" s="127" t="n">
        <v>0</v>
      </c>
      <c r="G245" s="24" t="n">
        <f aca="false">C245-E245-F245</f>
        <v>1758.73971982262</v>
      </c>
      <c r="I245" s="25" t="n">
        <f aca="false">I244+E245</f>
        <v>235000</v>
      </c>
      <c r="J245" s="24" t="n">
        <f aca="false">J244+D245</f>
        <v>174861.145893591</v>
      </c>
    </row>
    <row r="246" customFormat="false" ht="15" hidden="false" customHeight="false" outlineLevel="1" collapsed="false">
      <c r="B246" s="125" t="n">
        <v>51349</v>
      </c>
      <c r="C246" s="21" t="n">
        <f aca="false">G245</f>
        <v>1758.73971982262</v>
      </c>
      <c r="D246" s="24" t="n">
        <f aca="false">C246*E$6</f>
        <v>7.3280821659276</v>
      </c>
      <c r="E246" s="25" t="n">
        <f aca="false">E245</f>
        <v>1000</v>
      </c>
      <c r="F246" s="126" t="n">
        <v>0</v>
      </c>
      <c r="G246" s="24" t="n">
        <f aca="false">C246-E246-F246</f>
        <v>758.739719822625</v>
      </c>
      <c r="I246" s="25" t="n">
        <f aca="false">I245+E246</f>
        <v>236000</v>
      </c>
      <c r="J246" s="24" t="n">
        <f aca="false">J245+D246</f>
        <v>174868.473975756</v>
      </c>
    </row>
    <row r="247" customFormat="false" ht="15" hidden="false" customHeight="false" outlineLevel="1" collapsed="false">
      <c r="B247" s="125" t="n">
        <v>51380</v>
      </c>
      <c r="C247" s="21" t="n">
        <f aca="false">G246</f>
        <v>758.739719822625</v>
      </c>
      <c r="D247" s="24" t="n">
        <f aca="false">C247*E$6</f>
        <v>3.16141549926094</v>
      </c>
      <c r="E247" s="25" t="n">
        <f aca="false">E246</f>
        <v>1000</v>
      </c>
      <c r="F247" s="127" t="n">
        <v>0</v>
      </c>
      <c r="G247" s="24" t="n">
        <f aca="false">C247-E247-F247</f>
        <v>-241.260280177376</v>
      </c>
      <c r="I247" s="25" t="n">
        <f aca="false">I246+E247</f>
        <v>237000</v>
      </c>
      <c r="J247" s="24" t="n">
        <f aca="false">J246+D247</f>
        <v>174871.635391256</v>
      </c>
    </row>
    <row r="248" customFormat="false" ht="15" hidden="false" customHeight="false" outlineLevel="1" collapsed="false">
      <c r="B248" s="125" t="n">
        <v>51410</v>
      </c>
      <c r="C248" s="21" t="n">
        <f aca="false">G247</f>
        <v>-241.260280177376</v>
      </c>
      <c r="D248" s="24" t="n">
        <f aca="false">C248*E$6</f>
        <v>-1.00525116740573</v>
      </c>
      <c r="E248" s="25" t="n">
        <f aca="false">E247</f>
        <v>1000</v>
      </c>
      <c r="F248" s="126" t="n">
        <v>0</v>
      </c>
      <c r="G248" s="24" t="n">
        <f aca="false">C248-E248-F248</f>
        <v>-1241.26028017738</v>
      </c>
      <c r="I248" s="25" t="n">
        <f aca="false">I247+E248</f>
        <v>238000</v>
      </c>
      <c r="J248" s="24" t="n">
        <f aca="false">J247+D248</f>
        <v>174870.630140088</v>
      </c>
    </row>
    <row r="249" customFormat="false" ht="15" hidden="false" customHeight="false" outlineLevel="1" collapsed="false">
      <c r="B249" s="125" t="n">
        <v>51441</v>
      </c>
      <c r="C249" s="21" t="n">
        <f aca="false">G248</f>
        <v>-1241.26028017738</v>
      </c>
      <c r="D249" s="24" t="n">
        <f aca="false">C249*E$6</f>
        <v>-5.1719178340724</v>
      </c>
      <c r="E249" s="25" t="n">
        <f aca="false">E248</f>
        <v>1000</v>
      </c>
      <c r="F249" s="127" t="n">
        <v>0</v>
      </c>
      <c r="G249" s="24" t="n">
        <f aca="false">C249-E249-F249</f>
        <v>-2241.26028017738</v>
      </c>
      <c r="I249" s="25" t="n">
        <f aca="false">I248+E249</f>
        <v>239000</v>
      </c>
      <c r="J249" s="24" t="n">
        <f aca="false">J248+D249</f>
        <v>174865.458222254</v>
      </c>
    </row>
    <row r="250" customFormat="false" ht="15" hidden="false" customHeight="false" outlineLevel="1" collapsed="false">
      <c r="B250" s="125" t="n">
        <v>51471</v>
      </c>
      <c r="C250" s="21" t="n">
        <f aca="false">G249</f>
        <v>-2241.26028017738</v>
      </c>
      <c r="D250" s="24" t="n">
        <f aca="false">C250*E$6</f>
        <v>-9.33858450073907</v>
      </c>
      <c r="E250" s="25" t="n">
        <f aca="false">E249</f>
        <v>1000</v>
      </c>
      <c r="F250" s="126" t="n">
        <v>0</v>
      </c>
      <c r="G250" s="24" t="n">
        <f aca="false">C250-E250-F250</f>
        <v>-3241.26028017738</v>
      </c>
      <c r="I250" s="25" t="n">
        <f aca="false">I249+E250</f>
        <v>240000</v>
      </c>
      <c r="J250" s="24" t="n">
        <f aca="false">J249+D250</f>
        <v>174856.119637754</v>
      </c>
    </row>
    <row r="251" customFormat="false" ht="15" hidden="false" customHeight="false" outlineLevel="1" collapsed="false">
      <c r="B251" s="125" t="n">
        <v>51502</v>
      </c>
      <c r="C251" s="21" t="n">
        <f aca="false">G250</f>
        <v>-3241.26028017738</v>
      </c>
      <c r="D251" s="24" t="n">
        <f aca="false">C251*E$6</f>
        <v>-13.5052511674057</v>
      </c>
      <c r="E251" s="25" t="n">
        <f aca="false">E250</f>
        <v>1000</v>
      </c>
      <c r="F251" s="127" t="n">
        <v>0</v>
      </c>
      <c r="G251" s="24" t="n">
        <f aca="false">C251-E251-F251</f>
        <v>-4241.26028017738</v>
      </c>
      <c r="I251" s="25" t="n">
        <f aca="false">I250+E251</f>
        <v>241000</v>
      </c>
      <c r="J251" s="24" t="n">
        <f aca="false">J250+D251</f>
        <v>174842.614386586</v>
      </c>
    </row>
    <row r="252" customFormat="false" ht="15" hidden="false" customHeight="false" outlineLevel="1" collapsed="false">
      <c r="B252" s="125" t="n">
        <v>51533</v>
      </c>
      <c r="C252" s="21" t="n">
        <f aca="false">G251</f>
        <v>-4241.26028017738</v>
      </c>
      <c r="D252" s="24" t="n">
        <f aca="false">C252*E$6</f>
        <v>-17.6719178340724</v>
      </c>
      <c r="E252" s="25" t="n">
        <f aca="false">E251</f>
        <v>1000</v>
      </c>
      <c r="F252" s="126" t="n">
        <v>0</v>
      </c>
      <c r="G252" s="24" t="n">
        <f aca="false">C252-E252-F252</f>
        <v>-5241.26028017738</v>
      </c>
      <c r="I252" s="25" t="n">
        <f aca="false">I251+E252</f>
        <v>242000</v>
      </c>
      <c r="J252" s="24" t="n">
        <f aca="false">J251+D252</f>
        <v>174824.942468752</v>
      </c>
    </row>
    <row r="253" customFormat="false" ht="15" hidden="false" customHeight="false" outlineLevel="1" collapsed="false">
      <c r="B253" s="125" t="n">
        <v>51561</v>
      </c>
      <c r="C253" s="21" t="n">
        <f aca="false">G252</f>
        <v>-5241.26028017738</v>
      </c>
      <c r="D253" s="24" t="n">
        <f aca="false">C253*E$6</f>
        <v>-21.8385845007391</v>
      </c>
      <c r="E253" s="25" t="n">
        <f aca="false">E252</f>
        <v>1000</v>
      </c>
      <c r="F253" s="127" t="n">
        <v>0</v>
      </c>
      <c r="G253" s="24" t="n">
        <f aca="false">C253-E253-F253</f>
        <v>-6241.26028017738</v>
      </c>
      <c r="I253" s="25" t="n">
        <f aca="false">I252+E253</f>
        <v>243000</v>
      </c>
      <c r="J253" s="24" t="n">
        <f aca="false">J252+D253</f>
        <v>174803.103884251</v>
      </c>
    </row>
    <row r="254" customFormat="false" ht="15" hidden="false" customHeight="false" outlineLevel="1" collapsed="false">
      <c r="B254" s="125" t="n">
        <v>51592</v>
      </c>
      <c r="C254" s="21" t="n">
        <f aca="false">G253</f>
        <v>-6241.26028017738</v>
      </c>
      <c r="D254" s="24" t="n">
        <f aca="false">C254*E$6</f>
        <v>-26.0052511674057</v>
      </c>
      <c r="E254" s="25" t="n">
        <f aca="false">E253</f>
        <v>1000</v>
      </c>
      <c r="F254" s="126" t="n">
        <v>0</v>
      </c>
      <c r="G254" s="24" t="n">
        <f aca="false">C254-E254-F254</f>
        <v>-7241.26028017738</v>
      </c>
      <c r="I254" s="25" t="n">
        <f aca="false">I253+E254</f>
        <v>244000</v>
      </c>
      <c r="J254" s="24" t="n">
        <f aca="false">J253+D254</f>
        <v>174777.098633084</v>
      </c>
    </row>
    <row r="255" customFormat="false" ht="15" hidden="false" customHeight="false" outlineLevel="1" collapsed="false">
      <c r="B255" s="125" t="n">
        <v>51622</v>
      </c>
      <c r="C255" s="21" t="n">
        <f aca="false">G254</f>
        <v>-7241.26028017738</v>
      </c>
      <c r="D255" s="24" t="n">
        <f aca="false">C255*E$6</f>
        <v>-30.1719178340724</v>
      </c>
      <c r="E255" s="25" t="n">
        <f aca="false">E254</f>
        <v>1000</v>
      </c>
      <c r="F255" s="127" t="n">
        <v>0</v>
      </c>
      <c r="G255" s="24" t="n">
        <f aca="false">C255-E255-F255</f>
        <v>-8241.26028017738</v>
      </c>
      <c r="I255" s="25" t="n">
        <f aca="false">I254+E255</f>
        <v>245000</v>
      </c>
      <c r="J255" s="24" t="n">
        <f aca="false">J254+D255</f>
        <v>174746.92671525</v>
      </c>
    </row>
    <row r="256" customFormat="false" ht="15" hidden="false" customHeight="false" outlineLevel="1" collapsed="false">
      <c r="B256" s="125" t="n">
        <v>51653</v>
      </c>
      <c r="C256" s="21" t="n">
        <f aca="false">G255</f>
        <v>-8241.26028017738</v>
      </c>
      <c r="D256" s="24" t="n">
        <f aca="false">C256*E$6</f>
        <v>-34.3385845007391</v>
      </c>
      <c r="E256" s="25" t="n">
        <f aca="false">E255</f>
        <v>1000</v>
      </c>
      <c r="F256" s="126" t="n">
        <v>0</v>
      </c>
      <c r="G256" s="24" t="n">
        <f aca="false">C256-E256-F256</f>
        <v>-9241.26028017738</v>
      </c>
      <c r="I256" s="25" t="n">
        <f aca="false">I255+E256</f>
        <v>246000</v>
      </c>
      <c r="J256" s="24" t="n">
        <f aca="false">J255+D256</f>
        <v>174712.588130749</v>
      </c>
    </row>
    <row r="257" customFormat="false" ht="15" hidden="false" customHeight="false" outlineLevel="1" collapsed="false">
      <c r="B257" s="125" t="n">
        <v>51683</v>
      </c>
      <c r="C257" s="21" t="n">
        <f aca="false">G256</f>
        <v>-9241.26028017738</v>
      </c>
      <c r="D257" s="24" t="n">
        <f aca="false">C257*E$6</f>
        <v>-38.5052511674057</v>
      </c>
      <c r="E257" s="25" t="n">
        <f aca="false">E256</f>
        <v>1000</v>
      </c>
      <c r="F257" s="127" t="n">
        <v>0</v>
      </c>
      <c r="G257" s="24" t="n">
        <f aca="false">C257-E257-F257</f>
        <v>-10241.2602801774</v>
      </c>
      <c r="I257" s="25" t="n">
        <f aca="false">I256+E257</f>
        <v>247000</v>
      </c>
      <c r="J257" s="24" t="n">
        <f aca="false">J256+D257</f>
        <v>174674.082879582</v>
      </c>
    </row>
    <row r="258" customFormat="false" ht="15" hidden="false" customHeight="false" outlineLevel="1" collapsed="false">
      <c r="B258" s="125" t="n">
        <v>51714</v>
      </c>
      <c r="C258" s="21" t="n">
        <f aca="false">G257</f>
        <v>-10241.2602801774</v>
      </c>
      <c r="D258" s="24" t="n">
        <f aca="false">C258*E$6</f>
        <v>-42.6719178340724</v>
      </c>
      <c r="E258" s="25" t="n">
        <f aca="false">E257</f>
        <v>1000</v>
      </c>
      <c r="F258" s="126" t="n">
        <v>0</v>
      </c>
      <c r="G258" s="24" t="n">
        <f aca="false">C258-E258-F258</f>
        <v>-11241.2602801774</v>
      </c>
      <c r="I258" s="25" t="n">
        <f aca="false">I257+E258</f>
        <v>248000</v>
      </c>
      <c r="J258" s="24" t="n">
        <f aca="false">J257+D258</f>
        <v>174631.410961748</v>
      </c>
    </row>
    <row r="259" customFormat="false" ht="15" hidden="false" customHeight="false" outlineLevel="1" collapsed="false">
      <c r="B259" s="125" t="n">
        <v>51745</v>
      </c>
      <c r="C259" s="21" t="n">
        <f aca="false">G258</f>
        <v>-11241.2602801774</v>
      </c>
      <c r="D259" s="24" t="n">
        <f aca="false">C259*E$6</f>
        <v>-46.8385845007391</v>
      </c>
      <c r="E259" s="25" t="n">
        <f aca="false">E258</f>
        <v>1000</v>
      </c>
      <c r="F259" s="127" t="n">
        <v>0</v>
      </c>
      <c r="G259" s="24" t="n">
        <f aca="false">C259-E259-F259</f>
        <v>-12241.2602801774</v>
      </c>
      <c r="I259" s="25" t="n">
        <f aca="false">I258+E259</f>
        <v>249000</v>
      </c>
      <c r="J259" s="24" t="n">
        <f aca="false">J258+D259</f>
        <v>174584.572377247</v>
      </c>
    </row>
    <row r="260" customFormat="false" ht="15" hidden="false" customHeight="false" outlineLevel="1" collapsed="false">
      <c r="B260" s="125" t="n">
        <v>51775</v>
      </c>
      <c r="C260" s="21" t="n">
        <f aca="false">G259</f>
        <v>-12241.2602801774</v>
      </c>
      <c r="D260" s="24" t="n">
        <f aca="false">C260*E$6</f>
        <v>-51.0052511674057</v>
      </c>
      <c r="E260" s="25" t="n">
        <f aca="false">E259</f>
        <v>1000</v>
      </c>
      <c r="F260" s="126" t="n">
        <v>0</v>
      </c>
      <c r="G260" s="24" t="n">
        <f aca="false">C260-E260-F260</f>
        <v>-13241.2602801774</v>
      </c>
      <c r="I260" s="25" t="n">
        <f aca="false">I259+E260</f>
        <v>250000</v>
      </c>
      <c r="J260" s="24" t="n">
        <f aca="false">J259+D260</f>
        <v>174533.567126079</v>
      </c>
    </row>
    <row r="261" customFormat="false" ht="15" hidden="false" customHeight="false" outlineLevel="1" collapsed="false">
      <c r="B261" s="125" t="n">
        <v>51806</v>
      </c>
      <c r="C261" s="21" t="n">
        <f aca="false">G260</f>
        <v>-13241.2602801774</v>
      </c>
      <c r="D261" s="24" t="n">
        <f aca="false">C261*E$6</f>
        <v>-55.1719178340724</v>
      </c>
      <c r="E261" s="25" t="n">
        <f aca="false">E260</f>
        <v>1000</v>
      </c>
      <c r="F261" s="127" t="n">
        <v>0</v>
      </c>
      <c r="G261" s="24" t="n">
        <f aca="false">C261-E261-F261</f>
        <v>-14241.2602801774</v>
      </c>
      <c r="I261" s="25" t="n">
        <f aca="false">I260+E261</f>
        <v>251000</v>
      </c>
      <c r="J261" s="24" t="n">
        <f aca="false">J260+D261</f>
        <v>174478.395208245</v>
      </c>
    </row>
    <row r="262" customFormat="false" ht="15" hidden="false" customHeight="false" outlineLevel="1" collapsed="false">
      <c r="B262" s="125" t="n">
        <v>51836</v>
      </c>
      <c r="C262" s="21" t="n">
        <f aca="false">G261</f>
        <v>-14241.2602801774</v>
      </c>
      <c r="D262" s="24" t="n">
        <f aca="false">C262*E$6</f>
        <v>-59.3385845007391</v>
      </c>
      <c r="E262" s="25" t="n">
        <f aca="false">E261</f>
        <v>1000</v>
      </c>
      <c r="F262" s="126" t="n">
        <v>0</v>
      </c>
      <c r="G262" s="24" t="n">
        <f aca="false">C262-E262-F262</f>
        <v>-15241.2602801774</v>
      </c>
      <c r="I262" s="25" t="n">
        <f aca="false">I261+E262</f>
        <v>252000</v>
      </c>
      <c r="J262" s="24" t="n">
        <f aca="false">J261+D262</f>
        <v>174419.056623745</v>
      </c>
    </row>
    <row r="263" customFormat="false" ht="15" hidden="false" customHeight="false" outlineLevel="1" collapsed="false">
      <c r="B263" s="125" t="n">
        <v>51867</v>
      </c>
      <c r="C263" s="21" t="n">
        <f aca="false">G262</f>
        <v>-15241.2602801774</v>
      </c>
      <c r="D263" s="24" t="n">
        <f aca="false">C263*E$6</f>
        <v>-63.5052511674057</v>
      </c>
      <c r="E263" s="25" t="n">
        <f aca="false">E262</f>
        <v>1000</v>
      </c>
      <c r="F263" s="127" t="n">
        <v>0</v>
      </c>
      <c r="G263" s="24" t="n">
        <f aca="false">C263-E263-F263</f>
        <v>-16241.2602801774</v>
      </c>
      <c r="I263" s="25" t="n">
        <f aca="false">I262+E263</f>
        <v>253000</v>
      </c>
      <c r="J263" s="24" t="n">
        <f aca="false">J262+D263</f>
        <v>174355.551372577</v>
      </c>
    </row>
    <row r="264" customFormat="false" ht="15" hidden="false" customHeight="false" outlineLevel="1" collapsed="false">
      <c r="B264" s="125" t="n">
        <v>51898</v>
      </c>
      <c r="C264" s="21" t="n">
        <f aca="false">G263</f>
        <v>-16241.2602801774</v>
      </c>
      <c r="D264" s="24" t="n">
        <f aca="false">C264*E$6</f>
        <v>-67.6719178340724</v>
      </c>
      <c r="E264" s="25" t="n">
        <f aca="false">E263</f>
        <v>1000</v>
      </c>
      <c r="F264" s="126" t="n">
        <v>0</v>
      </c>
      <c r="G264" s="24" t="n">
        <f aca="false">C264-E264-F264</f>
        <v>-17241.2602801774</v>
      </c>
      <c r="I264" s="25" t="n">
        <f aca="false">I263+E264</f>
        <v>254000</v>
      </c>
      <c r="J264" s="24" t="n">
        <f aca="false">J263+D264</f>
        <v>174287.879454743</v>
      </c>
    </row>
    <row r="265" customFormat="false" ht="15" hidden="false" customHeight="false" outlineLevel="1" collapsed="false">
      <c r="B265" s="125" t="n">
        <v>51926</v>
      </c>
      <c r="C265" s="21" t="n">
        <f aca="false">G264</f>
        <v>-17241.2602801774</v>
      </c>
      <c r="D265" s="24" t="n">
        <f aca="false">C265*E$6</f>
        <v>-71.8385845007391</v>
      </c>
      <c r="E265" s="25" t="n">
        <f aca="false">E264</f>
        <v>1000</v>
      </c>
      <c r="F265" s="127" t="n">
        <v>0</v>
      </c>
      <c r="G265" s="24" t="n">
        <f aca="false">C265-E265-F265</f>
        <v>-18241.2602801774</v>
      </c>
      <c r="I265" s="25" t="n">
        <f aca="false">I264+E265</f>
        <v>255000</v>
      </c>
      <c r="J265" s="24" t="n">
        <f aca="false">J264+D265</f>
        <v>174216.040870242</v>
      </c>
    </row>
    <row r="266" customFormat="false" ht="15" hidden="false" customHeight="false" outlineLevel="1" collapsed="false">
      <c r="B266" s="125" t="n">
        <v>51957</v>
      </c>
      <c r="C266" s="21" t="n">
        <f aca="false">G265</f>
        <v>-18241.2602801774</v>
      </c>
      <c r="D266" s="24" t="n">
        <f aca="false">C266*E$6</f>
        <v>-76.0052511674057</v>
      </c>
      <c r="E266" s="25" t="n">
        <f aca="false">E265</f>
        <v>1000</v>
      </c>
      <c r="F266" s="126" t="n">
        <v>0</v>
      </c>
      <c r="G266" s="24" t="n">
        <f aca="false">C266-E266-F266</f>
        <v>-19241.2602801774</v>
      </c>
      <c r="I266" s="25" t="n">
        <f aca="false">I265+E266</f>
        <v>256000</v>
      </c>
      <c r="J266" s="24" t="n">
        <f aca="false">J265+D266</f>
        <v>174140.035619075</v>
      </c>
    </row>
    <row r="267" customFormat="false" ht="15" hidden="false" customHeight="false" outlineLevel="1" collapsed="false">
      <c r="B267" s="125" t="n">
        <v>51987</v>
      </c>
      <c r="C267" s="21" t="n">
        <f aca="false">G266</f>
        <v>-19241.2602801774</v>
      </c>
      <c r="D267" s="24" t="n">
        <f aca="false">C267*E$6</f>
        <v>-80.1719178340724</v>
      </c>
      <c r="E267" s="25" t="n">
        <f aca="false">E266</f>
        <v>1000</v>
      </c>
      <c r="F267" s="127" t="n">
        <v>0</v>
      </c>
      <c r="G267" s="24" t="n">
        <f aca="false">C267-E267-F267</f>
        <v>-20241.2602801774</v>
      </c>
      <c r="I267" s="25" t="n">
        <f aca="false">I266+E267</f>
        <v>257000</v>
      </c>
      <c r="J267" s="24" t="n">
        <f aca="false">J266+D267</f>
        <v>174059.863701241</v>
      </c>
    </row>
    <row r="268" customFormat="false" ht="15" hidden="false" customHeight="false" outlineLevel="1" collapsed="false">
      <c r="B268" s="125" t="n">
        <v>52018</v>
      </c>
      <c r="C268" s="21" t="n">
        <f aca="false">G267</f>
        <v>-20241.2602801774</v>
      </c>
      <c r="D268" s="24" t="n">
        <f aca="false">C268*E$6</f>
        <v>-84.3385845007391</v>
      </c>
      <c r="E268" s="25" t="n">
        <f aca="false">E267</f>
        <v>1000</v>
      </c>
      <c r="F268" s="126" t="n">
        <v>0</v>
      </c>
      <c r="G268" s="24" t="n">
        <f aca="false">C268-E268-F268</f>
        <v>-21241.2602801774</v>
      </c>
      <c r="I268" s="25" t="n">
        <f aca="false">I267+E268</f>
        <v>258000</v>
      </c>
      <c r="J268" s="24" t="n">
        <f aca="false">J267+D268</f>
        <v>173975.52511674</v>
      </c>
    </row>
    <row r="269" customFormat="false" ht="15" hidden="false" customHeight="false" outlineLevel="1" collapsed="false">
      <c r="B269" s="125" t="n">
        <v>52048</v>
      </c>
      <c r="C269" s="21" t="n">
        <f aca="false">G268</f>
        <v>-21241.2602801774</v>
      </c>
      <c r="D269" s="24" t="n">
        <f aca="false">C269*E$6</f>
        <v>-88.5052511674057</v>
      </c>
      <c r="E269" s="25" t="n">
        <f aca="false">E268</f>
        <v>1000</v>
      </c>
      <c r="F269" s="127" t="n">
        <v>0</v>
      </c>
      <c r="G269" s="24" t="n">
        <f aca="false">C269-E269-F269</f>
        <v>-22241.2602801774</v>
      </c>
      <c r="I269" s="25" t="n">
        <f aca="false">I268+E269</f>
        <v>259000</v>
      </c>
      <c r="J269" s="24" t="n">
        <f aca="false">J268+D269</f>
        <v>173887.019865573</v>
      </c>
    </row>
    <row r="270" customFormat="false" ht="15" hidden="false" customHeight="false" outlineLevel="1" collapsed="false">
      <c r="B270" s="125" t="n">
        <v>52079</v>
      </c>
      <c r="C270" s="21" t="n">
        <f aca="false">G269</f>
        <v>-22241.2602801774</v>
      </c>
      <c r="D270" s="24" t="n">
        <f aca="false">C270*E$6</f>
        <v>-92.6719178340724</v>
      </c>
      <c r="E270" s="25" t="n">
        <f aca="false">E269</f>
        <v>1000</v>
      </c>
      <c r="F270" s="126" t="n">
        <v>0</v>
      </c>
      <c r="G270" s="24" t="n">
        <f aca="false">C270-E270-F270</f>
        <v>-23241.2602801774</v>
      </c>
      <c r="I270" s="25" t="n">
        <f aca="false">I269+E270</f>
        <v>260000</v>
      </c>
      <c r="J270" s="24" t="n">
        <f aca="false">J269+D270</f>
        <v>173794.347947739</v>
      </c>
    </row>
    <row r="271" customFormat="false" ht="15" hidden="false" customHeight="false" outlineLevel="1" collapsed="false">
      <c r="B271" s="125" t="n">
        <v>52110</v>
      </c>
      <c r="C271" s="21" t="n">
        <f aca="false">G270</f>
        <v>-23241.2602801774</v>
      </c>
      <c r="D271" s="24" t="n">
        <f aca="false">C271*E$6</f>
        <v>-96.8385845007391</v>
      </c>
      <c r="E271" s="25" t="n">
        <f aca="false">E270</f>
        <v>1000</v>
      </c>
      <c r="F271" s="127" t="n">
        <v>0</v>
      </c>
      <c r="G271" s="24" t="n">
        <f aca="false">C271-E271-F271</f>
        <v>-24241.2602801774</v>
      </c>
      <c r="I271" s="25" t="n">
        <f aca="false">I270+E271</f>
        <v>261000</v>
      </c>
      <c r="J271" s="24" t="n">
        <f aca="false">J270+D271</f>
        <v>173697.509363238</v>
      </c>
    </row>
    <row r="272" customFormat="false" ht="15" hidden="false" customHeight="false" outlineLevel="1" collapsed="false">
      <c r="B272" s="125" t="n">
        <v>52140</v>
      </c>
      <c r="C272" s="21" t="n">
        <f aca="false">G271</f>
        <v>-24241.2602801774</v>
      </c>
      <c r="D272" s="24" t="n">
        <f aca="false">C272*E$6</f>
        <v>-101.005251167406</v>
      </c>
      <c r="E272" s="25" t="n">
        <f aca="false">E271</f>
        <v>1000</v>
      </c>
      <c r="F272" s="126" t="n">
        <v>0</v>
      </c>
      <c r="G272" s="24" t="n">
        <f aca="false">C272-E272-F272</f>
        <v>-25241.2602801774</v>
      </c>
      <c r="I272" s="25" t="n">
        <f aca="false">I271+E272</f>
        <v>262000</v>
      </c>
      <c r="J272" s="24" t="n">
        <f aca="false">J271+D272</f>
        <v>173596.50411207</v>
      </c>
    </row>
    <row r="273" customFormat="false" ht="15" hidden="false" customHeight="false" outlineLevel="1" collapsed="false">
      <c r="B273" s="125" t="n">
        <v>52171</v>
      </c>
      <c r="C273" s="21" t="n">
        <f aca="false">G272</f>
        <v>-25241.2602801774</v>
      </c>
      <c r="D273" s="24" t="n">
        <f aca="false">C273*E$6</f>
        <v>-105.171917834072</v>
      </c>
      <c r="E273" s="25" t="n">
        <f aca="false">E272</f>
        <v>1000</v>
      </c>
      <c r="F273" s="127" t="n">
        <v>0</v>
      </c>
      <c r="G273" s="24" t="n">
        <f aca="false">C273-E273-F273</f>
        <v>-26241.2602801774</v>
      </c>
      <c r="I273" s="25" t="n">
        <f aca="false">I272+E273</f>
        <v>263000</v>
      </c>
      <c r="J273" s="24" t="n">
        <f aca="false">J272+D273</f>
        <v>173491.332194236</v>
      </c>
    </row>
    <row r="274" customFormat="false" ht="15" hidden="false" customHeight="false" outlineLevel="1" collapsed="false">
      <c r="B274" s="125" t="n">
        <v>52201</v>
      </c>
      <c r="C274" s="21" t="n">
        <f aca="false">G273</f>
        <v>-26241.2602801774</v>
      </c>
      <c r="D274" s="24" t="n">
        <f aca="false">C274*E$6</f>
        <v>-109.338584500739</v>
      </c>
      <c r="E274" s="25" t="n">
        <f aca="false">E273</f>
        <v>1000</v>
      </c>
      <c r="F274" s="126" t="n">
        <v>0</v>
      </c>
      <c r="G274" s="24" t="n">
        <f aca="false">C274-E274-F274</f>
        <v>-27241.2602801774</v>
      </c>
      <c r="I274" s="25" t="n">
        <f aca="false">I273+E274</f>
        <v>264000</v>
      </c>
      <c r="J274" s="24" t="n">
        <f aca="false">J273+D274</f>
        <v>173381.993609736</v>
      </c>
    </row>
    <row r="275" customFormat="false" ht="15" hidden="false" customHeight="false" outlineLevel="1" collapsed="false">
      <c r="B275" s="125" t="n">
        <v>52232</v>
      </c>
      <c r="C275" s="21" t="n">
        <f aca="false">G274</f>
        <v>-27241.2602801774</v>
      </c>
      <c r="D275" s="24" t="n">
        <f aca="false">C275*E$6</f>
        <v>-113.505251167406</v>
      </c>
      <c r="E275" s="25" t="n">
        <f aca="false">E274</f>
        <v>1000</v>
      </c>
      <c r="F275" s="127" t="n">
        <v>0</v>
      </c>
      <c r="G275" s="24" t="n">
        <f aca="false">C275-E275-F275</f>
        <v>-28241.2602801774</v>
      </c>
      <c r="I275" s="25" t="n">
        <f aca="false">I274+E275</f>
        <v>265000</v>
      </c>
      <c r="J275" s="24" t="n">
        <f aca="false">J274+D275</f>
        <v>173268.488358568</v>
      </c>
    </row>
    <row r="276" customFormat="false" ht="15" hidden="false" customHeight="false" outlineLevel="1" collapsed="false">
      <c r="B276" s="125" t="n">
        <v>52263</v>
      </c>
      <c r="C276" s="21" t="n">
        <f aca="false">G275</f>
        <v>-28241.2602801774</v>
      </c>
      <c r="D276" s="24" t="n">
        <f aca="false">C276*E$6</f>
        <v>-117.671917834072</v>
      </c>
      <c r="E276" s="25" t="n">
        <f aca="false">E275</f>
        <v>1000</v>
      </c>
      <c r="F276" s="126" t="n">
        <v>0</v>
      </c>
      <c r="G276" s="24" t="n">
        <f aca="false">C276-E276-F276</f>
        <v>-29241.2602801774</v>
      </c>
      <c r="I276" s="25" t="n">
        <f aca="false">I275+E276</f>
        <v>266000</v>
      </c>
      <c r="J276" s="24" t="n">
        <f aca="false">J275+D276</f>
        <v>173150.816440734</v>
      </c>
    </row>
    <row r="277" customFormat="false" ht="15" hidden="false" customHeight="false" outlineLevel="1" collapsed="false">
      <c r="B277" s="125" t="n">
        <v>52291</v>
      </c>
      <c r="C277" s="21" t="n">
        <f aca="false">G276</f>
        <v>-29241.2602801774</v>
      </c>
      <c r="D277" s="24" t="n">
        <f aca="false">C277*E$6</f>
        <v>-121.838584500739</v>
      </c>
      <c r="E277" s="25" t="n">
        <f aca="false">E276</f>
        <v>1000</v>
      </c>
      <c r="F277" s="127" t="n">
        <v>0</v>
      </c>
      <c r="G277" s="24" t="n">
        <f aca="false">C277-E277-F277</f>
        <v>-30241.2602801774</v>
      </c>
      <c r="I277" s="25" t="n">
        <f aca="false">I276+E277</f>
        <v>267000</v>
      </c>
      <c r="J277" s="24" t="n">
        <f aca="false">J276+D277</f>
        <v>173028.977856233</v>
      </c>
    </row>
    <row r="278" customFormat="false" ht="15" hidden="false" customHeight="false" outlineLevel="1" collapsed="false">
      <c r="B278" s="125" t="n">
        <v>52322</v>
      </c>
      <c r="C278" s="21" t="n">
        <f aca="false">G277</f>
        <v>-30241.2602801774</v>
      </c>
      <c r="D278" s="24" t="n">
        <f aca="false">C278*E$6</f>
        <v>-126.005251167406</v>
      </c>
      <c r="E278" s="25" t="n">
        <f aca="false">E277</f>
        <v>1000</v>
      </c>
      <c r="F278" s="126" t="n">
        <v>0</v>
      </c>
      <c r="G278" s="24" t="n">
        <f aca="false">C278-E278-F278</f>
        <v>-31241.2602801774</v>
      </c>
      <c r="I278" s="25" t="n">
        <f aca="false">I277+E278</f>
        <v>268000</v>
      </c>
      <c r="J278" s="24" t="n">
        <f aca="false">J277+D278</f>
        <v>172902.972605066</v>
      </c>
    </row>
    <row r="279" customFormat="false" ht="15" hidden="false" customHeight="false" outlineLevel="1" collapsed="false">
      <c r="B279" s="125" t="n">
        <v>52352</v>
      </c>
      <c r="C279" s="21" t="n">
        <f aca="false">G278</f>
        <v>-31241.2602801774</v>
      </c>
      <c r="D279" s="24" t="n">
        <f aca="false">C279*E$6</f>
        <v>-130.171917834072</v>
      </c>
      <c r="E279" s="25" t="n">
        <f aca="false">E278</f>
        <v>1000</v>
      </c>
      <c r="F279" s="127" t="n">
        <v>0</v>
      </c>
      <c r="G279" s="24" t="n">
        <f aca="false">C279-E279-F279</f>
        <v>-32241.2602801774</v>
      </c>
      <c r="I279" s="25" t="n">
        <f aca="false">I278+E279</f>
        <v>269000</v>
      </c>
      <c r="J279" s="24" t="n">
        <f aca="false">J278+D279</f>
        <v>172772.800687232</v>
      </c>
    </row>
    <row r="280" customFormat="false" ht="15" hidden="false" customHeight="false" outlineLevel="1" collapsed="false">
      <c r="B280" s="125" t="n">
        <v>52383</v>
      </c>
      <c r="C280" s="21" t="n">
        <f aca="false">G279</f>
        <v>-32241.2602801774</v>
      </c>
      <c r="D280" s="24" t="n">
        <f aca="false">C280*E$6</f>
        <v>-134.338584500739</v>
      </c>
      <c r="E280" s="25" t="n">
        <f aca="false">E279</f>
        <v>1000</v>
      </c>
      <c r="F280" s="126" t="n">
        <v>0</v>
      </c>
      <c r="G280" s="24" t="n">
        <f aca="false">C280-E280-F280</f>
        <v>-33241.2602801774</v>
      </c>
      <c r="I280" s="25" t="n">
        <f aca="false">I279+E280</f>
        <v>270000</v>
      </c>
      <c r="J280" s="24" t="n">
        <f aca="false">J279+D280</f>
        <v>172638.462102731</v>
      </c>
    </row>
    <row r="281" customFormat="false" ht="15" hidden="false" customHeight="false" outlineLevel="1" collapsed="false">
      <c r="B281" s="125" t="n">
        <v>52413</v>
      </c>
      <c r="C281" s="21" t="n">
        <f aca="false">G280</f>
        <v>-33241.2602801774</v>
      </c>
      <c r="D281" s="24" t="n">
        <f aca="false">C281*E$6</f>
        <v>-138.505251167406</v>
      </c>
      <c r="E281" s="25" t="n">
        <f aca="false">E280</f>
        <v>1000</v>
      </c>
      <c r="F281" s="127" t="n">
        <v>0</v>
      </c>
      <c r="G281" s="24" t="n">
        <f aca="false">C281-E281-F281</f>
        <v>-34241.2602801774</v>
      </c>
      <c r="I281" s="25" t="n">
        <f aca="false">I280+E281</f>
        <v>271000</v>
      </c>
      <c r="J281" s="24" t="n">
        <f aca="false">J280+D281</f>
        <v>172499.956851564</v>
      </c>
    </row>
    <row r="282" customFormat="false" ht="15" hidden="false" customHeight="false" outlineLevel="1" collapsed="false">
      <c r="B282" s="125" t="n">
        <v>52444</v>
      </c>
      <c r="C282" s="21" t="n">
        <f aca="false">G281</f>
        <v>-34241.2602801774</v>
      </c>
      <c r="D282" s="24" t="n">
        <f aca="false">C282*E$6</f>
        <v>-142.671917834072</v>
      </c>
      <c r="E282" s="25" t="n">
        <f aca="false">E281</f>
        <v>1000</v>
      </c>
      <c r="F282" s="126" t="n">
        <v>0</v>
      </c>
      <c r="G282" s="24" t="n">
        <f aca="false">C282-E282-F282</f>
        <v>-35241.2602801774</v>
      </c>
      <c r="I282" s="25" t="n">
        <f aca="false">I281+E282</f>
        <v>272000</v>
      </c>
      <c r="J282" s="24" t="n">
        <f aca="false">J281+D282</f>
        <v>172357.28493373</v>
      </c>
    </row>
    <row r="283" customFormat="false" ht="15" hidden="false" customHeight="false" outlineLevel="1" collapsed="false">
      <c r="B283" s="125" t="n">
        <v>52475</v>
      </c>
      <c r="C283" s="21" t="n">
        <f aca="false">G282</f>
        <v>-35241.2602801774</v>
      </c>
      <c r="D283" s="24" t="n">
        <f aca="false">C283*E$6</f>
        <v>-146.838584500739</v>
      </c>
      <c r="E283" s="25" t="n">
        <f aca="false">E282</f>
        <v>1000</v>
      </c>
      <c r="F283" s="127" t="n">
        <v>0</v>
      </c>
      <c r="G283" s="24" t="n">
        <f aca="false">C283-E283-F283</f>
        <v>-36241.2602801774</v>
      </c>
      <c r="I283" s="25" t="n">
        <f aca="false">I282+E283</f>
        <v>273000</v>
      </c>
      <c r="J283" s="24" t="n">
        <f aca="false">J282+D283</f>
        <v>172210.446349229</v>
      </c>
    </row>
    <row r="284" customFormat="false" ht="15" hidden="false" customHeight="false" outlineLevel="1" collapsed="false">
      <c r="B284" s="125" t="n">
        <v>52505</v>
      </c>
      <c r="C284" s="21" t="n">
        <f aca="false">G283</f>
        <v>-36241.2602801774</v>
      </c>
      <c r="D284" s="24" t="n">
        <f aca="false">C284*E$6</f>
        <v>-151.005251167406</v>
      </c>
      <c r="E284" s="25" t="n">
        <f aca="false">E283</f>
        <v>1000</v>
      </c>
      <c r="F284" s="126" t="n">
        <v>0</v>
      </c>
      <c r="G284" s="24" t="n">
        <f aca="false">C284-E284-F284</f>
        <v>-37241.2602801774</v>
      </c>
      <c r="I284" s="25" t="n">
        <f aca="false">I283+E284</f>
        <v>274000</v>
      </c>
      <c r="J284" s="24" t="n">
        <f aca="false">J283+D284</f>
        <v>172059.441098062</v>
      </c>
    </row>
    <row r="285" customFormat="false" ht="15" hidden="false" customHeight="false" outlineLevel="1" collapsed="false">
      <c r="B285" s="125" t="n">
        <v>52536</v>
      </c>
      <c r="C285" s="21" t="n">
        <f aca="false">G284</f>
        <v>-37241.2602801774</v>
      </c>
      <c r="D285" s="24" t="n">
        <f aca="false">C285*E$6</f>
        <v>-155.171917834072</v>
      </c>
      <c r="E285" s="25" t="n">
        <f aca="false">E284</f>
        <v>1000</v>
      </c>
      <c r="F285" s="127" t="n">
        <v>0</v>
      </c>
      <c r="G285" s="24" t="n">
        <f aca="false">C285-E285-F285</f>
        <v>-38241.2602801774</v>
      </c>
      <c r="I285" s="25" t="n">
        <f aca="false">I284+E285</f>
        <v>275000</v>
      </c>
      <c r="J285" s="24" t="n">
        <f aca="false">J284+D285</f>
        <v>171904.269180227</v>
      </c>
    </row>
    <row r="286" customFormat="false" ht="15" hidden="false" customHeight="false" outlineLevel="1" collapsed="false">
      <c r="B286" s="125" t="n">
        <v>52566</v>
      </c>
      <c r="C286" s="21" t="n">
        <f aca="false">G285</f>
        <v>-38241.2602801774</v>
      </c>
      <c r="D286" s="24" t="n">
        <f aca="false">C286*E$6</f>
        <v>-159.338584500739</v>
      </c>
      <c r="E286" s="25" t="n">
        <f aca="false">E285</f>
        <v>1000</v>
      </c>
      <c r="F286" s="126" t="n">
        <v>0</v>
      </c>
      <c r="G286" s="24" t="n">
        <f aca="false">C286-E286-F286</f>
        <v>-39241.2602801774</v>
      </c>
      <c r="I286" s="25" t="n">
        <f aca="false">I285+E286</f>
        <v>276000</v>
      </c>
      <c r="J286" s="24" t="n">
        <f aca="false">J285+D286</f>
        <v>171744.930595727</v>
      </c>
    </row>
    <row r="287" customFormat="false" ht="15" hidden="false" customHeight="false" outlineLevel="1" collapsed="false">
      <c r="B287" s="125" t="n">
        <v>52597</v>
      </c>
      <c r="C287" s="21" t="n">
        <f aca="false">G286</f>
        <v>-39241.2602801774</v>
      </c>
      <c r="D287" s="24" t="n">
        <f aca="false">C287*E$6</f>
        <v>-163.505251167406</v>
      </c>
      <c r="E287" s="25" t="n">
        <f aca="false">E286</f>
        <v>1000</v>
      </c>
      <c r="F287" s="127" t="n">
        <v>0</v>
      </c>
      <c r="G287" s="24" t="n">
        <f aca="false">C287-E287-F287</f>
        <v>-40241.2602801774</v>
      </c>
      <c r="I287" s="25" t="n">
        <f aca="false">I286+E287</f>
        <v>277000</v>
      </c>
      <c r="J287" s="24" t="n">
        <f aca="false">J286+D287</f>
        <v>171581.425344559</v>
      </c>
    </row>
    <row r="288" customFormat="false" ht="15" hidden="false" customHeight="false" outlineLevel="1" collapsed="false">
      <c r="B288" s="125" t="n">
        <v>52628</v>
      </c>
      <c r="C288" s="21" t="n">
        <f aca="false">G287</f>
        <v>-40241.2602801774</v>
      </c>
      <c r="D288" s="24" t="n">
        <f aca="false">C288*E$6</f>
        <v>-167.671917834072</v>
      </c>
      <c r="E288" s="25" t="n">
        <f aca="false">E287</f>
        <v>1000</v>
      </c>
      <c r="F288" s="126" t="n">
        <v>0</v>
      </c>
      <c r="G288" s="24" t="n">
        <f aca="false">C288-E288-F288</f>
        <v>-41241.2602801774</v>
      </c>
      <c r="I288" s="25" t="n">
        <f aca="false">I287+E288</f>
        <v>278000</v>
      </c>
      <c r="J288" s="24" t="n">
        <f aca="false">J287+D288</f>
        <v>171413.753426725</v>
      </c>
    </row>
    <row r="289" customFormat="false" ht="15" hidden="false" customHeight="false" outlineLevel="1" collapsed="false">
      <c r="B289" s="125" t="n">
        <v>52657</v>
      </c>
      <c r="C289" s="21" t="n">
        <f aca="false">G288</f>
        <v>-41241.2602801774</v>
      </c>
      <c r="D289" s="24" t="n">
        <f aca="false">C289*E$6</f>
        <v>-171.838584500739</v>
      </c>
      <c r="E289" s="25" t="n">
        <f aca="false">E288</f>
        <v>1000</v>
      </c>
      <c r="F289" s="127" t="n">
        <v>0</v>
      </c>
      <c r="G289" s="24" t="n">
        <f aca="false">C289-E289-F289</f>
        <v>-42241.2602801774</v>
      </c>
      <c r="I289" s="25" t="n">
        <f aca="false">I288+E289</f>
        <v>279000</v>
      </c>
      <c r="J289" s="24" t="n">
        <f aca="false">J288+D289</f>
        <v>171241.914842225</v>
      </c>
    </row>
    <row r="290" customFormat="false" ht="15" hidden="false" customHeight="false" outlineLevel="1" collapsed="false">
      <c r="B290" s="125" t="n">
        <v>52688</v>
      </c>
      <c r="C290" s="21" t="n">
        <f aca="false">G289</f>
        <v>-42241.2602801774</v>
      </c>
      <c r="D290" s="24" t="n">
        <f aca="false">C290*E$6</f>
        <v>-176.005251167406</v>
      </c>
      <c r="E290" s="25" t="n">
        <f aca="false">E289</f>
        <v>1000</v>
      </c>
      <c r="F290" s="126" t="n">
        <v>0</v>
      </c>
      <c r="G290" s="24" t="n">
        <f aca="false">C290-E290-F290</f>
        <v>-43241.2602801774</v>
      </c>
      <c r="I290" s="25" t="n">
        <f aca="false">I289+E290</f>
        <v>280000</v>
      </c>
      <c r="J290" s="24" t="n">
        <f aca="false">J289+D290</f>
        <v>171065.909591057</v>
      </c>
    </row>
    <row r="291" customFormat="false" ht="15" hidden="false" customHeight="false" outlineLevel="1" collapsed="false">
      <c r="B291" s="125" t="n">
        <v>52718</v>
      </c>
      <c r="C291" s="21" t="n">
        <f aca="false">G290</f>
        <v>-43241.2602801774</v>
      </c>
      <c r="D291" s="24" t="n">
        <f aca="false">C291*E$6</f>
        <v>-180.171917834072</v>
      </c>
      <c r="E291" s="25" t="n">
        <f aca="false">E290</f>
        <v>1000</v>
      </c>
      <c r="F291" s="127" t="n">
        <v>0</v>
      </c>
      <c r="G291" s="24" t="n">
        <f aca="false">C291-E291-F291</f>
        <v>-44241.2602801774</v>
      </c>
      <c r="I291" s="25" t="n">
        <f aca="false">I290+E291</f>
        <v>281000</v>
      </c>
      <c r="J291" s="24" t="n">
        <f aca="false">J290+D291</f>
        <v>170885.737673223</v>
      </c>
    </row>
    <row r="292" customFormat="false" ht="15" hidden="false" customHeight="false" outlineLevel="1" collapsed="false">
      <c r="B292" s="125" t="n">
        <v>52749</v>
      </c>
      <c r="C292" s="21" t="n">
        <f aca="false">G291</f>
        <v>-44241.2602801774</v>
      </c>
      <c r="D292" s="24" t="n">
        <f aca="false">C292*E$6</f>
        <v>-184.338584500739</v>
      </c>
      <c r="E292" s="25" t="n">
        <f aca="false">E291</f>
        <v>1000</v>
      </c>
      <c r="F292" s="126" t="n">
        <v>0</v>
      </c>
      <c r="G292" s="24" t="n">
        <f aca="false">C292-E292-F292</f>
        <v>-45241.2602801774</v>
      </c>
      <c r="I292" s="25" t="n">
        <f aca="false">I291+E292</f>
        <v>282000</v>
      </c>
      <c r="J292" s="24" t="n">
        <f aca="false">J291+D292</f>
        <v>170701.399088722</v>
      </c>
    </row>
    <row r="293" customFormat="false" ht="15" hidden="false" customHeight="false" outlineLevel="1" collapsed="false">
      <c r="B293" s="125" t="n">
        <v>52779</v>
      </c>
      <c r="C293" s="21" t="n">
        <f aca="false">G292</f>
        <v>-45241.2602801774</v>
      </c>
      <c r="D293" s="24" t="n">
        <f aca="false">C293*E$6</f>
        <v>-188.505251167406</v>
      </c>
      <c r="E293" s="25" t="n">
        <f aca="false">E292</f>
        <v>1000</v>
      </c>
      <c r="F293" s="127" t="n">
        <v>0</v>
      </c>
      <c r="G293" s="24" t="n">
        <f aca="false">C293-E293-F293</f>
        <v>-46241.2602801774</v>
      </c>
      <c r="I293" s="25" t="n">
        <f aca="false">I292+E293</f>
        <v>283000</v>
      </c>
      <c r="J293" s="24" t="n">
        <f aca="false">J292+D293</f>
        <v>170512.893837555</v>
      </c>
    </row>
    <row r="294" customFormat="false" ht="15" hidden="false" customHeight="false" outlineLevel="1" collapsed="false">
      <c r="B294" s="125" t="n">
        <v>52810</v>
      </c>
      <c r="C294" s="21" t="n">
        <f aca="false">G293</f>
        <v>-46241.2602801774</v>
      </c>
      <c r="D294" s="24" t="n">
        <f aca="false">C294*E$6</f>
        <v>-192.671917834072</v>
      </c>
      <c r="E294" s="25" t="n">
        <f aca="false">E293</f>
        <v>1000</v>
      </c>
      <c r="F294" s="126" t="n">
        <v>0</v>
      </c>
      <c r="G294" s="24" t="n">
        <f aca="false">C294-E294-F294</f>
        <v>-47241.2602801774</v>
      </c>
      <c r="I294" s="25" t="n">
        <f aca="false">I293+E294</f>
        <v>284000</v>
      </c>
      <c r="J294" s="24" t="n">
        <f aca="false">J293+D294</f>
        <v>170320.221919721</v>
      </c>
    </row>
    <row r="295" customFormat="false" ht="15" hidden="false" customHeight="false" outlineLevel="1" collapsed="false">
      <c r="B295" s="125" t="n">
        <v>52841</v>
      </c>
      <c r="C295" s="21" t="n">
        <f aca="false">G294</f>
        <v>-47241.2602801774</v>
      </c>
      <c r="D295" s="24" t="n">
        <f aca="false">C295*E$6</f>
        <v>-196.838584500739</v>
      </c>
      <c r="E295" s="25" t="n">
        <f aca="false">E294</f>
        <v>1000</v>
      </c>
      <c r="F295" s="127" t="n">
        <v>0</v>
      </c>
      <c r="G295" s="24" t="n">
        <f aca="false">C295-E295-F295</f>
        <v>-48241.2602801774</v>
      </c>
      <c r="I295" s="25" t="n">
        <f aca="false">I294+E295</f>
        <v>285000</v>
      </c>
      <c r="J295" s="24" t="n">
        <f aca="false">J294+D295</f>
        <v>170123.38333522</v>
      </c>
    </row>
    <row r="296" customFormat="false" ht="15" hidden="false" customHeight="false" outlineLevel="1" collapsed="false">
      <c r="B296" s="125" t="n">
        <v>52871</v>
      </c>
      <c r="C296" s="21" t="n">
        <f aca="false">G295</f>
        <v>-48241.2602801774</v>
      </c>
      <c r="D296" s="24" t="n">
        <f aca="false">C296*E$6</f>
        <v>-201.005251167406</v>
      </c>
      <c r="E296" s="25" t="n">
        <f aca="false">E295</f>
        <v>1000</v>
      </c>
      <c r="F296" s="126" t="n">
        <v>0</v>
      </c>
      <c r="G296" s="24" t="n">
        <f aca="false">C296-E296-F296</f>
        <v>-49241.2602801774</v>
      </c>
      <c r="I296" s="25" t="n">
        <f aca="false">I295+E296</f>
        <v>286000</v>
      </c>
      <c r="J296" s="24" t="n">
        <f aca="false">J295+D296</f>
        <v>169922.378084053</v>
      </c>
    </row>
    <row r="297" customFormat="false" ht="15" hidden="false" customHeight="false" outlineLevel="1" collapsed="false">
      <c r="B297" s="125" t="n">
        <v>52902</v>
      </c>
      <c r="C297" s="21" t="n">
        <f aca="false">G296</f>
        <v>-49241.2602801774</v>
      </c>
      <c r="D297" s="24" t="n">
        <f aca="false">C297*E$6</f>
        <v>-205.171917834072</v>
      </c>
      <c r="E297" s="25" t="n">
        <f aca="false">E296</f>
        <v>1000</v>
      </c>
      <c r="F297" s="127" t="n">
        <v>0</v>
      </c>
      <c r="G297" s="24" t="n">
        <f aca="false">C297-E297-F297</f>
        <v>-50241.2602801774</v>
      </c>
      <c r="I297" s="25" t="n">
        <f aca="false">I296+E297</f>
        <v>287000</v>
      </c>
      <c r="J297" s="24" t="n">
        <f aca="false">J296+D297</f>
        <v>169717.206166219</v>
      </c>
    </row>
    <row r="298" customFormat="false" ht="15" hidden="false" customHeight="false" outlineLevel="1" collapsed="false">
      <c r="B298" s="125" t="n">
        <v>52932</v>
      </c>
      <c r="C298" s="21" t="n">
        <f aca="false">G297</f>
        <v>-50241.2602801774</v>
      </c>
      <c r="D298" s="24" t="n">
        <f aca="false">C298*E$6</f>
        <v>-209.338584500739</v>
      </c>
      <c r="E298" s="25" t="n">
        <f aca="false">E297</f>
        <v>1000</v>
      </c>
      <c r="F298" s="126" t="n">
        <v>0</v>
      </c>
      <c r="G298" s="24" t="n">
        <f aca="false">C298-E298-F298</f>
        <v>-51241.2602801774</v>
      </c>
      <c r="I298" s="25" t="n">
        <f aca="false">I297+E298</f>
        <v>288000</v>
      </c>
      <c r="J298" s="24" t="n">
        <f aca="false">J297+D298</f>
        <v>169507.867581718</v>
      </c>
    </row>
    <row r="299" customFormat="false" ht="15" hidden="false" customHeight="false" outlineLevel="1" collapsed="false">
      <c r="B299" s="125" t="n">
        <v>52963</v>
      </c>
      <c r="C299" s="21" t="n">
        <f aca="false">G298</f>
        <v>-51241.2602801774</v>
      </c>
      <c r="D299" s="24" t="n">
        <f aca="false">C299*E$6</f>
        <v>-213.505251167406</v>
      </c>
      <c r="E299" s="25" t="n">
        <f aca="false">E298</f>
        <v>1000</v>
      </c>
      <c r="F299" s="127" t="n">
        <v>0</v>
      </c>
      <c r="G299" s="24" t="n">
        <f aca="false">C299-E299-F299</f>
        <v>-52241.2602801774</v>
      </c>
      <c r="I299" s="25" t="n">
        <f aca="false">I298+E299</f>
        <v>289000</v>
      </c>
      <c r="J299" s="24" t="n">
        <f aca="false">J298+D299</f>
        <v>169294.36233055</v>
      </c>
    </row>
    <row r="300" customFormat="false" ht="15" hidden="false" customHeight="false" outlineLevel="1" collapsed="false">
      <c r="B300" s="125" t="n">
        <v>52994</v>
      </c>
      <c r="C300" s="21" t="n">
        <f aca="false">G299</f>
        <v>-52241.2602801774</v>
      </c>
      <c r="D300" s="24" t="n">
        <f aca="false">C300*E$6</f>
        <v>-217.671917834072</v>
      </c>
      <c r="E300" s="25" t="n">
        <f aca="false">E299</f>
        <v>1000</v>
      </c>
      <c r="F300" s="126" t="n">
        <v>0</v>
      </c>
      <c r="G300" s="24" t="n">
        <f aca="false">C300-E300-F300</f>
        <v>-53241.2602801774</v>
      </c>
      <c r="I300" s="25" t="n">
        <f aca="false">I299+E300</f>
        <v>290000</v>
      </c>
      <c r="J300" s="24" t="n">
        <f aca="false">J299+D300</f>
        <v>169076.690412716</v>
      </c>
    </row>
    <row r="301" customFormat="false" ht="15" hidden="false" customHeight="false" outlineLevel="1" collapsed="false">
      <c r="B301" s="125" t="n">
        <v>53022</v>
      </c>
      <c r="C301" s="21" t="n">
        <f aca="false">G300</f>
        <v>-53241.2602801774</v>
      </c>
      <c r="D301" s="24" t="n">
        <f aca="false">C301*E$6</f>
        <v>-221.838584500739</v>
      </c>
      <c r="E301" s="25" t="n">
        <f aca="false">E300</f>
        <v>1000</v>
      </c>
      <c r="F301" s="127" t="n">
        <v>0</v>
      </c>
      <c r="G301" s="24" t="n">
        <f aca="false">C301-E301-F301</f>
        <v>-54241.2602801774</v>
      </c>
      <c r="I301" s="25" t="n">
        <f aca="false">I300+E301</f>
        <v>291000</v>
      </c>
      <c r="J301" s="24" t="n">
        <f aca="false">J300+D301</f>
        <v>168854.851828216</v>
      </c>
    </row>
    <row r="302" customFormat="false" ht="15" hidden="false" customHeight="false" outlineLevel="1" collapsed="false">
      <c r="B302" s="125" t="n">
        <v>53053</v>
      </c>
      <c r="C302" s="21" t="n">
        <f aca="false">G301</f>
        <v>-54241.2602801774</v>
      </c>
      <c r="D302" s="24" t="n">
        <f aca="false">C302*E$6</f>
        <v>-226.005251167406</v>
      </c>
      <c r="E302" s="25" t="n">
        <f aca="false">E301</f>
        <v>1000</v>
      </c>
      <c r="F302" s="126" t="n">
        <v>0</v>
      </c>
      <c r="G302" s="24" t="n">
        <f aca="false">C302-E302-F302</f>
        <v>-55241.2602801774</v>
      </c>
      <c r="I302" s="25" t="n">
        <f aca="false">I301+E302</f>
        <v>292000</v>
      </c>
      <c r="J302" s="24" t="n">
        <f aca="false">J301+D302</f>
        <v>168628.846577048</v>
      </c>
    </row>
    <row r="303" customFormat="false" ht="15" hidden="false" customHeight="false" outlineLevel="1" collapsed="false">
      <c r="B303" s="125" t="n">
        <v>53083</v>
      </c>
      <c r="C303" s="21" t="n">
        <f aca="false">G302</f>
        <v>-55241.2602801774</v>
      </c>
      <c r="D303" s="24" t="n">
        <f aca="false">C303*E$6</f>
        <v>-230.171917834072</v>
      </c>
      <c r="E303" s="25" t="n">
        <f aca="false">E302</f>
        <v>1000</v>
      </c>
      <c r="F303" s="127" t="n">
        <v>0</v>
      </c>
      <c r="G303" s="24" t="n">
        <f aca="false">C303-E303-F303</f>
        <v>-56241.2602801774</v>
      </c>
      <c r="I303" s="25" t="n">
        <f aca="false">I302+E303</f>
        <v>293000</v>
      </c>
      <c r="J303" s="24" t="n">
        <f aca="false">J302+D303</f>
        <v>168398.674659214</v>
      </c>
    </row>
    <row r="304" customFormat="false" ht="15" hidden="false" customHeight="false" outlineLevel="1" collapsed="false">
      <c r="B304" s="125" t="n">
        <v>53114</v>
      </c>
      <c r="C304" s="21" t="n">
        <f aca="false">G303</f>
        <v>-56241.2602801774</v>
      </c>
      <c r="D304" s="24" t="n">
        <f aca="false">C304*E$6</f>
        <v>-234.338584500739</v>
      </c>
      <c r="E304" s="25" t="n">
        <f aca="false">E303</f>
        <v>1000</v>
      </c>
      <c r="F304" s="126" t="n">
        <v>0</v>
      </c>
      <c r="G304" s="24" t="n">
        <f aca="false">C304-E304-F304</f>
        <v>-57241.2602801774</v>
      </c>
      <c r="I304" s="25" t="n">
        <f aca="false">I303+E304</f>
        <v>294000</v>
      </c>
      <c r="J304" s="24" t="n">
        <f aca="false">J303+D304</f>
        <v>168164.336074713</v>
      </c>
    </row>
    <row r="305" customFormat="false" ht="15" hidden="false" customHeight="false" outlineLevel="1" collapsed="false">
      <c r="B305" s="125" t="n">
        <v>53144</v>
      </c>
      <c r="C305" s="21" t="n">
        <f aca="false">G304</f>
        <v>-57241.2602801774</v>
      </c>
      <c r="D305" s="24" t="n">
        <f aca="false">C305*E$6</f>
        <v>-238.505251167406</v>
      </c>
      <c r="E305" s="25" t="n">
        <f aca="false">E304</f>
        <v>1000</v>
      </c>
      <c r="F305" s="127" t="n">
        <v>0</v>
      </c>
      <c r="G305" s="24" t="n">
        <f aca="false">C305-E305-F305</f>
        <v>-58241.2602801774</v>
      </c>
      <c r="I305" s="25" t="n">
        <f aca="false">I304+E305</f>
        <v>295000</v>
      </c>
      <c r="J305" s="24" t="n">
        <f aca="false">J304+D305</f>
        <v>167925.830823546</v>
      </c>
    </row>
    <row r="306" customFormat="false" ht="15" hidden="false" customHeight="false" outlineLevel="1" collapsed="false">
      <c r="B306" s="125" t="n">
        <v>53175</v>
      </c>
      <c r="C306" s="21" t="n">
        <f aca="false">G305</f>
        <v>-58241.2602801774</v>
      </c>
      <c r="D306" s="24" t="n">
        <f aca="false">C306*E$6</f>
        <v>-242.671917834072</v>
      </c>
      <c r="E306" s="25" t="n">
        <f aca="false">E305</f>
        <v>1000</v>
      </c>
      <c r="F306" s="126" t="n">
        <v>0</v>
      </c>
      <c r="G306" s="24" t="n">
        <f aca="false">C306-E306-F306</f>
        <v>-59241.2602801774</v>
      </c>
      <c r="I306" s="25" t="n">
        <f aca="false">I305+E306</f>
        <v>296000</v>
      </c>
      <c r="J306" s="24" t="n">
        <f aca="false">J305+D306</f>
        <v>167683.158905712</v>
      </c>
    </row>
    <row r="307" customFormat="false" ht="15" hidden="false" customHeight="false" outlineLevel="1" collapsed="false">
      <c r="B307" s="125" t="n">
        <v>53206</v>
      </c>
      <c r="C307" s="21" t="n">
        <f aca="false">G306</f>
        <v>-59241.2602801774</v>
      </c>
      <c r="D307" s="24" t="n">
        <f aca="false">C307*E$6</f>
        <v>-246.838584500739</v>
      </c>
      <c r="E307" s="25" t="n">
        <f aca="false">E306</f>
        <v>1000</v>
      </c>
      <c r="F307" s="127" t="n">
        <v>0</v>
      </c>
      <c r="G307" s="24" t="n">
        <f aca="false">C307-E307-F307</f>
        <v>-60241.2602801774</v>
      </c>
      <c r="I307" s="25" t="n">
        <f aca="false">I306+E307</f>
        <v>297000</v>
      </c>
      <c r="J307" s="24" t="n">
        <f aca="false">J306+D307</f>
        <v>167436.320321211</v>
      </c>
    </row>
    <row r="308" customFormat="false" ht="15" hidden="false" customHeight="false" outlineLevel="1" collapsed="false">
      <c r="B308" s="125" t="n">
        <v>53236</v>
      </c>
      <c r="C308" s="21" t="n">
        <f aca="false">G307</f>
        <v>-60241.2602801774</v>
      </c>
      <c r="D308" s="24" t="n">
        <f aca="false">C308*E$6</f>
        <v>-251.005251167406</v>
      </c>
      <c r="E308" s="25" t="n">
        <f aca="false">E307</f>
        <v>1000</v>
      </c>
      <c r="F308" s="126" t="n">
        <v>0</v>
      </c>
      <c r="G308" s="24" t="n">
        <f aca="false">C308-E308-F308</f>
        <v>-61241.2602801774</v>
      </c>
      <c r="I308" s="25" t="n">
        <f aca="false">I307+E308</f>
        <v>298000</v>
      </c>
      <c r="J308" s="24" t="n">
        <f aca="false">J307+D308</f>
        <v>167185.315070044</v>
      </c>
    </row>
    <row r="309" customFormat="false" ht="15" hidden="false" customHeight="false" outlineLevel="1" collapsed="false">
      <c r="B309" s="125" t="n">
        <v>53267</v>
      </c>
      <c r="C309" s="21" t="n">
        <f aca="false">G308</f>
        <v>-61241.2602801774</v>
      </c>
      <c r="D309" s="24" t="n">
        <f aca="false">C309*E$6</f>
        <v>-255.171917834072</v>
      </c>
      <c r="E309" s="25" t="n">
        <f aca="false">E308</f>
        <v>1000</v>
      </c>
      <c r="F309" s="127" t="n">
        <v>0</v>
      </c>
      <c r="G309" s="24" t="n">
        <f aca="false">C309-E309-F309</f>
        <v>-62241.2602801774</v>
      </c>
      <c r="I309" s="25" t="n">
        <f aca="false">I308+E309</f>
        <v>299000</v>
      </c>
      <c r="J309" s="24" t="n">
        <f aca="false">J308+D309</f>
        <v>166930.14315221</v>
      </c>
    </row>
    <row r="310" customFormat="false" ht="15" hidden="false" customHeight="false" outlineLevel="1" collapsed="false">
      <c r="B310" s="125" t="n">
        <v>53297</v>
      </c>
      <c r="C310" s="21" t="n">
        <f aca="false">G309</f>
        <v>-62241.2602801774</v>
      </c>
      <c r="D310" s="24" t="n">
        <f aca="false">C310*E$6</f>
        <v>-259.338584500739</v>
      </c>
      <c r="E310" s="25" t="n">
        <f aca="false">E309</f>
        <v>1000</v>
      </c>
      <c r="F310" s="126" t="n">
        <v>0</v>
      </c>
      <c r="G310" s="24" t="n">
        <f aca="false">C310-E310-F310</f>
        <v>-63241.2602801774</v>
      </c>
      <c r="I310" s="25" t="n">
        <f aca="false">I309+E310</f>
        <v>300000</v>
      </c>
      <c r="J310" s="24" t="n">
        <f aca="false">J309+D310</f>
        <v>166670.804567709</v>
      </c>
    </row>
    <row r="311" customFormat="false" ht="15" hidden="false" customHeight="false" outlineLevel="1" collapsed="false">
      <c r="B311" s="125" t="n">
        <v>53328</v>
      </c>
      <c r="C311" s="21" t="n">
        <f aca="false">G310</f>
        <v>-63241.2602801774</v>
      </c>
      <c r="D311" s="24" t="n">
        <f aca="false">C311*E$6</f>
        <v>-263.505251167406</v>
      </c>
      <c r="E311" s="25" t="n">
        <f aca="false">E310</f>
        <v>1000</v>
      </c>
      <c r="F311" s="127" t="n">
        <v>0</v>
      </c>
      <c r="G311" s="24" t="n">
        <f aca="false">C311-E311-F311</f>
        <v>-64241.2602801774</v>
      </c>
      <c r="I311" s="25" t="n">
        <f aca="false">I310+E311</f>
        <v>301000</v>
      </c>
      <c r="J311" s="24" t="n">
        <f aca="false">J310+D311</f>
        <v>166407.299316542</v>
      </c>
    </row>
    <row r="312" customFormat="false" ht="15" hidden="false" customHeight="false" outlineLevel="1" collapsed="false">
      <c r="B312" s="125" t="n">
        <v>53359</v>
      </c>
      <c r="C312" s="21" t="n">
        <f aca="false">G311</f>
        <v>-64241.2602801774</v>
      </c>
      <c r="D312" s="24" t="n">
        <f aca="false">C312*E$6</f>
        <v>-267.671917834072</v>
      </c>
      <c r="E312" s="25" t="n">
        <f aca="false">E311</f>
        <v>1000</v>
      </c>
      <c r="F312" s="126" t="n">
        <v>0</v>
      </c>
      <c r="G312" s="24" t="n">
        <f aca="false">C312-E312-F312</f>
        <v>-65241.2602801774</v>
      </c>
      <c r="I312" s="25" t="n">
        <f aca="false">I311+E312</f>
        <v>302000</v>
      </c>
      <c r="J312" s="24" t="n">
        <f aca="false">J311+D312</f>
        <v>166139.627398707</v>
      </c>
    </row>
    <row r="313" customFormat="false" ht="15" hidden="false" customHeight="false" outlineLevel="1" collapsed="false">
      <c r="B313" s="125" t="n">
        <v>53387</v>
      </c>
      <c r="C313" s="21" t="n">
        <f aca="false">G312</f>
        <v>-65241.2602801774</v>
      </c>
      <c r="D313" s="24" t="n">
        <f aca="false">C313*E$6</f>
        <v>-271.838584500739</v>
      </c>
      <c r="E313" s="25" t="n">
        <f aca="false">E312</f>
        <v>1000</v>
      </c>
      <c r="F313" s="127" t="n">
        <v>0</v>
      </c>
      <c r="G313" s="24" t="n">
        <f aca="false">C313-E313-F313</f>
        <v>-66241.2602801774</v>
      </c>
      <c r="I313" s="25" t="n">
        <f aca="false">I312+E313</f>
        <v>303000</v>
      </c>
      <c r="J313" s="24" t="n">
        <f aca="false">J312+D313</f>
        <v>165867.788814207</v>
      </c>
    </row>
    <row r="314" customFormat="false" ht="15" hidden="false" customHeight="false" outlineLevel="1" collapsed="false">
      <c r="B314" s="125" t="n">
        <v>53418</v>
      </c>
      <c r="C314" s="21" t="n">
        <f aca="false">G313</f>
        <v>-66241.2602801774</v>
      </c>
      <c r="D314" s="24" t="n">
        <f aca="false">C314*E$6</f>
        <v>-276.005251167406</v>
      </c>
      <c r="E314" s="25" t="n">
        <f aca="false">E313</f>
        <v>1000</v>
      </c>
      <c r="F314" s="126" t="n">
        <v>0</v>
      </c>
      <c r="G314" s="24" t="n">
        <f aca="false">C314-E314-F314</f>
        <v>-67241.2602801774</v>
      </c>
      <c r="I314" s="25" t="n">
        <f aca="false">I313+E314</f>
        <v>304000</v>
      </c>
      <c r="J314" s="24" t="n">
        <f aca="false">J313+D314</f>
        <v>165591.783563039</v>
      </c>
    </row>
    <row r="315" customFormat="false" ht="15" hidden="false" customHeight="false" outlineLevel="1" collapsed="false">
      <c r="B315" s="125" t="n">
        <v>53448</v>
      </c>
      <c r="C315" s="21" t="n">
        <f aca="false">G314</f>
        <v>-67241.2602801774</v>
      </c>
      <c r="D315" s="24" t="n">
        <f aca="false">C315*E$6</f>
        <v>-280.171917834072</v>
      </c>
      <c r="E315" s="25" t="n">
        <f aca="false">E314</f>
        <v>1000</v>
      </c>
      <c r="F315" s="127" t="n">
        <v>0</v>
      </c>
      <c r="G315" s="24" t="n">
        <f aca="false">C315-E315-F315</f>
        <v>-68241.2602801774</v>
      </c>
      <c r="I315" s="25" t="n">
        <f aca="false">I314+E315</f>
        <v>305000</v>
      </c>
      <c r="J315" s="24" t="n">
        <f aca="false">J314+D315</f>
        <v>165311.611645205</v>
      </c>
    </row>
    <row r="316" customFormat="false" ht="15" hidden="false" customHeight="false" outlineLevel="1" collapsed="false">
      <c r="B316" s="125" t="n">
        <v>53479</v>
      </c>
      <c r="C316" s="21" t="n">
        <f aca="false">G315</f>
        <v>-68241.2602801774</v>
      </c>
      <c r="D316" s="24" t="n">
        <f aca="false">C316*E$6</f>
        <v>-284.338584500739</v>
      </c>
      <c r="E316" s="25" t="n">
        <f aca="false">E315</f>
        <v>1000</v>
      </c>
      <c r="F316" s="126" t="n">
        <v>0</v>
      </c>
      <c r="G316" s="24" t="n">
        <f aca="false">C316-E316-F316</f>
        <v>-69241.2602801774</v>
      </c>
      <c r="I316" s="25" t="n">
        <f aca="false">I315+E316</f>
        <v>306000</v>
      </c>
      <c r="J316" s="24" t="n">
        <f aca="false">J315+D316</f>
        <v>165027.273060704</v>
      </c>
    </row>
    <row r="317" customFormat="false" ht="15" hidden="false" customHeight="false" outlineLevel="1" collapsed="false">
      <c r="B317" s="125" t="n">
        <v>53509</v>
      </c>
      <c r="C317" s="21" t="n">
        <f aca="false">G316</f>
        <v>-69241.2602801774</v>
      </c>
      <c r="D317" s="24" t="n">
        <f aca="false">C317*E$6</f>
        <v>-288.505251167406</v>
      </c>
      <c r="E317" s="25" t="n">
        <f aca="false">E316</f>
        <v>1000</v>
      </c>
      <c r="F317" s="127" t="n">
        <v>0</v>
      </c>
      <c r="G317" s="24" t="n">
        <f aca="false">C317-E317-F317</f>
        <v>-70241.2602801774</v>
      </c>
      <c r="I317" s="25" t="n">
        <f aca="false">I316+E317</f>
        <v>307000</v>
      </c>
      <c r="J317" s="24" t="n">
        <f aca="false">J316+D317</f>
        <v>164738.767809537</v>
      </c>
    </row>
    <row r="318" customFormat="false" ht="15" hidden="false" customHeight="false" outlineLevel="1" collapsed="false">
      <c r="B318" s="125" t="n">
        <v>53540</v>
      </c>
      <c r="C318" s="21" t="n">
        <f aca="false">G317</f>
        <v>-70241.2602801774</v>
      </c>
      <c r="D318" s="24" t="n">
        <f aca="false">C318*E$6</f>
        <v>-292.671917834072</v>
      </c>
      <c r="E318" s="25" t="n">
        <f aca="false">E317</f>
        <v>1000</v>
      </c>
      <c r="F318" s="126" t="n">
        <v>0</v>
      </c>
      <c r="G318" s="24" t="n">
        <f aca="false">C318-E318-F318</f>
        <v>-71241.2602801774</v>
      </c>
      <c r="I318" s="25" t="n">
        <f aca="false">I317+E318</f>
        <v>308000</v>
      </c>
      <c r="J318" s="24" t="n">
        <f aca="false">J317+D318</f>
        <v>164446.095891703</v>
      </c>
    </row>
    <row r="319" customFormat="false" ht="15" hidden="false" customHeight="false" outlineLevel="1" collapsed="false">
      <c r="B319" s="125" t="n">
        <v>53571</v>
      </c>
      <c r="C319" s="21" t="n">
        <f aca="false">G318</f>
        <v>-71241.2602801774</v>
      </c>
      <c r="D319" s="24" t="n">
        <f aca="false">C319*E$6</f>
        <v>-296.838584500739</v>
      </c>
      <c r="E319" s="25" t="n">
        <f aca="false">E318</f>
        <v>1000</v>
      </c>
      <c r="F319" s="127" t="n">
        <v>0</v>
      </c>
      <c r="G319" s="24" t="n">
        <f aca="false">C319-E319-F319</f>
        <v>-72241.2602801774</v>
      </c>
      <c r="I319" s="25" t="n">
        <f aca="false">I318+E319</f>
        <v>309000</v>
      </c>
      <c r="J319" s="24" t="n">
        <f aca="false">J318+D319</f>
        <v>164149.257307202</v>
      </c>
    </row>
    <row r="320" customFormat="false" ht="15" hidden="false" customHeight="false" outlineLevel="1" collapsed="false">
      <c r="B320" s="125" t="n">
        <v>53601</v>
      </c>
      <c r="C320" s="21" t="n">
        <f aca="false">G319</f>
        <v>-72241.2602801774</v>
      </c>
      <c r="D320" s="24" t="n">
        <f aca="false">C320*E$6</f>
        <v>-301.005251167406</v>
      </c>
      <c r="E320" s="25" t="n">
        <f aca="false">E319</f>
        <v>1000</v>
      </c>
      <c r="F320" s="126" t="n">
        <v>0</v>
      </c>
      <c r="G320" s="24" t="n">
        <f aca="false">C320-E320-F320</f>
        <v>-73241.2602801774</v>
      </c>
      <c r="I320" s="25" t="n">
        <f aca="false">I319+E320</f>
        <v>310000</v>
      </c>
      <c r="J320" s="24" t="n">
        <f aca="false">J319+D320</f>
        <v>163848.252056035</v>
      </c>
    </row>
    <row r="321" customFormat="false" ht="15" hidden="false" customHeight="false" outlineLevel="1" collapsed="false">
      <c r="B321" s="125" t="n">
        <v>53632</v>
      </c>
      <c r="C321" s="21" t="n">
        <f aca="false">G320</f>
        <v>-73241.2602801774</v>
      </c>
      <c r="D321" s="24" t="n">
        <f aca="false">C321*E$6</f>
        <v>-305.171917834072</v>
      </c>
      <c r="E321" s="25" t="n">
        <f aca="false">E320</f>
        <v>1000</v>
      </c>
      <c r="F321" s="127" t="n">
        <v>0</v>
      </c>
      <c r="G321" s="24" t="n">
        <f aca="false">C321-E321-F321</f>
        <v>-74241.2602801774</v>
      </c>
      <c r="I321" s="25" t="n">
        <f aca="false">I320+E321</f>
        <v>311000</v>
      </c>
      <c r="J321" s="24" t="n">
        <f aca="false">J320+D321</f>
        <v>163543.080138201</v>
      </c>
    </row>
    <row r="322" customFormat="false" ht="15" hidden="false" customHeight="false" outlineLevel="1" collapsed="false">
      <c r="B322" s="125" t="n">
        <v>53662</v>
      </c>
      <c r="C322" s="21" t="n">
        <f aca="false">G321</f>
        <v>-74241.2602801774</v>
      </c>
      <c r="D322" s="24" t="n">
        <f aca="false">C322*E$6</f>
        <v>-309.338584500739</v>
      </c>
      <c r="E322" s="25" t="n">
        <f aca="false">E321</f>
        <v>1000</v>
      </c>
      <c r="F322" s="126" t="n">
        <v>0</v>
      </c>
      <c r="G322" s="24" t="n">
        <f aca="false">C322-E322-F322</f>
        <v>-75241.2602801774</v>
      </c>
      <c r="I322" s="25" t="n">
        <f aca="false">I321+E322</f>
        <v>312000</v>
      </c>
      <c r="J322" s="24" t="n">
        <f aca="false">J321+D322</f>
        <v>163233.7415537</v>
      </c>
    </row>
    <row r="323" customFormat="false" ht="15" hidden="false" customHeight="false" outlineLevel="1" collapsed="false">
      <c r="B323" s="125" t="n">
        <v>53693</v>
      </c>
      <c r="C323" s="21" t="n">
        <f aca="false">G322</f>
        <v>-75241.2602801774</v>
      </c>
      <c r="D323" s="24" t="n">
        <f aca="false">C323*E$6</f>
        <v>-313.505251167406</v>
      </c>
      <c r="E323" s="25" t="n">
        <f aca="false">E322</f>
        <v>1000</v>
      </c>
      <c r="F323" s="127" t="n">
        <v>0</v>
      </c>
      <c r="G323" s="24" t="n">
        <f aca="false">C323-E323-F323</f>
        <v>-76241.2602801774</v>
      </c>
      <c r="I323" s="25" t="n">
        <f aca="false">I322+E323</f>
        <v>313000</v>
      </c>
      <c r="J323" s="24" t="n">
        <f aca="false">J322+D323</f>
        <v>162920.236302533</v>
      </c>
    </row>
    <row r="324" customFormat="false" ht="15" hidden="false" customHeight="false" outlineLevel="1" collapsed="false">
      <c r="B324" s="125" t="n">
        <v>53724</v>
      </c>
      <c r="C324" s="21" t="n">
        <f aca="false">G323</f>
        <v>-76241.2602801774</v>
      </c>
      <c r="D324" s="24" t="n">
        <f aca="false">C324*E$6</f>
        <v>-317.671917834072</v>
      </c>
      <c r="E324" s="25" t="n">
        <f aca="false">E323</f>
        <v>1000</v>
      </c>
      <c r="F324" s="126" t="n">
        <v>0</v>
      </c>
      <c r="G324" s="24" t="n">
        <f aca="false">C324-E324-F324</f>
        <v>-77241.2602801774</v>
      </c>
      <c r="I324" s="25" t="n">
        <f aca="false">I323+E324</f>
        <v>314000</v>
      </c>
      <c r="J324" s="24" t="n">
        <f aca="false">J323+D324</f>
        <v>162602.564384699</v>
      </c>
    </row>
    <row r="325" customFormat="false" ht="15" hidden="false" customHeight="false" outlineLevel="1" collapsed="false">
      <c r="B325" s="125" t="n">
        <v>53752</v>
      </c>
      <c r="C325" s="21" t="n">
        <f aca="false">G324</f>
        <v>-77241.2602801774</v>
      </c>
      <c r="D325" s="24" t="n">
        <f aca="false">C325*E$6</f>
        <v>-321.838584500739</v>
      </c>
      <c r="E325" s="25" t="n">
        <f aca="false">E324</f>
        <v>1000</v>
      </c>
      <c r="F325" s="127" t="n">
        <v>0</v>
      </c>
      <c r="G325" s="24" t="n">
        <f aca="false">C325-E325-F325</f>
        <v>-78241.2602801774</v>
      </c>
      <c r="I325" s="25" t="n">
        <f aca="false">I324+E325</f>
        <v>315000</v>
      </c>
      <c r="J325" s="24" t="n">
        <f aca="false">J324+D325</f>
        <v>162280.725800198</v>
      </c>
    </row>
    <row r="326" customFormat="false" ht="15" hidden="false" customHeight="false" outlineLevel="1" collapsed="false">
      <c r="B326" s="125" t="n">
        <v>53783</v>
      </c>
      <c r="C326" s="21" t="n">
        <f aca="false">G325</f>
        <v>-78241.2602801774</v>
      </c>
      <c r="D326" s="24" t="n">
        <f aca="false">C326*E$6</f>
        <v>-326.005251167406</v>
      </c>
      <c r="E326" s="25" t="n">
        <f aca="false">E325</f>
        <v>1000</v>
      </c>
      <c r="F326" s="126" t="n">
        <v>0</v>
      </c>
      <c r="G326" s="24" t="n">
        <f aca="false">C326-E326-F326</f>
        <v>-79241.2602801774</v>
      </c>
      <c r="I326" s="25" t="n">
        <f aca="false">I325+E326</f>
        <v>316000</v>
      </c>
      <c r="J326" s="24" t="n">
        <f aca="false">J325+D326</f>
        <v>161954.72054903</v>
      </c>
    </row>
    <row r="327" customFormat="false" ht="15" hidden="false" customHeight="false" outlineLevel="1" collapsed="false">
      <c r="B327" s="125" t="n">
        <v>53813</v>
      </c>
      <c r="C327" s="21" t="n">
        <f aca="false">G326</f>
        <v>-79241.2602801774</v>
      </c>
      <c r="D327" s="24" t="n">
        <f aca="false">C327*E$6</f>
        <v>-330.171917834072</v>
      </c>
      <c r="E327" s="25" t="n">
        <f aca="false">E326</f>
        <v>1000</v>
      </c>
      <c r="F327" s="127" t="n">
        <v>0</v>
      </c>
      <c r="G327" s="24" t="n">
        <f aca="false">C327-E327-F327</f>
        <v>-80241.2602801774</v>
      </c>
      <c r="I327" s="25" t="n">
        <f aca="false">I326+E327</f>
        <v>317000</v>
      </c>
      <c r="J327" s="24" t="n">
        <f aca="false">J326+D327</f>
        <v>161624.548631196</v>
      </c>
    </row>
    <row r="328" customFormat="false" ht="15" hidden="false" customHeight="false" outlineLevel="1" collapsed="false">
      <c r="B328" s="125" t="n">
        <v>53844</v>
      </c>
      <c r="C328" s="21" t="n">
        <f aca="false">G327</f>
        <v>-80241.2602801774</v>
      </c>
      <c r="D328" s="24" t="n">
        <f aca="false">C328*E$6</f>
        <v>-334.338584500739</v>
      </c>
      <c r="E328" s="25" t="n">
        <f aca="false">E327</f>
        <v>1000</v>
      </c>
      <c r="F328" s="126" t="n">
        <v>0</v>
      </c>
      <c r="G328" s="24" t="n">
        <f aca="false">C328-E328-F328</f>
        <v>-81241.2602801774</v>
      </c>
      <c r="I328" s="25" t="n">
        <f aca="false">I327+E328</f>
        <v>318000</v>
      </c>
      <c r="J328" s="24" t="n">
        <f aca="false">J327+D328</f>
        <v>161290.210046696</v>
      </c>
    </row>
    <row r="329" customFormat="false" ht="15" hidden="false" customHeight="false" outlineLevel="1" collapsed="false">
      <c r="B329" s="125" t="n">
        <v>53874</v>
      </c>
      <c r="C329" s="21" t="n">
        <f aca="false">G328</f>
        <v>-81241.2602801774</v>
      </c>
      <c r="D329" s="24" t="n">
        <f aca="false">C329*E$6</f>
        <v>-338.505251167406</v>
      </c>
      <c r="E329" s="25" t="n">
        <f aca="false">E328</f>
        <v>1000</v>
      </c>
      <c r="F329" s="127" t="n">
        <v>0</v>
      </c>
      <c r="G329" s="24" t="n">
        <f aca="false">C329-E329-F329</f>
        <v>-82241.2602801774</v>
      </c>
      <c r="I329" s="25" t="n">
        <f aca="false">I328+E329</f>
        <v>319000</v>
      </c>
      <c r="J329" s="24" t="n">
        <f aca="false">J328+D329</f>
        <v>160951.704795528</v>
      </c>
    </row>
    <row r="330" customFormat="false" ht="15" hidden="false" customHeight="false" outlineLevel="1" collapsed="false">
      <c r="B330" s="125" t="n">
        <v>53905</v>
      </c>
      <c r="C330" s="21" t="n">
        <f aca="false">G329</f>
        <v>-82241.2602801774</v>
      </c>
      <c r="D330" s="24" t="n">
        <f aca="false">C330*E$6</f>
        <v>-342.671917834072</v>
      </c>
      <c r="E330" s="25" t="n">
        <f aca="false">E329</f>
        <v>1000</v>
      </c>
      <c r="F330" s="126" t="n">
        <v>0</v>
      </c>
      <c r="G330" s="24" t="n">
        <f aca="false">C330-E330-F330</f>
        <v>-83241.2602801774</v>
      </c>
      <c r="I330" s="25" t="n">
        <f aca="false">I329+E330</f>
        <v>320000</v>
      </c>
      <c r="J330" s="24" t="n">
        <f aca="false">J329+D330</f>
        <v>160609.032877694</v>
      </c>
    </row>
    <row r="331" customFormat="false" ht="15" hidden="false" customHeight="false" outlineLevel="1" collapsed="false">
      <c r="B331" s="125" t="n">
        <v>53936</v>
      </c>
      <c r="C331" s="21" t="n">
        <f aca="false">G330</f>
        <v>-83241.2602801774</v>
      </c>
      <c r="D331" s="24" t="n">
        <f aca="false">C331*E$6</f>
        <v>-346.838584500739</v>
      </c>
      <c r="E331" s="25" t="n">
        <f aca="false">E330</f>
        <v>1000</v>
      </c>
      <c r="F331" s="127" t="n">
        <v>0</v>
      </c>
      <c r="G331" s="24" t="n">
        <f aca="false">C331-E331-F331</f>
        <v>-84241.2602801774</v>
      </c>
      <c r="I331" s="25" t="n">
        <f aca="false">I330+E331</f>
        <v>321000</v>
      </c>
      <c r="J331" s="24" t="n">
        <f aca="false">J330+D331</f>
        <v>160262.194293193</v>
      </c>
    </row>
    <row r="332" customFormat="false" ht="15" hidden="false" customHeight="false" outlineLevel="1" collapsed="false">
      <c r="B332" s="125" t="n">
        <v>53966</v>
      </c>
      <c r="C332" s="21" t="n">
        <f aca="false">G331</f>
        <v>-84241.2602801774</v>
      </c>
      <c r="D332" s="24" t="n">
        <f aca="false">C332*E$6</f>
        <v>-351.005251167406</v>
      </c>
      <c r="E332" s="25" t="n">
        <f aca="false">E331</f>
        <v>1000</v>
      </c>
      <c r="F332" s="126" t="n">
        <v>0</v>
      </c>
      <c r="G332" s="24" t="n">
        <f aca="false">C332-E332-F332</f>
        <v>-85241.2602801774</v>
      </c>
      <c r="I332" s="25" t="n">
        <f aca="false">I331+E332</f>
        <v>322000</v>
      </c>
      <c r="J332" s="24" t="n">
        <f aca="false">J331+D332</f>
        <v>159911.189042026</v>
      </c>
    </row>
    <row r="333" customFormat="false" ht="15" hidden="false" customHeight="false" outlineLevel="1" collapsed="false">
      <c r="B333" s="125" t="n">
        <v>53997</v>
      </c>
      <c r="C333" s="21" t="n">
        <f aca="false">G332</f>
        <v>-85241.2602801774</v>
      </c>
      <c r="D333" s="24" t="n">
        <f aca="false">C333*E$6</f>
        <v>-355.171917834072</v>
      </c>
      <c r="E333" s="25" t="n">
        <f aca="false">E332</f>
        <v>1000</v>
      </c>
      <c r="F333" s="127" t="n">
        <v>0</v>
      </c>
      <c r="G333" s="24" t="n">
        <f aca="false">C333-E333-F333</f>
        <v>-86241.2602801774</v>
      </c>
      <c r="I333" s="25" t="n">
        <f aca="false">I332+E333</f>
        <v>323000</v>
      </c>
      <c r="J333" s="24" t="n">
        <f aca="false">J332+D333</f>
        <v>159556.017124192</v>
      </c>
    </row>
    <row r="334" customFormat="false" ht="15" hidden="false" customHeight="false" outlineLevel="1" collapsed="false">
      <c r="B334" s="125" t="n">
        <v>54027</v>
      </c>
      <c r="C334" s="21" t="n">
        <f aca="false">G333</f>
        <v>-86241.2602801774</v>
      </c>
      <c r="D334" s="24" t="n">
        <f aca="false">C334*E$6</f>
        <v>-359.338584500739</v>
      </c>
      <c r="E334" s="25" t="n">
        <f aca="false">E333</f>
        <v>1000</v>
      </c>
      <c r="F334" s="126" t="n">
        <v>0</v>
      </c>
      <c r="G334" s="24" t="n">
        <f aca="false">C334-E334-F334</f>
        <v>-87241.2602801774</v>
      </c>
      <c r="I334" s="25" t="n">
        <f aca="false">I333+E334</f>
        <v>324000</v>
      </c>
      <c r="J334" s="24" t="n">
        <f aca="false">J333+D334</f>
        <v>159196.678539691</v>
      </c>
    </row>
    <row r="335" customFormat="false" ht="15" hidden="false" customHeight="false" outlineLevel="1" collapsed="false">
      <c r="B335" s="125" t="n">
        <v>54058</v>
      </c>
      <c r="C335" s="21" t="n">
        <f aca="false">G334</f>
        <v>-87241.2602801774</v>
      </c>
      <c r="D335" s="24" t="n">
        <f aca="false">C335*E$6</f>
        <v>-363.505251167406</v>
      </c>
      <c r="E335" s="25" t="n">
        <f aca="false">E334</f>
        <v>1000</v>
      </c>
      <c r="F335" s="127" t="n">
        <v>0</v>
      </c>
      <c r="G335" s="24" t="n">
        <f aca="false">C335-E335-F335</f>
        <v>-88241.2602801774</v>
      </c>
      <c r="I335" s="25" t="n">
        <f aca="false">I334+E335</f>
        <v>325000</v>
      </c>
      <c r="J335" s="24" t="n">
        <f aca="false">J334+D335</f>
        <v>158833.173288524</v>
      </c>
    </row>
    <row r="336" customFormat="false" ht="15" hidden="false" customHeight="false" outlineLevel="1" collapsed="false">
      <c r="B336" s="125" t="n">
        <v>54089</v>
      </c>
      <c r="C336" s="21" t="n">
        <f aca="false">G335</f>
        <v>-88241.2602801774</v>
      </c>
      <c r="D336" s="24" t="n">
        <f aca="false">C336*E$6</f>
        <v>-367.671917834072</v>
      </c>
      <c r="E336" s="25" t="n">
        <f aca="false">E335</f>
        <v>1000</v>
      </c>
      <c r="F336" s="126" t="n">
        <v>0</v>
      </c>
      <c r="G336" s="24" t="n">
        <f aca="false">C336-E336-F336</f>
        <v>-89241.2602801774</v>
      </c>
      <c r="I336" s="25" t="n">
        <f aca="false">I335+E336</f>
        <v>326000</v>
      </c>
      <c r="J336" s="24" t="n">
        <f aca="false">J335+D336</f>
        <v>158465.50137069</v>
      </c>
    </row>
    <row r="337" customFormat="false" ht="15" hidden="false" customHeight="false" outlineLevel="1" collapsed="false">
      <c r="B337" s="125" t="n">
        <v>54118</v>
      </c>
      <c r="C337" s="21" t="n">
        <f aca="false">G336</f>
        <v>-89241.2602801774</v>
      </c>
      <c r="D337" s="24" t="n">
        <f aca="false">C337*E$6</f>
        <v>-371.838584500739</v>
      </c>
      <c r="E337" s="25" t="n">
        <f aca="false">E336</f>
        <v>1000</v>
      </c>
      <c r="F337" s="127" t="n">
        <v>0</v>
      </c>
      <c r="G337" s="24" t="n">
        <f aca="false">C337-E337-F337</f>
        <v>-90241.2602801774</v>
      </c>
      <c r="I337" s="25" t="n">
        <f aca="false">I336+E337</f>
        <v>327000</v>
      </c>
      <c r="J337" s="24" t="n">
        <f aca="false">J336+D337</f>
        <v>158093.662786189</v>
      </c>
    </row>
    <row r="338" customFormat="false" ht="15" hidden="false" customHeight="false" outlineLevel="1" collapsed="false">
      <c r="B338" s="125" t="n">
        <v>54149</v>
      </c>
      <c r="C338" s="21" t="n">
        <f aca="false">G337</f>
        <v>-90241.2602801774</v>
      </c>
      <c r="D338" s="24" t="n">
        <f aca="false">C338*E$6</f>
        <v>-376.005251167406</v>
      </c>
      <c r="E338" s="25" t="n">
        <f aca="false">E337</f>
        <v>1000</v>
      </c>
      <c r="F338" s="126" t="n">
        <v>0</v>
      </c>
      <c r="G338" s="24" t="n">
        <f aca="false">C338-E338-F338</f>
        <v>-91241.2602801774</v>
      </c>
      <c r="I338" s="25" t="n">
        <f aca="false">I337+E338</f>
        <v>328000</v>
      </c>
      <c r="J338" s="24" t="n">
        <f aca="false">J337+D338</f>
        <v>157717.657535021</v>
      </c>
    </row>
    <row r="339" customFormat="false" ht="15" hidden="false" customHeight="false" outlineLevel="1" collapsed="false">
      <c r="B339" s="125" t="n">
        <v>54179</v>
      </c>
      <c r="C339" s="21" t="n">
        <f aca="false">G338</f>
        <v>-91241.2602801774</v>
      </c>
      <c r="D339" s="24" t="n">
        <f aca="false">C339*E$6</f>
        <v>-380.171917834072</v>
      </c>
      <c r="E339" s="25" t="n">
        <f aca="false">E338</f>
        <v>1000</v>
      </c>
      <c r="F339" s="127" t="n">
        <v>0</v>
      </c>
      <c r="G339" s="24" t="n">
        <f aca="false">C339-E339-F339</f>
        <v>-92241.2602801774</v>
      </c>
      <c r="I339" s="25" t="n">
        <f aca="false">I338+E339</f>
        <v>329000</v>
      </c>
      <c r="J339" s="24" t="n">
        <f aca="false">J338+D339</f>
        <v>157337.485617187</v>
      </c>
    </row>
    <row r="340" customFormat="false" ht="15" hidden="false" customHeight="false" outlineLevel="1" collapsed="false">
      <c r="B340" s="125" t="n">
        <v>54210</v>
      </c>
      <c r="C340" s="21" t="n">
        <f aca="false">G339</f>
        <v>-92241.2602801774</v>
      </c>
      <c r="D340" s="24" t="n">
        <f aca="false">C340*E$6</f>
        <v>-384.338584500739</v>
      </c>
      <c r="E340" s="25" t="n">
        <f aca="false">E339</f>
        <v>1000</v>
      </c>
      <c r="F340" s="126" t="n">
        <v>0</v>
      </c>
      <c r="G340" s="24" t="n">
        <f aca="false">C340-E340-F340</f>
        <v>-93241.2602801774</v>
      </c>
      <c r="I340" s="25" t="n">
        <f aca="false">I339+E340</f>
        <v>330000</v>
      </c>
      <c r="J340" s="24" t="n">
        <f aca="false">J339+D340</f>
        <v>156953.147032687</v>
      </c>
    </row>
    <row r="341" customFormat="false" ht="15" hidden="false" customHeight="false" outlineLevel="1" collapsed="false">
      <c r="B341" s="125" t="n">
        <v>54240</v>
      </c>
      <c r="C341" s="21" t="n">
        <f aca="false">G340</f>
        <v>-93241.2602801774</v>
      </c>
      <c r="D341" s="24" t="n">
        <f aca="false">C341*E$6</f>
        <v>-388.505251167406</v>
      </c>
      <c r="E341" s="25" t="n">
        <f aca="false">E340</f>
        <v>1000</v>
      </c>
      <c r="F341" s="127" t="n">
        <v>0</v>
      </c>
      <c r="G341" s="24" t="n">
        <f aca="false">C341-E341-F341</f>
        <v>-94241.2602801774</v>
      </c>
      <c r="I341" s="25" t="n">
        <f aca="false">I340+E341</f>
        <v>331000</v>
      </c>
      <c r="J341" s="24" t="n">
        <f aca="false">J340+D341</f>
        <v>156564.641781519</v>
      </c>
    </row>
    <row r="342" customFormat="false" ht="15" hidden="false" customHeight="false" outlineLevel="1" collapsed="false">
      <c r="B342" s="125" t="n">
        <v>54271</v>
      </c>
      <c r="C342" s="21" t="n">
        <f aca="false">G341</f>
        <v>-94241.2602801774</v>
      </c>
      <c r="D342" s="24" t="n">
        <f aca="false">C342*E$6</f>
        <v>-392.671917834072</v>
      </c>
      <c r="E342" s="25" t="n">
        <f aca="false">E341</f>
        <v>1000</v>
      </c>
      <c r="F342" s="126" t="n">
        <v>0</v>
      </c>
      <c r="G342" s="24" t="n">
        <f aca="false">C342-E342-F342</f>
        <v>-95241.2602801774</v>
      </c>
      <c r="I342" s="25" t="n">
        <f aca="false">I341+E342</f>
        <v>332000</v>
      </c>
      <c r="J342" s="24" t="n">
        <f aca="false">J341+D342</f>
        <v>156171.969863685</v>
      </c>
    </row>
    <row r="343" customFormat="false" ht="15" hidden="false" customHeight="false" outlineLevel="1" collapsed="false">
      <c r="B343" s="125" t="n">
        <v>54302</v>
      </c>
      <c r="C343" s="21" t="n">
        <f aca="false">G342</f>
        <v>-95241.2602801774</v>
      </c>
      <c r="D343" s="24" t="n">
        <f aca="false">C343*E$6</f>
        <v>-396.838584500739</v>
      </c>
      <c r="E343" s="25" t="n">
        <f aca="false">E342</f>
        <v>1000</v>
      </c>
      <c r="F343" s="127" t="n">
        <v>0</v>
      </c>
      <c r="G343" s="24" t="n">
        <f aca="false">C343-E343-F343</f>
        <v>-96241.2602801774</v>
      </c>
      <c r="I343" s="25" t="n">
        <f aca="false">I342+E343</f>
        <v>333000</v>
      </c>
      <c r="J343" s="24" t="n">
        <f aca="false">J342+D343</f>
        <v>155775.131279184</v>
      </c>
    </row>
    <row r="344" customFormat="false" ht="15" hidden="false" customHeight="false" outlineLevel="1" collapsed="false">
      <c r="B344" s="125" t="n">
        <v>54332</v>
      </c>
      <c r="C344" s="21" t="n">
        <f aca="false">G343</f>
        <v>-96241.2602801774</v>
      </c>
      <c r="D344" s="24" t="n">
        <f aca="false">C344*E$6</f>
        <v>-401.005251167406</v>
      </c>
      <c r="E344" s="25" t="n">
        <f aca="false">E343</f>
        <v>1000</v>
      </c>
      <c r="F344" s="126" t="n">
        <v>0</v>
      </c>
      <c r="G344" s="24" t="n">
        <f aca="false">C344-E344-F344</f>
        <v>-97241.2602801774</v>
      </c>
      <c r="I344" s="25" t="n">
        <f aca="false">I343+E344</f>
        <v>334000</v>
      </c>
      <c r="J344" s="24" t="n">
        <f aca="false">J343+D344</f>
        <v>155374.126028017</v>
      </c>
    </row>
    <row r="345" customFormat="false" ht="15" hidden="false" customHeight="false" outlineLevel="1" collapsed="false">
      <c r="B345" s="125" t="n">
        <v>54363</v>
      </c>
      <c r="C345" s="21" t="n">
        <f aca="false">G344</f>
        <v>-97241.2602801774</v>
      </c>
      <c r="D345" s="24" t="n">
        <f aca="false">C345*E$6</f>
        <v>-405.171917834072</v>
      </c>
      <c r="E345" s="25" t="n">
        <f aca="false">E344</f>
        <v>1000</v>
      </c>
      <c r="F345" s="127" t="n">
        <v>0</v>
      </c>
      <c r="G345" s="24" t="n">
        <f aca="false">C345-E345-F345</f>
        <v>-98241.2602801774</v>
      </c>
      <c r="I345" s="25" t="n">
        <f aca="false">I344+E345</f>
        <v>335000</v>
      </c>
      <c r="J345" s="24" t="n">
        <f aca="false">J344+D345</f>
        <v>154968.954110183</v>
      </c>
    </row>
    <row r="346" customFormat="false" ht="15" hidden="false" customHeight="false" outlineLevel="1" collapsed="false">
      <c r="B346" s="125" t="n">
        <v>54393</v>
      </c>
      <c r="C346" s="21" t="n">
        <f aca="false">G345</f>
        <v>-98241.2602801774</v>
      </c>
      <c r="D346" s="24" t="n">
        <f aca="false">C346*E$6</f>
        <v>-409.338584500739</v>
      </c>
      <c r="E346" s="25" t="n">
        <f aca="false">E345</f>
        <v>1000</v>
      </c>
      <c r="F346" s="126" t="n">
        <v>0</v>
      </c>
      <c r="G346" s="24" t="n">
        <f aca="false">C346-E346-F346</f>
        <v>-99241.2602801774</v>
      </c>
      <c r="I346" s="25" t="n">
        <f aca="false">I345+E346</f>
        <v>336000</v>
      </c>
      <c r="J346" s="24" t="n">
        <f aca="false">J345+D346</f>
        <v>154559.615525682</v>
      </c>
    </row>
    <row r="347" customFormat="false" ht="15" hidden="false" customHeight="false" outlineLevel="1" collapsed="false">
      <c r="B347" s="125" t="n">
        <v>54424</v>
      </c>
      <c r="C347" s="21" t="n">
        <f aca="false">G346</f>
        <v>-99241.2602801774</v>
      </c>
      <c r="D347" s="24" t="n">
        <f aca="false">C347*E$6</f>
        <v>-413.505251167406</v>
      </c>
      <c r="E347" s="25" t="n">
        <f aca="false">E346</f>
        <v>1000</v>
      </c>
      <c r="F347" s="127" t="n">
        <v>0</v>
      </c>
      <c r="G347" s="24" t="n">
        <f aca="false">C347-E347-F347</f>
        <v>-100241.260280177</v>
      </c>
      <c r="I347" s="25" t="n">
        <f aca="false">I346+E347</f>
        <v>337000</v>
      </c>
      <c r="J347" s="24" t="n">
        <f aca="false">J346+D347</f>
        <v>154146.110274515</v>
      </c>
    </row>
    <row r="348" customFormat="false" ht="15" hidden="false" customHeight="false" outlineLevel="1" collapsed="false">
      <c r="B348" s="125" t="n">
        <v>54455</v>
      </c>
      <c r="C348" s="21" t="n">
        <f aca="false">G347</f>
        <v>-100241.260280177</v>
      </c>
      <c r="D348" s="24" t="n">
        <f aca="false">C348*E$6</f>
        <v>-417.671917834072</v>
      </c>
      <c r="E348" s="25" t="n">
        <f aca="false">E347</f>
        <v>1000</v>
      </c>
      <c r="F348" s="126" t="n">
        <v>0</v>
      </c>
      <c r="G348" s="24" t="n">
        <f aca="false">C348-E348-F348</f>
        <v>-101241.260280177</v>
      </c>
      <c r="I348" s="25" t="n">
        <f aca="false">I347+E348</f>
        <v>338000</v>
      </c>
      <c r="J348" s="24" t="n">
        <f aca="false">J347+D348</f>
        <v>153728.438356681</v>
      </c>
    </row>
    <row r="349" customFormat="false" ht="15" hidden="false" customHeight="false" outlineLevel="1" collapsed="false">
      <c r="B349" s="125" t="n">
        <v>54483</v>
      </c>
      <c r="C349" s="21" t="n">
        <f aca="false">G348</f>
        <v>-101241.260280177</v>
      </c>
      <c r="D349" s="24" t="n">
        <f aca="false">C349*E$6</f>
        <v>-421.838584500739</v>
      </c>
      <c r="E349" s="25" t="n">
        <f aca="false">E348</f>
        <v>1000</v>
      </c>
      <c r="F349" s="127" t="n">
        <v>0</v>
      </c>
      <c r="G349" s="24" t="n">
        <f aca="false">C349-E349-F349</f>
        <v>-102241.260280177</v>
      </c>
      <c r="I349" s="25" t="n">
        <f aca="false">I348+E349</f>
        <v>339000</v>
      </c>
      <c r="J349" s="24" t="n">
        <f aca="false">J348+D349</f>
        <v>153306.59977218</v>
      </c>
    </row>
    <row r="350" customFormat="false" ht="15" hidden="false" customHeight="false" outlineLevel="1" collapsed="false">
      <c r="B350" s="125" t="n">
        <v>54514</v>
      </c>
      <c r="C350" s="21" t="n">
        <f aca="false">G349</f>
        <v>-102241.260280177</v>
      </c>
      <c r="D350" s="24" t="n">
        <f aca="false">C350*E$6</f>
        <v>-426.005251167406</v>
      </c>
      <c r="E350" s="25" t="n">
        <f aca="false">E349</f>
        <v>1000</v>
      </c>
      <c r="F350" s="126" t="n">
        <v>0</v>
      </c>
      <c r="G350" s="24" t="n">
        <f aca="false">C350-E350-F350</f>
        <v>-103241.260280177</v>
      </c>
      <c r="I350" s="25" t="n">
        <f aca="false">I349+E350</f>
        <v>340000</v>
      </c>
      <c r="J350" s="24" t="n">
        <f aca="false">J349+D350</f>
        <v>152880.594521013</v>
      </c>
    </row>
    <row r="351" customFormat="false" ht="15" hidden="false" customHeight="false" outlineLevel="1" collapsed="false">
      <c r="B351" s="125" t="n">
        <v>54544</v>
      </c>
      <c r="C351" s="21" t="n">
        <f aca="false">G350</f>
        <v>-103241.260280177</v>
      </c>
      <c r="D351" s="24" t="n">
        <f aca="false">C351*E$6</f>
        <v>-430.171917834072</v>
      </c>
      <c r="E351" s="25" t="n">
        <f aca="false">E350</f>
        <v>1000</v>
      </c>
      <c r="F351" s="127" t="n">
        <v>0</v>
      </c>
      <c r="G351" s="24" t="n">
        <f aca="false">C351-E351-F351</f>
        <v>-104241.260280177</v>
      </c>
      <c r="I351" s="25" t="n">
        <f aca="false">I350+E351</f>
        <v>341000</v>
      </c>
      <c r="J351" s="24" t="n">
        <f aca="false">J350+D351</f>
        <v>152450.422603178</v>
      </c>
    </row>
    <row r="352" customFormat="false" ht="15" hidden="false" customHeight="false" outlineLevel="1" collapsed="false">
      <c r="B352" s="125" t="n">
        <v>54575</v>
      </c>
      <c r="C352" s="21" t="n">
        <f aca="false">G351</f>
        <v>-104241.260280177</v>
      </c>
      <c r="D352" s="24" t="n">
        <f aca="false">C352*E$6</f>
        <v>-434.338584500739</v>
      </c>
      <c r="E352" s="25" t="n">
        <f aca="false">E351</f>
        <v>1000</v>
      </c>
      <c r="F352" s="126" t="n">
        <v>0</v>
      </c>
      <c r="G352" s="24" t="n">
        <f aca="false">C352-E352-F352</f>
        <v>-105241.260280177</v>
      </c>
      <c r="I352" s="25" t="n">
        <f aca="false">I351+E352</f>
        <v>342000</v>
      </c>
      <c r="J352" s="24" t="n">
        <f aca="false">J351+D352</f>
        <v>152016.084018678</v>
      </c>
    </row>
    <row r="353" customFormat="false" ht="15" hidden="false" customHeight="false" outlineLevel="1" collapsed="false">
      <c r="B353" s="125" t="n">
        <v>54605</v>
      </c>
      <c r="C353" s="21" t="n">
        <f aca="false">G352</f>
        <v>-105241.260280177</v>
      </c>
      <c r="D353" s="24" t="n">
        <f aca="false">C353*E$6</f>
        <v>-438.505251167406</v>
      </c>
      <c r="E353" s="25" t="n">
        <f aca="false">E352</f>
        <v>1000</v>
      </c>
      <c r="F353" s="127" t="n">
        <v>0</v>
      </c>
      <c r="G353" s="24" t="n">
        <f aca="false">C353-E353-F353</f>
        <v>-106241.260280177</v>
      </c>
      <c r="I353" s="25" t="n">
        <f aca="false">I352+E353</f>
        <v>343000</v>
      </c>
      <c r="J353" s="24" t="n">
        <f aca="false">J352+D353</f>
        <v>151577.57876751</v>
      </c>
    </row>
    <row r="354" customFormat="false" ht="15" hidden="false" customHeight="false" outlineLevel="1" collapsed="false">
      <c r="B354" s="125" t="n">
        <v>54636</v>
      </c>
      <c r="C354" s="21" t="n">
        <f aca="false">G353</f>
        <v>-106241.260280177</v>
      </c>
      <c r="D354" s="24" t="n">
        <f aca="false">C354*E$6</f>
        <v>-442.671917834072</v>
      </c>
      <c r="E354" s="25" t="n">
        <f aca="false">E353</f>
        <v>1000</v>
      </c>
      <c r="F354" s="126" t="n">
        <v>0</v>
      </c>
      <c r="G354" s="24" t="n">
        <f aca="false">C354-E354-F354</f>
        <v>-107241.260280177</v>
      </c>
      <c r="I354" s="25" t="n">
        <f aca="false">I353+E354</f>
        <v>344000</v>
      </c>
      <c r="J354" s="24" t="n">
        <f aca="false">J353+D354</f>
        <v>151134.906849676</v>
      </c>
    </row>
    <row r="355" customFormat="false" ht="15" hidden="false" customHeight="false" outlineLevel="1" collapsed="false">
      <c r="B355" s="125" t="n">
        <v>54667</v>
      </c>
      <c r="C355" s="21" t="n">
        <f aca="false">G354</f>
        <v>-107241.260280177</v>
      </c>
      <c r="D355" s="24" t="n">
        <f aca="false">C355*E$6</f>
        <v>-446.838584500739</v>
      </c>
      <c r="E355" s="25" t="n">
        <f aca="false">E354</f>
        <v>1000</v>
      </c>
      <c r="F355" s="127" t="n">
        <v>0</v>
      </c>
      <c r="G355" s="24" t="n">
        <f aca="false">C355-E355-F355</f>
        <v>-108241.260280177</v>
      </c>
      <c r="I355" s="25" t="n">
        <f aca="false">I354+E355</f>
        <v>345000</v>
      </c>
      <c r="J355" s="24" t="n">
        <f aca="false">J354+D355</f>
        <v>150688.068265175</v>
      </c>
    </row>
    <row r="356" customFormat="false" ht="15" hidden="false" customHeight="false" outlineLevel="1" collapsed="false">
      <c r="B356" s="125" t="n">
        <v>54697</v>
      </c>
      <c r="C356" s="21" t="n">
        <f aca="false">G355</f>
        <v>-108241.260280177</v>
      </c>
      <c r="D356" s="24" t="n">
        <f aca="false">C356*E$6</f>
        <v>-451.005251167406</v>
      </c>
      <c r="E356" s="25" t="n">
        <f aca="false">E355</f>
        <v>1000</v>
      </c>
      <c r="F356" s="126" t="n">
        <v>0</v>
      </c>
      <c r="G356" s="24" t="n">
        <f aca="false">C356-E356-F356</f>
        <v>-109241.260280177</v>
      </c>
      <c r="I356" s="25" t="n">
        <f aca="false">I355+E356</f>
        <v>346000</v>
      </c>
      <c r="J356" s="24" t="n">
        <f aca="false">J355+D356</f>
        <v>150237.063014008</v>
      </c>
    </row>
    <row r="357" customFormat="false" ht="15" hidden="false" customHeight="false" outlineLevel="1" collapsed="false">
      <c r="B357" s="125" t="n">
        <v>54728</v>
      </c>
      <c r="C357" s="21" t="n">
        <f aca="false">G356</f>
        <v>-109241.260280177</v>
      </c>
      <c r="D357" s="24" t="n">
        <f aca="false">C357*E$6</f>
        <v>-455.171917834072</v>
      </c>
      <c r="E357" s="25" t="n">
        <f aca="false">E356</f>
        <v>1000</v>
      </c>
      <c r="F357" s="127" t="n">
        <v>0</v>
      </c>
      <c r="G357" s="24" t="n">
        <f aca="false">C357-E357-F357</f>
        <v>-110241.260280177</v>
      </c>
      <c r="I357" s="25" t="n">
        <f aca="false">I356+E357</f>
        <v>347000</v>
      </c>
      <c r="J357" s="24" t="n">
        <f aca="false">J356+D357</f>
        <v>149781.891096174</v>
      </c>
    </row>
    <row r="358" customFormat="false" ht="15" hidden="false" customHeight="false" outlineLevel="1" collapsed="false">
      <c r="B358" s="125" t="n">
        <v>54758</v>
      </c>
      <c r="C358" s="21" t="n">
        <f aca="false">G357</f>
        <v>-110241.260280177</v>
      </c>
      <c r="D358" s="24" t="n">
        <f aca="false">C358*E$6</f>
        <v>-459.338584500739</v>
      </c>
      <c r="E358" s="25" t="n">
        <f aca="false">E357</f>
        <v>1000</v>
      </c>
      <c r="F358" s="126" t="n">
        <v>0</v>
      </c>
      <c r="G358" s="24" t="n">
        <f aca="false">C358-E358-F358</f>
        <v>-111241.260280177</v>
      </c>
      <c r="I358" s="25" t="n">
        <f aca="false">I357+E358</f>
        <v>348000</v>
      </c>
      <c r="J358" s="24" t="n">
        <f aca="false">J357+D358</f>
        <v>149322.552511673</v>
      </c>
    </row>
    <row r="359" customFormat="false" ht="15" hidden="false" customHeight="false" outlineLevel="1" collapsed="false">
      <c r="B359" s="125" t="n">
        <v>54789</v>
      </c>
      <c r="C359" s="21" t="n">
        <f aca="false">G358</f>
        <v>-111241.260280177</v>
      </c>
      <c r="D359" s="24" t="n">
        <f aca="false">C359*E$6</f>
        <v>-463.505251167406</v>
      </c>
      <c r="E359" s="25" t="n">
        <f aca="false">E358</f>
        <v>1000</v>
      </c>
      <c r="F359" s="127" t="n">
        <v>0</v>
      </c>
      <c r="G359" s="24" t="n">
        <f aca="false">C359-E359-F359</f>
        <v>-112241.260280177</v>
      </c>
      <c r="I359" s="25" t="n">
        <f aca="false">I358+E359</f>
        <v>349000</v>
      </c>
      <c r="J359" s="24" t="n">
        <f aca="false">J358+D359</f>
        <v>148859.047260506</v>
      </c>
    </row>
    <row r="360" customFormat="false" ht="15" hidden="false" customHeight="false" outlineLevel="1" collapsed="false">
      <c r="B360" s="125" t="n">
        <v>54820</v>
      </c>
      <c r="C360" s="21" t="n">
        <f aca="false">G359</f>
        <v>-112241.260280177</v>
      </c>
      <c r="D360" s="24" t="n">
        <f aca="false">C360*E$6</f>
        <v>-467.671917834072</v>
      </c>
      <c r="E360" s="25" t="n">
        <f aca="false">E359</f>
        <v>1000</v>
      </c>
      <c r="F360" s="126" t="n">
        <v>0</v>
      </c>
      <c r="G360" s="24" t="n">
        <f aca="false">C360-E360-F360</f>
        <v>-113241.260280177</v>
      </c>
      <c r="I360" s="25" t="n">
        <f aca="false">I359+E360</f>
        <v>350000</v>
      </c>
      <c r="J360" s="24" t="n">
        <f aca="false">J359+D360</f>
        <v>148391.375342672</v>
      </c>
    </row>
    <row r="361" customFormat="false" ht="15" hidden="false" customHeight="false" outlineLevel="1" collapsed="false">
      <c r="B361" s="125" t="n">
        <v>54848</v>
      </c>
      <c r="C361" s="21" t="n">
        <f aca="false">G360</f>
        <v>-113241.260280177</v>
      </c>
      <c r="D361" s="24" t="n">
        <f aca="false">C361*E$6</f>
        <v>-471.838584500739</v>
      </c>
      <c r="E361" s="25" t="n">
        <f aca="false">E360</f>
        <v>1000</v>
      </c>
      <c r="F361" s="127" t="n">
        <v>0</v>
      </c>
      <c r="G361" s="24" t="n">
        <f aca="false">C361-E361-F361</f>
        <v>-114241.260280177</v>
      </c>
      <c r="I361" s="25" t="n">
        <f aca="false">I360+E361</f>
        <v>351000</v>
      </c>
      <c r="J361" s="24" t="n">
        <f aca="false">J360+D361</f>
        <v>147919.536758171</v>
      </c>
    </row>
    <row r="362" customFormat="false" ht="15" hidden="false" customHeight="false" outlineLevel="1" collapsed="false">
      <c r="B362" s="125" t="n">
        <v>54879</v>
      </c>
      <c r="C362" s="21" t="n">
        <f aca="false">G361</f>
        <v>-114241.260280177</v>
      </c>
      <c r="D362" s="24" t="n">
        <f aca="false">C362*E$6</f>
        <v>-476.005251167406</v>
      </c>
      <c r="E362" s="25" t="n">
        <f aca="false">E361</f>
        <v>1000</v>
      </c>
      <c r="F362" s="126" t="n">
        <v>0</v>
      </c>
      <c r="G362" s="24" t="n">
        <f aca="false">C362-E362-F362</f>
        <v>-115241.260280177</v>
      </c>
      <c r="I362" s="25" t="n">
        <f aca="false">I361+E362</f>
        <v>352000</v>
      </c>
      <c r="J362" s="24" t="n">
        <f aca="false">J361+D362</f>
        <v>147443.531507004</v>
      </c>
    </row>
    <row r="363" customFormat="false" ht="15" hidden="false" customHeight="false" outlineLevel="1" collapsed="false">
      <c r="B363" s="125" t="n">
        <v>54909</v>
      </c>
      <c r="C363" s="21" t="n">
        <f aca="false">G362</f>
        <v>-115241.260280177</v>
      </c>
      <c r="D363" s="24" t="n">
        <f aca="false">C363*E$6</f>
        <v>-480.171917834072</v>
      </c>
      <c r="E363" s="25" t="n">
        <f aca="false">E362</f>
        <v>1000</v>
      </c>
      <c r="F363" s="127" t="n">
        <v>0</v>
      </c>
      <c r="G363" s="24" t="n">
        <f aca="false">C363-E363-F363</f>
        <v>-116241.260280177</v>
      </c>
      <c r="I363" s="25" t="n">
        <f aca="false">I362+E363</f>
        <v>353000</v>
      </c>
      <c r="J363" s="24" t="n">
        <f aca="false">J362+D363</f>
        <v>146963.35958917</v>
      </c>
    </row>
    <row r="364" customFormat="false" ht="15" hidden="false" customHeight="false" outlineLevel="1" collapsed="false">
      <c r="B364" s="125" t="n">
        <v>54940</v>
      </c>
      <c r="C364" s="21" t="n">
        <f aca="false">G363</f>
        <v>-116241.260280177</v>
      </c>
      <c r="D364" s="24" t="n">
        <f aca="false">C364*E$6</f>
        <v>-484.338584500739</v>
      </c>
      <c r="E364" s="25" t="n">
        <f aca="false">E363</f>
        <v>1000</v>
      </c>
      <c r="F364" s="126" t="n">
        <v>0</v>
      </c>
      <c r="G364" s="24" t="n">
        <f aca="false">C364-E364-F364</f>
        <v>-117241.260280177</v>
      </c>
      <c r="I364" s="25" t="n">
        <f aca="false">I363+E364</f>
        <v>354000</v>
      </c>
      <c r="J364" s="24" t="n">
        <f aca="false">J363+D364</f>
        <v>146479.021004669</v>
      </c>
    </row>
    <row r="365" customFormat="false" ht="15" hidden="false" customHeight="false" outlineLevel="1" collapsed="false">
      <c r="B365" s="125" t="n">
        <v>54970</v>
      </c>
      <c r="C365" s="21" t="n">
        <f aca="false">G364</f>
        <v>-117241.260280177</v>
      </c>
      <c r="D365" s="24" t="n">
        <f aca="false">C365*E$6</f>
        <v>-488.505251167406</v>
      </c>
      <c r="E365" s="25" t="n">
        <f aca="false">E364</f>
        <v>1000</v>
      </c>
      <c r="F365" s="127" t="n">
        <v>0</v>
      </c>
      <c r="G365" s="24" t="n">
        <f aca="false">C365-E365-F365</f>
        <v>-118241.260280177</v>
      </c>
      <c r="I365" s="25" t="n">
        <f aca="false">I364+E365</f>
        <v>355000</v>
      </c>
      <c r="J365" s="24" t="n">
        <f aca="false">J364+D365</f>
        <v>145990.515753501</v>
      </c>
    </row>
    <row r="366" customFormat="false" ht="15" hidden="false" customHeight="false" outlineLevel="1" collapsed="false">
      <c r="B366" s="125" t="n">
        <v>55001</v>
      </c>
      <c r="C366" s="21" t="n">
        <f aca="false">G365</f>
        <v>-118241.260280177</v>
      </c>
      <c r="D366" s="24" t="n">
        <f aca="false">C366*E$6</f>
        <v>-492.671917834072</v>
      </c>
      <c r="E366" s="25" t="n">
        <f aca="false">E365</f>
        <v>1000</v>
      </c>
      <c r="F366" s="126" t="n">
        <v>0</v>
      </c>
      <c r="G366" s="24" t="n">
        <f aca="false">C366-E366-F366</f>
        <v>-119241.260280177</v>
      </c>
      <c r="I366" s="25" t="n">
        <f aca="false">I365+E366</f>
        <v>356000</v>
      </c>
      <c r="J366" s="24" t="n">
        <f aca="false">J365+D366</f>
        <v>145497.843835667</v>
      </c>
    </row>
    <row r="367" customFormat="false" ht="15" hidden="false" customHeight="false" outlineLevel="1" collapsed="false">
      <c r="B367" s="125" t="n">
        <v>55032</v>
      </c>
      <c r="C367" s="21" t="n">
        <f aca="false">G366</f>
        <v>-119241.260280177</v>
      </c>
      <c r="D367" s="24" t="n">
        <f aca="false">C367*E$6</f>
        <v>-496.838584500739</v>
      </c>
      <c r="E367" s="25" t="n">
        <f aca="false">E366</f>
        <v>1000</v>
      </c>
      <c r="F367" s="127" t="n">
        <v>0</v>
      </c>
      <c r="G367" s="24" t="n">
        <f aca="false">C367-E367-F367</f>
        <v>-120241.260280177</v>
      </c>
      <c r="I367" s="25" t="n">
        <f aca="false">I366+E367</f>
        <v>357000</v>
      </c>
      <c r="J367" s="24" t="n">
        <f aca="false">J366+D367</f>
        <v>145001.005251167</v>
      </c>
    </row>
    <row r="368" customFormat="false" ht="15" hidden="false" customHeight="false" outlineLevel="1" collapsed="false">
      <c r="B368" s="125" t="n">
        <v>55062</v>
      </c>
      <c r="C368" s="21" t="n">
        <f aca="false">G367</f>
        <v>-120241.260280177</v>
      </c>
      <c r="D368" s="24" t="n">
        <f aca="false">C368*E$6</f>
        <v>-501.005251167406</v>
      </c>
      <c r="E368" s="25" t="n">
        <f aca="false">E367</f>
        <v>1000</v>
      </c>
      <c r="F368" s="126" t="n">
        <v>0</v>
      </c>
      <c r="G368" s="24" t="n">
        <f aca="false">C368-E368-F368</f>
        <v>-121241.260280177</v>
      </c>
      <c r="I368" s="25" t="n">
        <f aca="false">I367+E368</f>
        <v>358000</v>
      </c>
      <c r="J368" s="24" t="n">
        <f aca="false">J367+D368</f>
        <v>144499.999999999</v>
      </c>
    </row>
    <row r="369" customFormat="false" ht="15" hidden="false" customHeight="false" outlineLevel="1" collapsed="false">
      <c r="B369" s="125" t="n">
        <v>55093</v>
      </c>
      <c r="C369" s="21" t="n">
        <f aca="false">G368</f>
        <v>-121241.260280177</v>
      </c>
      <c r="D369" s="24" t="n">
        <f aca="false">C369*E$6</f>
        <v>-505.171917834072</v>
      </c>
      <c r="E369" s="25" t="n">
        <f aca="false">E368</f>
        <v>1000</v>
      </c>
      <c r="F369" s="127" t="n">
        <v>0</v>
      </c>
      <c r="G369" s="24" t="n">
        <f aca="false">C369-E369-F369</f>
        <v>-122241.260280177</v>
      </c>
      <c r="I369" s="25" t="n">
        <f aca="false">I368+E369</f>
        <v>359000</v>
      </c>
      <c r="J369" s="24" t="n">
        <f aca="false">J368+D369</f>
        <v>143994.828082165</v>
      </c>
    </row>
    <row r="370" customFormat="false" ht="15" hidden="false" customHeight="false" outlineLevel="0" collapsed="false">
      <c r="A370" s="0" t="s">
        <v>340</v>
      </c>
      <c r="B370" s="125" t="n">
        <v>55123</v>
      </c>
      <c r="C370" s="21" t="n">
        <f aca="false">G369</f>
        <v>-122241.260280177</v>
      </c>
      <c r="D370" s="24" t="n">
        <f aca="false">C370*E$6</f>
        <v>-509.338584500739</v>
      </c>
      <c r="E370" s="25" t="n">
        <f aca="false">E369</f>
        <v>1000</v>
      </c>
      <c r="F370" s="126" t="n">
        <v>0</v>
      </c>
      <c r="G370" s="24" t="n">
        <f aca="false">C370-E370-F370</f>
        <v>-123241.260280177</v>
      </c>
      <c r="I370" s="25" t="n">
        <f aca="false">I369+E370</f>
        <v>360000</v>
      </c>
      <c r="J370" s="24" t="n">
        <f aca="false">J369+D370</f>
        <v>143485.489497664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70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I17" activeCellId="0" sqref="I17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18.14"/>
    <col collapsed="false" customWidth="true" hidden="false" outlineLevel="0" max="3" min="3" style="0" width="14.71"/>
    <col collapsed="false" customWidth="true" hidden="false" outlineLevel="0" max="4" min="4" style="0" width="10.14"/>
    <col collapsed="false" customWidth="true" hidden="false" outlineLevel="0" max="5" min="5" style="0" width="13.29"/>
    <col collapsed="false" customWidth="true" hidden="false" outlineLevel="0" max="6" min="6" style="0" width="10.57"/>
    <col collapsed="false" customWidth="true" hidden="false" outlineLevel="0" max="7" min="7" style="0" width="13.86"/>
    <col collapsed="false" customWidth="true" hidden="false" outlineLevel="0" max="8" min="8" style="0" width="4.57"/>
    <col collapsed="false" customWidth="true" hidden="false" outlineLevel="0" max="10" min="9" style="0" width="15.71"/>
    <col collapsed="false" customWidth="true" hidden="false" outlineLevel="0" max="13" min="13" style="0" width="10"/>
    <col collapsed="false" customWidth="true" hidden="false" outlineLevel="0" max="14" min="14" style="0" width="11.29"/>
    <col collapsed="false" customWidth="true" hidden="false" outlineLevel="0" max="15" min="15" style="0" width="9.86"/>
    <col collapsed="false" customWidth="true" hidden="false" outlineLevel="0" max="16" min="16" style="0" width="10.57"/>
    <col collapsed="false" customWidth="true" hidden="false" outlineLevel="0" max="18" min="18" style="0" width="11.29"/>
    <col collapsed="false" customWidth="true" hidden="false" outlineLevel="0" max="20" min="20" style="0" width="10.71"/>
    <col collapsed="false" customWidth="true" hidden="false" outlineLevel="0" max="21" min="21" style="0" width="11"/>
  </cols>
  <sheetData>
    <row r="1" customFormat="false" ht="15" hidden="false" customHeight="false" outlineLevel="0" collapsed="false">
      <c r="A1" s="29" t="s">
        <v>331</v>
      </c>
    </row>
    <row r="3" customFormat="false" ht="15" hidden="false" customHeight="false" outlineLevel="0" collapsed="false">
      <c r="A3" s="0" t="s">
        <v>332</v>
      </c>
      <c r="E3" s="20" t="n">
        <v>500000</v>
      </c>
      <c r="I3" s="0" t="s">
        <v>333</v>
      </c>
      <c r="L3" s="0" t="s">
        <v>332</v>
      </c>
      <c r="P3" s="20" t="n">
        <v>500000</v>
      </c>
    </row>
    <row r="4" customFormat="false" ht="15" hidden="false" customHeight="false" outlineLevel="0" collapsed="false">
      <c r="A4" s="0" t="s">
        <v>334</v>
      </c>
      <c r="E4" s="51" t="n">
        <f aca="false">30*12</f>
        <v>360</v>
      </c>
      <c r="F4" s="0" t="s">
        <v>335</v>
      </c>
      <c r="I4" s="0" t="s">
        <v>336</v>
      </c>
      <c r="L4" s="0" t="s">
        <v>341</v>
      </c>
      <c r="P4" s="51" t="n">
        <v>30</v>
      </c>
    </row>
    <row r="5" customFormat="false" ht="15" hidden="false" customHeight="false" outlineLevel="0" collapsed="false">
      <c r="A5" s="0" t="s">
        <v>324</v>
      </c>
      <c r="E5" s="18" t="n">
        <v>0.05</v>
      </c>
      <c r="L5" s="0" t="s">
        <v>324</v>
      </c>
      <c r="P5" s="128" t="n">
        <v>0.0485681348089305</v>
      </c>
    </row>
    <row r="6" customFormat="false" ht="15" hidden="false" customHeight="false" outlineLevel="0" collapsed="false">
      <c r="A6" s="0" t="s">
        <v>325</v>
      </c>
      <c r="E6" s="42" t="n">
        <f aca="false">E5/12</f>
        <v>0.00416666666666667</v>
      </c>
      <c r="L6" s="0" t="s">
        <v>325</v>
      </c>
      <c r="P6" s="42" t="n">
        <f aca="false">P5/12</f>
        <v>0.00404734456741087</v>
      </c>
    </row>
    <row r="7" customFormat="false" ht="15" hidden="false" customHeight="false" outlineLevel="0" collapsed="false">
      <c r="A7" s="0" t="s">
        <v>337</v>
      </c>
      <c r="E7" s="42" t="n">
        <f aca="false">(1+E5/12)^12-1</f>
        <v>0.0511618978817334</v>
      </c>
      <c r="L7" s="0" t="s">
        <v>342</v>
      </c>
      <c r="P7" s="42" t="n">
        <f aca="false">(1+P5/12)^12-1</f>
        <v>0.0496640002707096</v>
      </c>
    </row>
    <row r="8" customFormat="false" ht="15" hidden="false" customHeight="false" outlineLevel="0" collapsed="false">
      <c r="A8" s="0" t="s">
        <v>39</v>
      </c>
      <c r="E8" s="22" t="n">
        <f aca="false">-PMT(E5/12,E4,E3)</f>
        <v>2684.1081150607</v>
      </c>
      <c r="L8" s="0" t="s">
        <v>39</v>
      </c>
      <c r="P8" s="22" t="n">
        <f aca="false">-PMT(P7,P4,P3)</f>
        <v>32401.2464093722</v>
      </c>
    </row>
    <row r="9" customFormat="false" ht="26.25" hidden="false" customHeight="true" outlineLevel="0" collapsed="false">
      <c r="D9" s="0" t="n">
        <f aca="false">E3*E9</f>
        <v>2684.10811506069</v>
      </c>
      <c r="E9" s="123" t="n">
        <f aca="false">((E6*(1+E6)^E4)/((1+E6)^E4-1))</f>
        <v>0.00536821623012138</v>
      </c>
    </row>
    <row r="10" customFormat="false" ht="45" hidden="false" customHeight="false" outlineLevel="0" collapsed="false">
      <c r="B10" s="5" t="s">
        <v>22</v>
      </c>
      <c r="C10" s="3" t="s">
        <v>38</v>
      </c>
      <c r="D10" s="3" t="s">
        <v>24</v>
      </c>
      <c r="E10" s="3" t="s">
        <v>25</v>
      </c>
      <c r="F10" s="124" t="s">
        <v>62</v>
      </c>
      <c r="G10" s="3" t="s">
        <v>26</v>
      </c>
      <c r="H10" s="5"/>
      <c r="I10" s="3" t="s">
        <v>27</v>
      </c>
      <c r="J10" s="3" t="s">
        <v>28</v>
      </c>
      <c r="M10" s="5" t="s">
        <v>22</v>
      </c>
      <c r="N10" s="3" t="s">
        <v>38</v>
      </c>
      <c r="O10" s="3" t="s">
        <v>24</v>
      </c>
      <c r="P10" s="3" t="s">
        <v>25</v>
      </c>
      <c r="Q10" s="124" t="s">
        <v>62</v>
      </c>
      <c r="R10" s="3" t="s">
        <v>26</v>
      </c>
      <c r="S10" s="5"/>
      <c r="T10" s="3" t="s">
        <v>27</v>
      </c>
      <c r="U10" s="3" t="s">
        <v>28</v>
      </c>
    </row>
    <row r="11" customFormat="false" ht="15" hidden="false" customHeight="false" outlineLevel="0" collapsed="false">
      <c r="B11" s="125" t="n">
        <v>44197</v>
      </c>
      <c r="C11" s="21" t="n">
        <f aca="false">E3</f>
        <v>500000</v>
      </c>
      <c r="D11" s="24" t="n">
        <f aca="false">C11*E$6</f>
        <v>2083.33333333333</v>
      </c>
      <c r="E11" s="25" t="n">
        <f aca="false">E$8-D11</f>
        <v>600.774781727362</v>
      </c>
      <c r="F11" s="126" t="n">
        <v>0</v>
      </c>
      <c r="G11" s="24" t="n">
        <f aca="false">C11-E11-F11</f>
        <v>499399.225218273</v>
      </c>
      <c r="I11" s="25" t="n">
        <f aca="false">E11</f>
        <v>600.774781727362</v>
      </c>
      <c r="J11" s="24" t="n">
        <f aca="false">D11</f>
        <v>2083.33333333333</v>
      </c>
      <c r="M11" s="129" t="n">
        <v>2021</v>
      </c>
      <c r="N11" s="21" t="n">
        <f aca="false">E3</f>
        <v>500000</v>
      </c>
      <c r="O11" s="24" t="n">
        <f aca="false">N11*P$7</f>
        <v>24832.0001353548</v>
      </c>
      <c r="P11" s="25" t="n">
        <f aca="false">P$8-O11</f>
        <v>7569.24627401744</v>
      </c>
      <c r="Q11" s="126" t="n">
        <v>0</v>
      </c>
      <c r="R11" s="24" t="n">
        <f aca="false">N11-P11-Q11</f>
        <v>492430.753725983</v>
      </c>
      <c r="T11" s="130" t="n">
        <f aca="false">P11</f>
        <v>7569.24627401744</v>
      </c>
      <c r="U11" s="131" t="n">
        <f aca="false">O11</f>
        <v>24832.0001353548</v>
      </c>
    </row>
    <row r="12" customFormat="false" ht="15" hidden="false" customHeight="false" outlineLevel="0" collapsed="false">
      <c r="B12" s="125" t="n">
        <v>44228</v>
      </c>
      <c r="C12" s="21" t="n">
        <f aca="false">G11</f>
        <v>499399.225218273</v>
      </c>
      <c r="D12" s="24" t="n">
        <f aca="false">C12*E$6</f>
        <v>2080.83010507614</v>
      </c>
      <c r="E12" s="25" t="n">
        <f aca="false">E$8-D12</f>
        <v>603.278009984559</v>
      </c>
      <c r="F12" s="127" t="n">
        <v>0</v>
      </c>
      <c r="G12" s="24" t="n">
        <f aca="false">C12-E12-F12</f>
        <v>498795.947208288</v>
      </c>
      <c r="I12" s="25" t="n">
        <f aca="false">I11+E12</f>
        <v>1204.05279171192</v>
      </c>
      <c r="J12" s="24" t="n">
        <f aca="false">J11+D12</f>
        <v>4164.16343840947</v>
      </c>
      <c r="M12" s="129" t="n">
        <v>2022</v>
      </c>
      <c r="N12" s="21" t="n">
        <f aca="false">R11</f>
        <v>492430.753725983</v>
      </c>
      <c r="O12" s="24" t="n">
        <f aca="false">N12*P$7</f>
        <v>24456.0810863529</v>
      </c>
      <c r="P12" s="25" t="n">
        <f aca="false">P$8-O12</f>
        <v>7945.16532301931</v>
      </c>
      <c r="Q12" s="127" t="n">
        <v>0</v>
      </c>
      <c r="R12" s="24" t="n">
        <f aca="false">N12-P12-Q12</f>
        <v>484485.588402963</v>
      </c>
      <c r="T12" s="130" t="n">
        <f aca="false">T11+P12</f>
        <v>15514.4115970367</v>
      </c>
      <c r="U12" s="131" t="n">
        <f aca="false">U11+O12</f>
        <v>49288.0812217077</v>
      </c>
    </row>
    <row r="13" customFormat="false" ht="15" hidden="false" customHeight="false" outlineLevel="0" collapsed="false">
      <c r="B13" s="125" t="n">
        <v>44256</v>
      </c>
      <c r="C13" s="21" t="n">
        <f aca="false">G12</f>
        <v>498795.947208288</v>
      </c>
      <c r="D13" s="24" t="n">
        <f aca="false">C13*E$6</f>
        <v>2078.3164467012</v>
      </c>
      <c r="E13" s="25" t="n">
        <f aca="false">E$8-D13</f>
        <v>605.791668359495</v>
      </c>
      <c r="F13" s="127" t="n">
        <v>0</v>
      </c>
      <c r="G13" s="24" t="n">
        <f aca="false">C13-E13-F13</f>
        <v>498190.155539929</v>
      </c>
      <c r="I13" s="25" t="n">
        <f aca="false">I12+E13</f>
        <v>1809.84446007142</v>
      </c>
      <c r="J13" s="24" t="n">
        <f aca="false">J12+D13</f>
        <v>6242.47988511067</v>
      </c>
      <c r="M13" s="129" t="n">
        <v>2023</v>
      </c>
      <c r="N13" s="21" t="n">
        <f aca="false">R12</f>
        <v>484485.588402963</v>
      </c>
      <c r="O13" s="24" t="n">
        <f aca="false">N13*P$7</f>
        <v>24061.4923935997</v>
      </c>
      <c r="P13" s="25" t="n">
        <f aca="false">P$8-O13</f>
        <v>8339.75401577257</v>
      </c>
      <c r="Q13" s="127" t="n">
        <v>0</v>
      </c>
      <c r="R13" s="24" t="n">
        <f aca="false">N13-P13-Q13</f>
        <v>476145.834387191</v>
      </c>
      <c r="T13" s="25" t="n">
        <f aca="false">T12+P13</f>
        <v>23854.1656128093</v>
      </c>
      <c r="U13" s="24" t="n">
        <f aca="false">U12+O13</f>
        <v>73349.5736153074</v>
      </c>
    </row>
    <row r="14" customFormat="false" ht="15" hidden="false" customHeight="false" outlineLevel="0" collapsed="false">
      <c r="B14" s="125" t="n">
        <v>44287</v>
      </c>
      <c r="C14" s="21" t="n">
        <f aca="false">G13</f>
        <v>498190.155539929</v>
      </c>
      <c r="D14" s="24" t="n">
        <f aca="false">C14*E$6</f>
        <v>2075.7923147497</v>
      </c>
      <c r="E14" s="25" t="n">
        <f aca="false">E$8-D14</f>
        <v>608.315800310993</v>
      </c>
      <c r="F14" s="127" t="n">
        <v>0</v>
      </c>
      <c r="G14" s="24" t="n">
        <f aca="false">C14-E14-F14</f>
        <v>497581.839739618</v>
      </c>
      <c r="I14" s="25" t="n">
        <f aca="false">I13+E14</f>
        <v>2418.16026038241</v>
      </c>
      <c r="J14" s="24" t="n">
        <f aca="false">J13+D14</f>
        <v>8318.27219986037</v>
      </c>
      <c r="M14" s="129" t="n">
        <v>2024</v>
      </c>
      <c r="N14" s="21" t="n">
        <f aca="false">R13</f>
        <v>476145.834387191</v>
      </c>
      <c r="O14" s="24" t="n">
        <f aca="false">N14*P$7</f>
        <v>23647.3068479027</v>
      </c>
      <c r="P14" s="25" t="n">
        <f aca="false">P$8-O14</f>
        <v>8753.93956146955</v>
      </c>
      <c r="Q14" s="127" t="n">
        <v>0</v>
      </c>
      <c r="R14" s="24" t="n">
        <f aca="false">N14-P14-Q14</f>
        <v>467391.894825721</v>
      </c>
      <c r="T14" s="25" t="n">
        <f aca="false">T13+P14</f>
        <v>32608.1051742789</v>
      </c>
      <c r="U14" s="24" t="n">
        <f aca="false">U13+O14</f>
        <v>96996.8804632101</v>
      </c>
    </row>
    <row r="15" customFormat="false" ht="15" hidden="false" customHeight="false" outlineLevel="0" collapsed="false">
      <c r="B15" s="125" t="n">
        <v>44317</v>
      </c>
      <c r="C15" s="21" t="n">
        <f aca="false">G14</f>
        <v>497581.839739618</v>
      </c>
      <c r="D15" s="24" t="n">
        <f aca="false">C15*E$6</f>
        <v>2073.25766558174</v>
      </c>
      <c r="E15" s="25" t="n">
        <f aca="false">E$8-D15</f>
        <v>610.850449478955</v>
      </c>
      <c r="F15" s="127" t="n">
        <v>0</v>
      </c>
      <c r="G15" s="24" t="n">
        <f aca="false">C15-E15-F15</f>
        <v>496970.989290139</v>
      </c>
      <c r="I15" s="25" t="n">
        <f aca="false">I14+E15</f>
        <v>3029.01070986136</v>
      </c>
      <c r="J15" s="24" t="n">
        <f aca="false">J14+D15</f>
        <v>10391.5298654421</v>
      </c>
      <c r="M15" s="129" t="n">
        <v>2025</v>
      </c>
      <c r="N15" s="21" t="n">
        <f aca="false">R14</f>
        <v>467391.894825721</v>
      </c>
      <c r="O15" s="24" t="n">
        <f aca="false">N15*P$7</f>
        <v>23212.5511911521</v>
      </c>
      <c r="P15" s="25" t="n">
        <f aca="false">P$8-O15</f>
        <v>9188.69521822015</v>
      </c>
      <c r="Q15" s="127" t="n">
        <v>0</v>
      </c>
      <c r="R15" s="24" t="n">
        <f aca="false">N15-P15-Q15</f>
        <v>458203.199607501</v>
      </c>
      <c r="T15" s="25" t="n">
        <f aca="false">T14+P15</f>
        <v>41796.800392499</v>
      </c>
      <c r="U15" s="24" t="n">
        <f aca="false">U14+O15</f>
        <v>120209.431654362</v>
      </c>
    </row>
    <row r="16" customFormat="false" ht="15" hidden="false" customHeight="false" outlineLevel="0" collapsed="false">
      <c r="B16" s="125" t="n">
        <v>44348</v>
      </c>
      <c r="C16" s="21" t="n">
        <f aca="false">G15</f>
        <v>496970.989290139</v>
      </c>
      <c r="D16" s="24" t="n">
        <f aca="false">C16*E$6</f>
        <v>2070.71245537558</v>
      </c>
      <c r="E16" s="25" t="n">
        <f aca="false">E$8-D16</f>
        <v>613.395659685118</v>
      </c>
      <c r="F16" s="127" t="n">
        <v>0</v>
      </c>
      <c r="G16" s="24" t="n">
        <f aca="false">C16-E16-F16</f>
        <v>496357.593630454</v>
      </c>
      <c r="I16" s="25" t="n">
        <f aca="false">I15+E16</f>
        <v>3642.40636954648</v>
      </c>
      <c r="J16" s="24" t="n">
        <f aca="false">J15+D16</f>
        <v>12462.2423208177</v>
      </c>
      <c r="M16" s="129" t="n">
        <v>2026</v>
      </c>
      <c r="N16" s="21" t="n">
        <f aca="false">R15</f>
        <v>458203.199607501</v>
      </c>
      <c r="O16" s="24" t="n">
        <f aca="false">N16*P$7</f>
        <v>22756.2038293469</v>
      </c>
      <c r="P16" s="25" t="n">
        <f aca="false">P$8-O16</f>
        <v>9645.0425800253</v>
      </c>
      <c r="Q16" s="127" t="n">
        <v>0</v>
      </c>
      <c r="R16" s="24" t="n">
        <f aca="false">N16-P16-Q16</f>
        <v>448558.157027476</v>
      </c>
      <c r="T16" s="25" t="n">
        <f aca="false">T15+P16</f>
        <v>51441.8429725243</v>
      </c>
      <c r="U16" s="24" t="n">
        <f aca="false">U15+O16</f>
        <v>142965.635483709</v>
      </c>
    </row>
    <row r="17" customFormat="false" ht="15" hidden="false" customHeight="false" outlineLevel="0" collapsed="false">
      <c r="B17" s="125" t="n">
        <v>44378</v>
      </c>
      <c r="C17" s="21" t="n">
        <f aca="false">G16</f>
        <v>496357.593630454</v>
      </c>
      <c r="D17" s="24" t="n">
        <f aca="false">C17*E$6</f>
        <v>2068.15664012689</v>
      </c>
      <c r="E17" s="25" t="n">
        <f aca="false">E$8-D17</f>
        <v>615.951474933806</v>
      </c>
      <c r="F17" s="127" t="n">
        <v>0</v>
      </c>
      <c r="G17" s="24" t="n">
        <f aca="false">C17-E17-F17</f>
        <v>495741.64215552</v>
      </c>
      <c r="I17" s="25" t="n">
        <f aca="false">I16+E17</f>
        <v>4258.35784448029</v>
      </c>
      <c r="J17" s="24" t="n">
        <f aca="false">J16+D17</f>
        <v>14530.3989609446</v>
      </c>
      <c r="M17" s="129" t="n">
        <v>2027</v>
      </c>
      <c r="N17" s="21" t="n">
        <f aca="false">R16</f>
        <v>448558.157027476</v>
      </c>
      <c r="O17" s="24" t="n">
        <f aca="false">N17*P$7</f>
        <v>22277.1924320416</v>
      </c>
      <c r="P17" s="25" t="n">
        <f aca="false">P$8-O17</f>
        <v>10124.0539773307</v>
      </c>
      <c r="Q17" s="127" t="n">
        <v>0</v>
      </c>
      <c r="R17" s="24" t="n">
        <f aca="false">N17-P17-Q17</f>
        <v>438434.103050145</v>
      </c>
      <c r="T17" s="25" t="n">
        <f aca="false">T16+P17</f>
        <v>61565.896949855</v>
      </c>
      <c r="U17" s="24" t="n">
        <f aca="false">U16+O17</f>
        <v>165242.827915751</v>
      </c>
    </row>
    <row r="18" customFormat="false" ht="15" hidden="false" customHeight="false" outlineLevel="0" collapsed="false">
      <c r="B18" s="125" t="n">
        <v>44409</v>
      </c>
      <c r="C18" s="21" t="n">
        <f aca="false">G17</f>
        <v>495741.64215552</v>
      </c>
      <c r="D18" s="24" t="n">
        <f aca="false">C18*E$6</f>
        <v>2065.590175648</v>
      </c>
      <c r="E18" s="25" t="n">
        <f aca="false">E$8-D18</f>
        <v>618.517939412696</v>
      </c>
      <c r="F18" s="127" t="n">
        <v>0</v>
      </c>
      <c r="G18" s="24" t="n">
        <f aca="false">C18-E18-F18</f>
        <v>495123.124216107</v>
      </c>
      <c r="I18" s="25" t="n">
        <f aca="false">I17+E18</f>
        <v>4876.87578389298</v>
      </c>
      <c r="J18" s="24" t="n">
        <f aca="false">J17+D18</f>
        <v>16595.9891365926</v>
      </c>
      <c r="M18" s="129" t="n">
        <v>2028</v>
      </c>
      <c r="N18" s="21" t="n">
        <f aca="false">R17</f>
        <v>438434.103050145</v>
      </c>
      <c r="O18" s="24" t="n">
        <f aca="false">N18*P$7</f>
        <v>21774.3914125707</v>
      </c>
      <c r="P18" s="25" t="n">
        <f aca="false">P$8-O18</f>
        <v>10626.8549968015</v>
      </c>
      <c r="Q18" s="127" t="n">
        <v>0</v>
      </c>
      <c r="R18" s="24" t="n">
        <f aca="false">N18-P18-Q18</f>
        <v>427807.248053344</v>
      </c>
      <c r="T18" s="25" t="n">
        <f aca="false">T17+P18</f>
        <v>72192.7519466565</v>
      </c>
      <c r="U18" s="24" t="n">
        <f aca="false">U17+O18</f>
        <v>187017.219328321</v>
      </c>
    </row>
    <row r="19" customFormat="false" ht="15" hidden="false" customHeight="false" outlineLevel="0" collapsed="false">
      <c r="B19" s="125" t="n">
        <v>44440</v>
      </c>
      <c r="C19" s="21" t="n">
        <f aca="false">G18</f>
        <v>495123.124216107</v>
      </c>
      <c r="D19" s="24" t="n">
        <f aca="false">C19*E$6</f>
        <v>2063.01301756711</v>
      </c>
      <c r="E19" s="25" t="n">
        <f aca="false">E$8-D19</f>
        <v>621.095097493583</v>
      </c>
      <c r="F19" s="127" t="n">
        <v>0</v>
      </c>
      <c r="G19" s="24" t="n">
        <f aca="false">C19-E19-F19</f>
        <v>494502.029118613</v>
      </c>
      <c r="I19" s="25" t="n">
        <f aca="false">I18+E19</f>
        <v>5497.97088138657</v>
      </c>
      <c r="J19" s="24" t="n">
        <f aca="false">J18+D19</f>
        <v>18659.0021541597</v>
      </c>
      <c r="M19" s="129" t="n">
        <v>2029</v>
      </c>
      <c r="N19" s="21" t="n">
        <f aca="false">R18</f>
        <v>427807.248053344</v>
      </c>
      <c r="O19" s="24" t="n">
        <f aca="false">N19*P$7</f>
        <v>21246.6192831328</v>
      </c>
      <c r="P19" s="25" t="n">
        <f aca="false">P$8-O19</f>
        <v>11154.6271262395</v>
      </c>
      <c r="Q19" s="127" t="n">
        <v>0</v>
      </c>
      <c r="R19" s="24" t="n">
        <f aca="false">N19-P19-Q19</f>
        <v>416652.620927104</v>
      </c>
      <c r="T19" s="25" t="n">
        <f aca="false">T18+P19</f>
        <v>83347.379072896</v>
      </c>
      <c r="U19" s="24" t="n">
        <f aca="false">U18+O19</f>
        <v>208263.838611454</v>
      </c>
    </row>
    <row r="20" customFormat="false" ht="15" hidden="false" customHeight="false" outlineLevel="0" collapsed="false">
      <c r="B20" s="125" t="n">
        <v>44470</v>
      </c>
      <c r="C20" s="21" t="n">
        <f aca="false">G19</f>
        <v>494502.029118613</v>
      </c>
      <c r="D20" s="24" t="n">
        <f aca="false">C20*E$6</f>
        <v>2060.42512132756</v>
      </c>
      <c r="E20" s="25" t="n">
        <f aca="false">E$8-D20</f>
        <v>623.682993733139</v>
      </c>
      <c r="F20" s="127" t="n">
        <v>0</v>
      </c>
      <c r="G20" s="24" t="n">
        <f aca="false">C20-E20-F20</f>
        <v>493878.34612488</v>
      </c>
      <c r="I20" s="25" t="n">
        <f aca="false">I19+E20</f>
        <v>6121.6538751197</v>
      </c>
      <c r="J20" s="24" t="n">
        <f aca="false">J19+D20</f>
        <v>20719.4272754872</v>
      </c>
      <c r="M20" s="129" t="n">
        <v>2030</v>
      </c>
      <c r="N20" s="21" t="n">
        <f aca="false">R19</f>
        <v>416652.620927104</v>
      </c>
      <c r="O20" s="24" t="n">
        <f aca="false">N20*P$7</f>
        <v>20692.6358785156</v>
      </c>
      <c r="P20" s="25" t="n">
        <f aca="false">P$8-O20</f>
        <v>11708.6105308567</v>
      </c>
      <c r="Q20" s="127" t="n">
        <v>0</v>
      </c>
      <c r="R20" s="24" t="n">
        <f aca="false">N20-P20-Q20</f>
        <v>404944.010396247</v>
      </c>
      <c r="T20" s="25" t="n">
        <f aca="false">T19+P20</f>
        <v>95055.9896037527</v>
      </c>
      <c r="U20" s="24" t="n">
        <f aca="false">U19+O20</f>
        <v>228956.47448997</v>
      </c>
    </row>
    <row r="21" customFormat="false" ht="15" hidden="false" customHeight="false" outlineLevel="0" collapsed="false">
      <c r="B21" s="125" t="n">
        <v>44501</v>
      </c>
      <c r="C21" s="21" t="n">
        <f aca="false">G20</f>
        <v>493878.34612488</v>
      </c>
      <c r="D21" s="24" t="n">
        <f aca="false">C21*E$6</f>
        <v>2057.826442187</v>
      </c>
      <c r="E21" s="25" t="n">
        <f aca="false">E$8-D21</f>
        <v>626.281672873694</v>
      </c>
      <c r="F21" s="127" t="n">
        <v>0</v>
      </c>
      <c r="G21" s="24" t="n">
        <f aca="false">C21-E21-F21</f>
        <v>493252.064452007</v>
      </c>
      <c r="I21" s="25" t="n">
        <f aca="false">I20+E21</f>
        <v>6747.9355479934</v>
      </c>
      <c r="J21" s="24" t="n">
        <f aca="false">J20+D21</f>
        <v>22777.2537176742</v>
      </c>
      <c r="M21" s="129" t="n">
        <v>2031</v>
      </c>
      <c r="N21" s="21" t="n">
        <f aca="false">R20</f>
        <v>404944.010396247</v>
      </c>
      <c r="O21" s="24" t="n">
        <f aca="false">N21*P$7</f>
        <v>20111.1394419415</v>
      </c>
      <c r="P21" s="25" t="n">
        <f aca="false">P$8-O21</f>
        <v>12290.1069674308</v>
      </c>
      <c r="Q21" s="127" t="n">
        <v>0</v>
      </c>
      <c r="R21" s="24" t="n">
        <f aca="false">N21-P21-Q21</f>
        <v>392653.903428817</v>
      </c>
      <c r="T21" s="25" t="n">
        <f aca="false">T20+P21</f>
        <v>107346.096571183</v>
      </c>
      <c r="U21" s="24" t="n">
        <f aca="false">U20+O21</f>
        <v>249067.613931911</v>
      </c>
    </row>
    <row r="22" customFormat="false" ht="15" hidden="false" customHeight="false" outlineLevel="0" collapsed="false">
      <c r="B22" s="125" t="n">
        <v>44531</v>
      </c>
      <c r="C22" s="21" t="n">
        <f aca="false">G21</f>
        <v>493252.064452007</v>
      </c>
      <c r="D22" s="24" t="n">
        <f aca="false">C22*E$6</f>
        <v>2055.21693521669</v>
      </c>
      <c r="E22" s="25" t="n">
        <f aca="false">E$8-D22</f>
        <v>628.891179844001</v>
      </c>
      <c r="F22" s="127" t="n">
        <v>0</v>
      </c>
      <c r="G22" s="24" t="n">
        <f aca="false">C22-E22-F22</f>
        <v>492623.173272163</v>
      </c>
      <c r="I22" s="130" t="n">
        <f aca="false">I21+E22</f>
        <v>7376.8267278374</v>
      </c>
      <c r="J22" s="131" t="n">
        <f aca="false">J21+D22</f>
        <v>24832.4706528909</v>
      </c>
      <c r="M22" s="129" t="n">
        <v>2032</v>
      </c>
      <c r="N22" s="21" t="n">
        <f aca="false">R21</f>
        <v>392653.903428817</v>
      </c>
      <c r="O22" s="24" t="n">
        <f aca="false">N22*P$7</f>
        <v>19500.7635661839</v>
      </c>
      <c r="P22" s="25" t="n">
        <f aca="false">P$8-O22</f>
        <v>12900.4828431883</v>
      </c>
      <c r="Q22" s="127" t="n">
        <v>0</v>
      </c>
      <c r="R22" s="24" t="n">
        <f aca="false">N22-P22-Q22</f>
        <v>379753.420585628</v>
      </c>
      <c r="T22" s="25" t="n">
        <f aca="false">T21+P22</f>
        <v>120246.579414372</v>
      </c>
      <c r="U22" s="24" t="n">
        <f aca="false">U21+O22</f>
        <v>268568.377498095</v>
      </c>
    </row>
    <row r="23" customFormat="false" ht="15" hidden="false" customHeight="false" outlineLevel="0" collapsed="false">
      <c r="B23" s="125" t="n">
        <v>44562</v>
      </c>
      <c r="C23" s="21" t="n">
        <f aca="false">G22</f>
        <v>492623.173272163</v>
      </c>
      <c r="D23" s="24" t="n">
        <f aca="false">C23*E$6</f>
        <v>2052.59655530068</v>
      </c>
      <c r="E23" s="25" t="n">
        <f aca="false">E$8-D23</f>
        <v>631.511559760018</v>
      </c>
      <c r="F23" s="127" t="n">
        <v>0</v>
      </c>
      <c r="G23" s="24" t="n">
        <f aca="false">C23-E23-F23</f>
        <v>491991.661712403</v>
      </c>
      <c r="I23" s="25" t="n">
        <f aca="false">I22+E23</f>
        <v>8008.33828759742</v>
      </c>
      <c r="J23" s="24" t="n">
        <f aca="false">J22+D23</f>
        <v>26885.0672081916</v>
      </c>
      <c r="M23" s="129" t="n">
        <v>2033</v>
      </c>
      <c r="N23" s="21" t="n">
        <f aca="false">R22</f>
        <v>379753.420585628</v>
      </c>
      <c r="O23" s="24" t="n">
        <f aca="false">N23*P$7</f>
        <v>18860.0739827675</v>
      </c>
      <c r="P23" s="25" t="n">
        <f aca="false">P$8-O23</f>
        <v>13541.1724266047</v>
      </c>
      <c r="Q23" s="127" t="n">
        <v>0</v>
      </c>
      <c r="R23" s="24" t="n">
        <f aca="false">N23-P23-Q23</f>
        <v>366212.248159024</v>
      </c>
      <c r="T23" s="25" t="n">
        <f aca="false">T22+P23</f>
        <v>133787.751840976</v>
      </c>
      <c r="U23" s="24" t="n">
        <f aca="false">U22+O23</f>
        <v>287428.451480863</v>
      </c>
    </row>
    <row r="24" customFormat="false" ht="15" hidden="false" customHeight="false" outlineLevel="0" collapsed="false">
      <c r="B24" s="125" t="n">
        <v>44593</v>
      </c>
      <c r="C24" s="21" t="n">
        <f aca="false">G23</f>
        <v>491991.661712403</v>
      </c>
      <c r="D24" s="24" t="n">
        <f aca="false">C24*E$6</f>
        <v>2049.96525713501</v>
      </c>
      <c r="E24" s="25" t="n">
        <f aca="false">E$8-D24</f>
        <v>634.142857925684</v>
      </c>
      <c r="F24" s="127" t="n">
        <v>0</v>
      </c>
      <c r="G24" s="24" t="n">
        <f aca="false">C24-E24-F24</f>
        <v>491357.518854477</v>
      </c>
      <c r="I24" s="25" t="n">
        <f aca="false">I23+E24</f>
        <v>8642.4811455231</v>
      </c>
      <c r="J24" s="24" t="n">
        <f aca="false">J23+D24</f>
        <v>28935.0324653266</v>
      </c>
      <c r="M24" s="129" t="n">
        <v>2034</v>
      </c>
      <c r="N24" s="21" t="n">
        <f aca="false">R23</f>
        <v>366212.248159024</v>
      </c>
      <c r="O24" s="24" t="n">
        <f aca="false">N24*P$7</f>
        <v>18187.5651917069</v>
      </c>
      <c r="P24" s="25" t="n">
        <f aca="false">P$8-O24</f>
        <v>14213.6812176653</v>
      </c>
      <c r="Q24" s="127" t="n">
        <v>0</v>
      </c>
      <c r="R24" s="24" t="n">
        <f aca="false">N24-P24-Q24</f>
        <v>351998.566941358</v>
      </c>
      <c r="T24" s="25" t="n">
        <f aca="false">T23+P24</f>
        <v>148001.433058642</v>
      </c>
      <c r="U24" s="24" t="n">
        <f aca="false">U23+O24</f>
        <v>305616.01667257</v>
      </c>
    </row>
    <row r="25" customFormat="false" ht="15" hidden="false" customHeight="false" outlineLevel="0" collapsed="false">
      <c r="B25" s="125" t="n">
        <v>44621</v>
      </c>
      <c r="C25" s="21" t="n">
        <f aca="false">G24</f>
        <v>491357.518854477</v>
      </c>
      <c r="D25" s="24" t="n">
        <f aca="false">C25*E$6</f>
        <v>2047.32299522699</v>
      </c>
      <c r="E25" s="25" t="n">
        <f aca="false">E$8-D25</f>
        <v>636.785119833708</v>
      </c>
      <c r="F25" s="127" t="n">
        <v>0</v>
      </c>
      <c r="G25" s="24" t="n">
        <f aca="false">C25-E25-F25</f>
        <v>490720.733734643</v>
      </c>
      <c r="I25" s="25" t="n">
        <f aca="false">I24+E25</f>
        <v>9279.26626535681</v>
      </c>
      <c r="J25" s="24" t="n">
        <f aca="false">J24+D25</f>
        <v>30982.3554605536</v>
      </c>
      <c r="M25" s="129" t="n">
        <v>2035</v>
      </c>
      <c r="N25" s="21" t="n">
        <f aca="false">R24</f>
        <v>351998.566941358</v>
      </c>
      <c r="O25" s="24" t="n">
        <f aca="false">N25*P$7</f>
        <v>17481.656923865</v>
      </c>
      <c r="P25" s="25" t="n">
        <f aca="false">P$8-O25</f>
        <v>14919.5894855072</v>
      </c>
      <c r="Q25" s="127" t="n">
        <v>0</v>
      </c>
      <c r="R25" s="24" t="n">
        <f aca="false">N25-P25-Q25</f>
        <v>337078.977455851</v>
      </c>
      <c r="T25" s="25" t="n">
        <f aca="false">T24+P25</f>
        <v>162921.022544149</v>
      </c>
      <c r="U25" s="24" t="n">
        <f aca="false">U24+O25</f>
        <v>323097.673596435</v>
      </c>
    </row>
    <row r="26" customFormat="false" ht="15" hidden="false" customHeight="false" outlineLevel="0" collapsed="false">
      <c r="B26" s="125" t="n">
        <v>44652</v>
      </c>
      <c r="C26" s="21" t="n">
        <f aca="false">G25</f>
        <v>490720.733734643</v>
      </c>
      <c r="D26" s="24" t="n">
        <f aca="false">C26*E$6</f>
        <v>2044.66972389435</v>
      </c>
      <c r="E26" s="25" t="n">
        <f aca="false">E$8-D26</f>
        <v>639.438391166349</v>
      </c>
      <c r="F26" s="127" t="n">
        <v>0</v>
      </c>
      <c r="G26" s="24" t="n">
        <f aca="false">C26-E26-F26</f>
        <v>490081.295343477</v>
      </c>
      <c r="I26" s="25" t="n">
        <f aca="false">I25+E26</f>
        <v>9918.70465652316</v>
      </c>
      <c r="J26" s="24" t="n">
        <f aca="false">J25+D26</f>
        <v>33027.025184448</v>
      </c>
      <c r="M26" s="129" t="n">
        <v>2036</v>
      </c>
      <c r="N26" s="21" t="n">
        <f aca="false">R25</f>
        <v>337078.977455851</v>
      </c>
      <c r="O26" s="24" t="n">
        <f aca="false">N26*P$7</f>
        <v>16740.6904276179</v>
      </c>
      <c r="P26" s="25" t="n">
        <f aca="false">P$8-O26</f>
        <v>15660.5559817543</v>
      </c>
      <c r="Q26" s="127" t="n">
        <v>0</v>
      </c>
      <c r="R26" s="24" t="n">
        <f aca="false">N26-P26-Q26</f>
        <v>321418.421474097</v>
      </c>
      <c r="T26" s="25" t="n">
        <f aca="false">T25+P26</f>
        <v>178581.578525903</v>
      </c>
      <c r="U26" s="24" t="n">
        <f aca="false">U25+O26</f>
        <v>339838.364024053</v>
      </c>
    </row>
    <row r="27" customFormat="false" ht="15" hidden="false" customHeight="false" outlineLevel="0" collapsed="false">
      <c r="B27" s="125" t="n">
        <v>44682</v>
      </c>
      <c r="C27" s="21" t="n">
        <f aca="false">G26</f>
        <v>490081.295343477</v>
      </c>
      <c r="D27" s="24" t="n">
        <f aca="false">C27*E$6</f>
        <v>2042.00539726449</v>
      </c>
      <c r="E27" s="25" t="n">
        <f aca="false">E$8-D27</f>
        <v>642.102717796208</v>
      </c>
      <c r="F27" s="127" t="n">
        <v>0</v>
      </c>
      <c r="G27" s="24" t="n">
        <f aca="false">C27-E27-F27</f>
        <v>489439.192625681</v>
      </c>
      <c r="I27" s="25" t="n">
        <f aca="false">I26+E27</f>
        <v>10560.8073743194</v>
      </c>
      <c r="J27" s="24" t="n">
        <f aca="false">J26+D27</f>
        <v>35069.0305817125</v>
      </c>
      <c r="M27" s="129" t="n">
        <v>2037</v>
      </c>
      <c r="N27" s="21" t="n">
        <f aca="false">R26</f>
        <v>321418.421474097</v>
      </c>
      <c r="O27" s="24" t="n">
        <f aca="false">N27*P$7</f>
        <v>15962.9245711006</v>
      </c>
      <c r="P27" s="25" t="n">
        <f aca="false">P$8-O27</f>
        <v>16438.3218382717</v>
      </c>
      <c r="Q27" s="127" t="n">
        <v>0</v>
      </c>
      <c r="R27" s="24" t="n">
        <f aca="false">N27-P27-Q27</f>
        <v>304980.099635825</v>
      </c>
      <c r="T27" s="25" t="n">
        <f aca="false">T26+P27</f>
        <v>195019.900364175</v>
      </c>
      <c r="U27" s="24" t="n">
        <f aca="false">U26+O27</f>
        <v>355801.288595153</v>
      </c>
    </row>
    <row r="28" customFormat="false" ht="15" hidden="false" customHeight="false" outlineLevel="0" collapsed="false">
      <c r="B28" s="125" t="n">
        <v>44713</v>
      </c>
      <c r="C28" s="21" t="n">
        <f aca="false">G27</f>
        <v>489439.192625681</v>
      </c>
      <c r="D28" s="24" t="n">
        <f aca="false">C28*E$6</f>
        <v>2039.32996927367</v>
      </c>
      <c r="E28" s="25" t="n">
        <f aca="false">E$8-D28</f>
        <v>644.778145787026</v>
      </c>
      <c r="F28" s="127" t="n">
        <v>0</v>
      </c>
      <c r="G28" s="24" t="n">
        <f aca="false">C28-E28-F28</f>
        <v>488794.414479894</v>
      </c>
      <c r="I28" s="25" t="n">
        <f aca="false">I27+E28</f>
        <v>11205.5855201064</v>
      </c>
      <c r="J28" s="24" t="n">
        <f aca="false">J27+D28</f>
        <v>37108.3605509861</v>
      </c>
      <c r="M28" s="129" t="n">
        <v>2038</v>
      </c>
      <c r="N28" s="21" t="n">
        <f aca="false">R27</f>
        <v>304980.099635825</v>
      </c>
      <c r="O28" s="24" t="n">
        <f aca="false">N28*P$7</f>
        <v>15146.5317508747</v>
      </c>
      <c r="P28" s="25" t="n">
        <f aca="false">P$8-O28</f>
        <v>17254.7146584976</v>
      </c>
      <c r="Q28" s="127" t="n">
        <v>0</v>
      </c>
      <c r="R28" s="24" t="n">
        <f aca="false">N28-P28-Q28</f>
        <v>287725.384977327</v>
      </c>
      <c r="T28" s="25" t="n">
        <f aca="false">T27+P28</f>
        <v>212274.615022673</v>
      </c>
      <c r="U28" s="24" t="n">
        <f aca="false">U27+O28</f>
        <v>370947.820346028</v>
      </c>
    </row>
    <row r="29" customFormat="false" ht="15" hidden="false" customHeight="false" outlineLevel="0" collapsed="false">
      <c r="B29" s="125" t="n">
        <v>44743</v>
      </c>
      <c r="C29" s="21" t="n">
        <f aca="false">G28</f>
        <v>488794.414479894</v>
      </c>
      <c r="D29" s="24" t="n">
        <f aca="false">C29*E$6</f>
        <v>2036.64339366622</v>
      </c>
      <c r="E29" s="25" t="n">
        <f aca="false">E$8-D29</f>
        <v>647.464721394472</v>
      </c>
      <c r="F29" s="127" t="n">
        <v>0</v>
      </c>
      <c r="G29" s="24" t="n">
        <f aca="false">C29-E29-F29</f>
        <v>488146.949758499</v>
      </c>
      <c r="I29" s="25" t="n">
        <f aca="false">I28+E29</f>
        <v>11853.0502415009</v>
      </c>
      <c r="J29" s="24" t="n">
        <f aca="false">J28+D29</f>
        <v>39145.0039446523</v>
      </c>
      <c r="M29" s="129" t="n">
        <v>2039</v>
      </c>
      <c r="N29" s="21" t="n">
        <f aca="false">R28</f>
        <v>287725.384977327</v>
      </c>
      <c r="O29" s="24" t="n">
        <f aca="false">N29*P$7</f>
        <v>14289.593597404</v>
      </c>
      <c r="P29" s="25" t="n">
        <f aca="false">P$8-O29</f>
        <v>18111.6528119682</v>
      </c>
      <c r="Q29" s="127" t="n">
        <v>0</v>
      </c>
      <c r="R29" s="24" t="n">
        <f aca="false">N29-P29-Q29</f>
        <v>269613.732165359</v>
      </c>
      <c r="T29" s="25" t="n">
        <f aca="false">T28+P29</f>
        <v>230386.267834641</v>
      </c>
      <c r="U29" s="24" t="n">
        <f aca="false">U28+O29</f>
        <v>385237.413943432</v>
      </c>
    </row>
    <row r="30" customFormat="false" ht="15" hidden="false" customHeight="false" outlineLevel="0" collapsed="false">
      <c r="B30" s="125" t="n">
        <v>44774</v>
      </c>
      <c r="C30" s="21" t="n">
        <f aca="false">G29</f>
        <v>488146.949758499</v>
      </c>
      <c r="D30" s="24" t="n">
        <f aca="false">C30*E$6</f>
        <v>2033.94562399375</v>
      </c>
      <c r="E30" s="25" t="n">
        <f aca="false">E$8-D30</f>
        <v>650.162491066949</v>
      </c>
      <c r="F30" s="127" t="n">
        <v>0</v>
      </c>
      <c r="G30" s="24" t="n">
        <f aca="false">C30-E30-F30</f>
        <v>487496.787267432</v>
      </c>
      <c r="I30" s="25" t="n">
        <f aca="false">I29+E30</f>
        <v>12503.2127325678</v>
      </c>
      <c r="J30" s="24" t="n">
        <f aca="false">J29+D30</f>
        <v>41178.9495686461</v>
      </c>
      <c r="M30" s="129" t="n">
        <v>2040</v>
      </c>
      <c r="N30" s="21" t="n">
        <f aca="false">R29</f>
        <v>269613.732165359</v>
      </c>
      <c r="O30" s="24" t="n">
        <f aca="false">N30*P$7</f>
        <v>13390.0964672474</v>
      </c>
      <c r="P30" s="25" t="n">
        <f aca="false">P$8-O30</f>
        <v>19011.1499421248</v>
      </c>
      <c r="Q30" s="127" t="n">
        <v>0</v>
      </c>
      <c r="R30" s="24" t="n">
        <f aca="false">N30-P30-Q30</f>
        <v>250602.582223234</v>
      </c>
      <c r="T30" s="25" t="n">
        <f aca="false">T29+P30</f>
        <v>249397.417776766</v>
      </c>
      <c r="U30" s="24" t="n">
        <f aca="false">U29+O30</f>
        <v>398627.510410679</v>
      </c>
    </row>
    <row r="31" customFormat="false" ht="15" hidden="false" customHeight="false" outlineLevel="0" collapsed="false">
      <c r="B31" s="125" t="n">
        <v>44805</v>
      </c>
      <c r="C31" s="21" t="n">
        <f aca="false">G30</f>
        <v>487496.787267432</v>
      </c>
      <c r="D31" s="24" t="n">
        <f aca="false">C31*E$6</f>
        <v>2031.2366136143</v>
      </c>
      <c r="E31" s="25" t="n">
        <f aca="false">E$8-D31</f>
        <v>652.871501446394</v>
      </c>
      <c r="F31" s="127" t="n">
        <v>0</v>
      </c>
      <c r="G31" s="24" t="n">
        <f aca="false">C31-E31-F31</f>
        <v>486843.915765986</v>
      </c>
      <c r="I31" s="25" t="n">
        <f aca="false">I30+E31</f>
        <v>13156.0842340142</v>
      </c>
      <c r="J31" s="24" t="n">
        <f aca="false">J30+D31</f>
        <v>43210.1861822604</v>
      </c>
      <c r="M31" s="129" t="n">
        <v>2041</v>
      </c>
      <c r="N31" s="21" t="n">
        <f aca="false">R30</f>
        <v>250602.582223234</v>
      </c>
      <c r="O31" s="24" t="n">
        <f aca="false">N31*P$7</f>
        <v>12445.9267113752</v>
      </c>
      <c r="P31" s="25" t="n">
        <f aca="false">P$8-O31</f>
        <v>19955.319697997</v>
      </c>
      <c r="Q31" s="127" t="n">
        <v>0</v>
      </c>
      <c r="R31" s="24" t="n">
        <f aca="false">N31-P31-Q31</f>
        <v>230647.262525237</v>
      </c>
      <c r="T31" s="25" t="n">
        <f aca="false">T30+P31</f>
        <v>269352.737474763</v>
      </c>
      <c r="U31" s="24" t="n">
        <f aca="false">U30+O31</f>
        <v>411073.437122054</v>
      </c>
    </row>
    <row r="32" customFormat="false" ht="15" hidden="false" customHeight="false" outlineLevel="0" collapsed="false">
      <c r="B32" s="125" t="n">
        <v>44835</v>
      </c>
      <c r="C32" s="21" t="n">
        <f aca="false">G31</f>
        <v>486843.915765986</v>
      </c>
      <c r="D32" s="24" t="n">
        <f aca="false">C32*E$6</f>
        <v>2028.51631569161</v>
      </c>
      <c r="E32" s="25" t="n">
        <f aca="false">E$8-D32</f>
        <v>655.591799369088</v>
      </c>
      <c r="F32" s="127" t="n">
        <v>0</v>
      </c>
      <c r="G32" s="24" t="n">
        <f aca="false">C32-E32-F32</f>
        <v>486188.323966617</v>
      </c>
      <c r="I32" s="25" t="n">
        <f aca="false">I31+E32</f>
        <v>13811.6760333833</v>
      </c>
      <c r="J32" s="24" t="n">
        <f aca="false">J31+D32</f>
        <v>45238.702497952</v>
      </c>
      <c r="M32" s="129" t="n">
        <v>2042</v>
      </c>
      <c r="N32" s="21" t="n">
        <f aca="false">R31</f>
        <v>230647.262525237</v>
      </c>
      <c r="O32" s="24" t="n">
        <f aca="false">N32*P$7</f>
        <v>11454.8657084918</v>
      </c>
      <c r="P32" s="25" t="n">
        <f aca="false">P$8-O32</f>
        <v>20946.3807008804</v>
      </c>
      <c r="Q32" s="127" t="n">
        <v>0</v>
      </c>
      <c r="R32" s="24" t="n">
        <f aca="false">N32-P32-Q32</f>
        <v>209700.881824357</v>
      </c>
      <c r="T32" s="25" t="n">
        <f aca="false">T31+P32</f>
        <v>290299.118175643</v>
      </c>
      <c r="U32" s="24" t="n">
        <f aca="false">U31+O32</f>
        <v>422528.302830546</v>
      </c>
    </row>
    <row r="33" customFormat="false" ht="15" hidden="false" customHeight="false" outlineLevel="0" collapsed="false">
      <c r="B33" s="125" t="n">
        <v>44866</v>
      </c>
      <c r="C33" s="21" t="n">
        <f aca="false">G32</f>
        <v>486188.323966617</v>
      </c>
      <c r="D33" s="24" t="n">
        <f aca="false">C33*E$6</f>
        <v>2025.78468319424</v>
      </c>
      <c r="E33" s="25" t="n">
        <f aca="false">E$8-D33</f>
        <v>658.323431866459</v>
      </c>
      <c r="F33" s="127" t="n">
        <v>0</v>
      </c>
      <c r="G33" s="24" t="n">
        <f aca="false">C33-E33-F33</f>
        <v>485530.00053475</v>
      </c>
      <c r="I33" s="25" t="n">
        <f aca="false">I32+E33</f>
        <v>14469.9994652498</v>
      </c>
      <c r="J33" s="24" t="n">
        <f aca="false">J32+D33</f>
        <v>47264.4871811462</v>
      </c>
      <c r="M33" s="129" t="n">
        <v>2043</v>
      </c>
      <c r="N33" s="21" t="n">
        <f aca="false">R32</f>
        <v>209700.881824357</v>
      </c>
      <c r="O33" s="24" t="n">
        <f aca="false">N33*P$7</f>
        <v>10414.5846516929</v>
      </c>
      <c r="P33" s="25" t="n">
        <f aca="false">P$8-O33</f>
        <v>21986.6617576793</v>
      </c>
      <c r="Q33" s="127" t="n">
        <v>0</v>
      </c>
      <c r="R33" s="24" t="n">
        <f aca="false">N33-P33-Q33</f>
        <v>187714.220066678</v>
      </c>
      <c r="T33" s="25" t="n">
        <f aca="false">T32+P33</f>
        <v>312285.779933322</v>
      </c>
      <c r="U33" s="24" t="n">
        <f aca="false">U32+O33</f>
        <v>432942.887482239</v>
      </c>
    </row>
    <row r="34" customFormat="false" ht="15" hidden="false" customHeight="false" outlineLevel="0" collapsed="false">
      <c r="B34" s="125" t="n">
        <v>44896</v>
      </c>
      <c r="C34" s="21" t="n">
        <f aca="false">G33</f>
        <v>485530.00053475</v>
      </c>
      <c r="D34" s="24" t="n">
        <f aca="false">C34*E$6</f>
        <v>2023.04166889479</v>
      </c>
      <c r="E34" s="25" t="n">
        <f aca="false">E$8-D34</f>
        <v>661.066446165903</v>
      </c>
      <c r="F34" s="127" t="n">
        <v>0</v>
      </c>
      <c r="G34" s="24" t="n">
        <f aca="false">C34-E34-F34</f>
        <v>484868.934088584</v>
      </c>
      <c r="I34" s="130" t="n">
        <f aca="false">I33+E34</f>
        <v>15131.0659114157</v>
      </c>
      <c r="J34" s="131" t="n">
        <f aca="false">J33+D34</f>
        <v>49287.528850041</v>
      </c>
      <c r="M34" s="129" t="n">
        <v>2044</v>
      </c>
      <c r="N34" s="21" t="n">
        <f aca="false">R33</f>
        <v>187714.220066678</v>
      </c>
      <c r="O34" s="24" t="n">
        <f aca="false">N34*P$7</f>
        <v>9322.63907620752</v>
      </c>
      <c r="P34" s="25" t="n">
        <f aca="false">P$8-O34</f>
        <v>23078.6073331647</v>
      </c>
      <c r="Q34" s="127" t="n">
        <v>0</v>
      </c>
      <c r="R34" s="24" t="n">
        <f aca="false">N34-P34-Q34</f>
        <v>164635.612733513</v>
      </c>
      <c r="T34" s="25" t="n">
        <f aca="false">T33+P34</f>
        <v>335364.387266487</v>
      </c>
      <c r="U34" s="24" t="n">
        <f aca="false">U33+O34</f>
        <v>442265.526558447</v>
      </c>
    </row>
    <row r="35" customFormat="false" ht="15" hidden="false" customHeight="false" outlineLevel="0" collapsed="false">
      <c r="B35" s="125" t="n">
        <v>44927</v>
      </c>
      <c r="C35" s="21" t="n">
        <f aca="false">G34</f>
        <v>484868.934088584</v>
      </c>
      <c r="D35" s="24" t="n">
        <f aca="false">C35*E$6</f>
        <v>2020.2872253691</v>
      </c>
      <c r="E35" s="25" t="n">
        <f aca="false">E$8-D35</f>
        <v>663.820889691594</v>
      </c>
      <c r="F35" s="127" t="n">
        <v>0</v>
      </c>
      <c r="G35" s="24" t="n">
        <f aca="false">C35-E35-F35</f>
        <v>484205.113198893</v>
      </c>
      <c r="I35" s="25" t="n">
        <f aca="false">I34+E35</f>
        <v>15794.8868011072</v>
      </c>
      <c r="J35" s="24" t="n">
        <f aca="false">J34+D35</f>
        <v>51307.8160754101</v>
      </c>
      <c r="M35" s="129" t="n">
        <v>2045</v>
      </c>
      <c r="N35" s="21" t="n">
        <f aca="false">R34</f>
        <v>164635.612733513</v>
      </c>
      <c r="O35" s="24" t="n">
        <f aca="false">N35*P$7</f>
        <v>8176.46311536563</v>
      </c>
      <c r="P35" s="25" t="n">
        <f aca="false">P$8-O35</f>
        <v>24224.7832940066</v>
      </c>
      <c r="Q35" s="127" t="n">
        <v>0</v>
      </c>
      <c r="R35" s="24" t="n">
        <f aca="false">N35-P35-Q35</f>
        <v>140410.829439506</v>
      </c>
      <c r="T35" s="25" t="n">
        <f aca="false">T34+P35</f>
        <v>359589.170560494</v>
      </c>
      <c r="U35" s="24" t="n">
        <f aca="false">U34+O35</f>
        <v>450441.989673812</v>
      </c>
    </row>
    <row r="36" customFormat="false" ht="15" hidden="false" customHeight="false" outlineLevel="0" collapsed="false">
      <c r="B36" s="125" t="n">
        <v>44958</v>
      </c>
      <c r="C36" s="21" t="n">
        <f aca="false">G35</f>
        <v>484205.113198893</v>
      </c>
      <c r="D36" s="24" t="n">
        <f aca="false">C36*E$6</f>
        <v>2017.52130499539</v>
      </c>
      <c r="E36" s="25" t="n">
        <f aca="false">E$8-D36</f>
        <v>666.586810065309</v>
      </c>
      <c r="F36" s="127" t="n">
        <v>0</v>
      </c>
      <c r="G36" s="24" t="n">
        <f aca="false">C36-E36-F36</f>
        <v>483538.526388827</v>
      </c>
      <c r="I36" s="25" t="n">
        <f aca="false">I35+E36</f>
        <v>16461.4736111726</v>
      </c>
      <c r="J36" s="24" t="n">
        <f aca="false">J35+D36</f>
        <v>53325.3373804055</v>
      </c>
      <c r="M36" s="129" t="n">
        <v>2046</v>
      </c>
      <c r="N36" s="21" t="n">
        <f aca="false">R35</f>
        <v>140410.829439506</v>
      </c>
      <c r="O36" s="24" t="n">
        <f aca="false">N36*P$7</f>
        <v>6973.3634712942</v>
      </c>
      <c r="P36" s="25" t="n">
        <f aca="false">P$8-O36</f>
        <v>25427.882938078</v>
      </c>
      <c r="Q36" s="127" t="n">
        <v>0</v>
      </c>
      <c r="R36" s="24" t="n">
        <f aca="false">N36-P36-Q36</f>
        <v>114982.946501428</v>
      </c>
      <c r="T36" s="25" t="n">
        <f aca="false">T35+P36</f>
        <v>385017.053498572</v>
      </c>
      <c r="U36" s="24" t="n">
        <f aca="false">U35+O36</f>
        <v>457415.353145107</v>
      </c>
    </row>
    <row r="37" customFormat="false" ht="15" hidden="false" customHeight="false" outlineLevel="0" collapsed="false">
      <c r="B37" s="125" t="n">
        <v>44986</v>
      </c>
      <c r="C37" s="21" t="n">
        <f aca="false">G36</f>
        <v>483538.526388827</v>
      </c>
      <c r="D37" s="24" t="n">
        <f aca="false">C37*E$6</f>
        <v>2014.74385995345</v>
      </c>
      <c r="E37" s="25" t="n">
        <f aca="false">E$8-D37</f>
        <v>669.364255107248</v>
      </c>
      <c r="F37" s="127" t="n">
        <v>0</v>
      </c>
      <c r="G37" s="24" t="n">
        <f aca="false">C37-E37-F37</f>
        <v>482869.16213372</v>
      </c>
      <c r="I37" s="25" t="n">
        <f aca="false">I36+E37</f>
        <v>17130.8378662798</v>
      </c>
      <c r="J37" s="24" t="n">
        <f aca="false">J36+D37</f>
        <v>55340.081240359</v>
      </c>
      <c r="M37" s="129" t="n">
        <v>2047</v>
      </c>
      <c r="N37" s="21" t="n">
        <f aca="false">R36</f>
        <v>114982.946501428</v>
      </c>
      <c r="O37" s="24" t="n">
        <f aca="false">N37*P$7</f>
        <v>5710.51308617392</v>
      </c>
      <c r="P37" s="25" t="n">
        <f aca="false">P$8-O37</f>
        <v>26690.7333231983</v>
      </c>
      <c r="Q37" s="127" t="n">
        <v>0</v>
      </c>
      <c r="R37" s="24" t="n">
        <f aca="false">N37-P37-Q37</f>
        <v>88292.2131782299</v>
      </c>
      <c r="T37" s="25" t="n">
        <f aca="false">T36+P37</f>
        <v>411707.78682177</v>
      </c>
      <c r="U37" s="24" t="n">
        <f aca="false">U36+O37</f>
        <v>463125.866231281</v>
      </c>
    </row>
    <row r="38" customFormat="false" ht="15" hidden="false" customHeight="false" outlineLevel="0" collapsed="false">
      <c r="B38" s="125" t="n">
        <v>45017</v>
      </c>
      <c r="C38" s="21" t="n">
        <f aca="false">G37</f>
        <v>482869.16213372</v>
      </c>
      <c r="D38" s="24" t="n">
        <f aca="false">C38*E$6</f>
        <v>2011.95484222383</v>
      </c>
      <c r="E38" s="25" t="n">
        <f aca="false">E$8-D38</f>
        <v>672.153272836861</v>
      </c>
      <c r="F38" s="127" t="n">
        <v>0</v>
      </c>
      <c r="G38" s="24" t="n">
        <f aca="false">C38-E38-F38</f>
        <v>482197.008860883</v>
      </c>
      <c r="I38" s="25" t="n">
        <f aca="false">I37+E38</f>
        <v>17802.9911391167</v>
      </c>
      <c r="J38" s="24" t="n">
        <f aca="false">J37+D38</f>
        <v>57352.0360825828</v>
      </c>
      <c r="M38" s="129" t="n">
        <v>2048</v>
      </c>
      <c r="N38" s="21" t="n">
        <f aca="false">R37</f>
        <v>88292.2131782299</v>
      </c>
      <c r="O38" s="24" t="n">
        <f aca="false">N38*P$7</f>
        <v>4384.94449918516</v>
      </c>
      <c r="P38" s="25" t="n">
        <f aca="false">P$8-O38</f>
        <v>28016.3019101871</v>
      </c>
      <c r="Q38" s="127" t="n">
        <v>0</v>
      </c>
      <c r="R38" s="24" t="n">
        <f aca="false">N38-P38-Q38</f>
        <v>60275.9112680428</v>
      </c>
      <c r="T38" s="25" t="n">
        <f aca="false">T37+P38</f>
        <v>439724.088731957</v>
      </c>
      <c r="U38" s="24" t="n">
        <f aca="false">U37+O38</f>
        <v>467510.810730466</v>
      </c>
    </row>
    <row r="39" customFormat="false" ht="15" hidden="false" customHeight="false" outlineLevel="0" collapsed="false">
      <c r="B39" s="125" t="n">
        <v>45047</v>
      </c>
      <c r="C39" s="21" t="n">
        <f aca="false">G38</f>
        <v>482197.008860883</v>
      </c>
      <c r="D39" s="24" t="n">
        <f aca="false">C39*E$6</f>
        <v>2009.15420358701</v>
      </c>
      <c r="E39" s="25" t="n">
        <f aca="false">E$8-D39</f>
        <v>674.953911473682</v>
      </c>
      <c r="F39" s="127" t="n">
        <v>0</v>
      </c>
      <c r="G39" s="24" t="n">
        <f aca="false">C39-E39-F39</f>
        <v>481522.05494941</v>
      </c>
      <c r="I39" s="25" t="n">
        <f aca="false">I38+E39</f>
        <v>18477.9450505903</v>
      </c>
      <c r="J39" s="24" t="n">
        <f aca="false">J38+D39</f>
        <v>59361.1902861698</v>
      </c>
      <c r="M39" s="129" t="n">
        <v>2049</v>
      </c>
      <c r="N39" s="21" t="n">
        <f aca="false">R38</f>
        <v>60275.9112680428</v>
      </c>
      <c r="O39" s="24" t="n">
        <f aca="false">N39*P$7</f>
        <v>2993.54287353335</v>
      </c>
      <c r="P39" s="25" t="n">
        <f aca="false">P$8-O39</f>
        <v>29407.7035358389</v>
      </c>
      <c r="Q39" s="127" t="n">
        <v>0</v>
      </c>
      <c r="R39" s="24" t="n">
        <f aca="false">N39-P39-Q39</f>
        <v>30868.207732204</v>
      </c>
      <c r="T39" s="25" t="n">
        <f aca="false">T38+P39</f>
        <v>469131.792267796</v>
      </c>
      <c r="U39" s="24" t="n">
        <f aca="false">U38+O39</f>
        <v>470504.353603999</v>
      </c>
    </row>
    <row r="40" customFormat="false" ht="15" hidden="false" customHeight="false" outlineLevel="0" collapsed="false">
      <c r="B40" s="125" t="n">
        <v>45078</v>
      </c>
      <c r="C40" s="21" t="n">
        <f aca="false">G39</f>
        <v>481522.05494941</v>
      </c>
      <c r="D40" s="24" t="n">
        <f aca="false">C40*E$6</f>
        <v>2006.34189562254</v>
      </c>
      <c r="E40" s="25" t="n">
        <f aca="false">E$8-D40</f>
        <v>677.766219438155</v>
      </c>
      <c r="F40" s="127" t="n">
        <v>0</v>
      </c>
      <c r="G40" s="24" t="n">
        <f aca="false">C40-E40-F40</f>
        <v>480844.288729971</v>
      </c>
      <c r="I40" s="25" t="n">
        <f aca="false">I39+E40</f>
        <v>19155.7112700285</v>
      </c>
      <c r="J40" s="24" t="n">
        <f aca="false">J39+D40</f>
        <v>61367.5321817924</v>
      </c>
      <c r="M40" s="129" t="n">
        <v>2050</v>
      </c>
      <c r="N40" s="21" t="n">
        <f aca="false">R39</f>
        <v>30868.207732204</v>
      </c>
      <c r="O40" s="24" t="n">
        <f aca="false">N40*P$7</f>
        <v>1533.0386771685</v>
      </c>
      <c r="P40" s="25" t="n">
        <f aca="false">P$8-O40</f>
        <v>30868.2077322037</v>
      </c>
      <c r="Q40" s="127" t="n">
        <v>0</v>
      </c>
      <c r="R40" s="24" t="n">
        <f aca="false">N40-P40-Q40</f>
        <v>2.07364792004228E-010</v>
      </c>
      <c r="T40" s="25" t="n">
        <f aca="false">T39+P40</f>
        <v>500000</v>
      </c>
      <c r="U40" s="24" t="n">
        <f aca="false">U39+O40</f>
        <v>472037.392281167</v>
      </c>
    </row>
    <row r="41" customFormat="false" ht="15" hidden="true" customHeight="false" outlineLevel="1" collapsed="false">
      <c r="B41" s="125" t="n">
        <v>45108</v>
      </c>
      <c r="C41" s="21" t="n">
        <f aca="false">G40</f>
        <v>480844.288729971</v>
      </c>
      <c r="D41" s="24" t="n">
        <f aca="false">C41*E$6</f>
        <v>2003.51786970821</v>
      </c>
      <c r="E41" s="25" t="n">
        <f aca="false">E$8-D41</f>
        <v>680.590245352481</v>
      </c>
      <c r="F41" s="127" t="n">
        <v>0</v>
      </c>
      <c r="G41" s="24" t="n">
        <f aca="false">C41-E41-F41</f>
        <v>480163.698484619</v>
      </c>
      <c r="I41" s="25" t="n">
        <f aca="false">I40+E41</f>
        <v>19836.301515381</v>
      </c>
      <c r="J41" s="24" t="n">
        <f aca="false">J40+D41</f>
        <v>63371.0500515006</v>
      </c>
      <c r="M41" s="129"/>
      <c r="N41" s="129"/>
      <c r="O41" s="129"/>
      <c r="P41" s="129"/>
      <c r="Q41" s="129"/>
      <c r="R41" s="129"/>
      <c r="S41" s="129"/>
    </row>
    <row r="42" customFormat="false" ht="15" hidden="true" customHeight="false" outlineLevel="1" collapsed="false">
      <c r="B42" s="125" t="n">
        <v>45139</v>
      </c>
      <c r="C42" s="21" t="n">
        <f aca="false">G41</f>
        <v>480163.698484619</v>
      </c>
      <c r="D42" s="24" t="n">
        <f aca="false">C42*E$6</f>
        <v>2000.68207701925</v>
      </c>
      <c r="E42" s="25" t="n">
        <f aca="false">E$8-D42</f>
        <v>683.426038041449</v>
      </c>
      <c r="F42" s="127" t="n">
        <v>0</v>
      </c>
      <c r="G42" s="24" t="n">
        <f aca="false">C42-E42-F42</f>
        <v>479480.272446578</v>
      </c>
      <c r="I42" s="25" t="n">
        <f aca="false">I41+E42</f>
        <v>20519.7275534224</v>
      </c>
      <c r="J42" s="24" t="n">
        <f aca="false">J41+D42</f>
        <v>65371.7321285198</v>
      </c>
      <c r="M42" s="129"/>
      <c r="N42" s="129"/>
      <c r="O42" s="129"/>
      <c r="P42" s="129"/>
      <c r="Q42" s="129"/>
      <c r="R42" s="129"/>
      <c r="S42" s="129"/>
    </row>
    <row r="43" customFormat="false" ht="15" hidden="true" customHeight="false" outlineLevel="1" collapsed="false">
      <c r="B43" s="125" t="n">
        <v>45170</v>
      </c>
      <c r="C43" s="21" t="n">
        <f aca="false">G42</f>
        <v>479480.272446578</v>
      </c>
      <c r="D43" s="24" t="n">
        <f aca="false">C43*E$6</f>
        <v>1997.83446852741</v>
      </c>
      <c r="E43" s="25" t="n">
        <f aca="false">E$8-D43</f>
        <v>686.273646533289</v>
      </c>
      <c r="F43" s="127" t="n">
        <v>0</v>
      </c>
      <c r="G43" s="24" t="n">
        <f aca="false">C43-E43-F43</f>
        <v>478793.998800044</v>
      </c>
      <c r="I43" s="25" t="n">
        <f aca="false">I42+E43</f>
        <v>21206.0011999557</v>
      </c>
      <c r="J43" s="24" t="n">
        <f aca="false">J42+D43</f>
        <v>67369.5665970473</v>
      </c>
      <c r="M43" s="129"/>
      <c r="N43" s="129"/>
      <c r="O43" s="129"/>
      <c r="P43" s="129"/>
      <c r="Q43" s="129"/>
      <c r="R43" s="129"/>
      <c r="S43" s="129"/>
    </row>
    <row r="44" customFormat="false" ht="15" hidden="true" customHeight="false" outlineLevel="1" collapsed="false">
      <c r="B44" s="125" t="n">
        <v>45200</v>
      </c>
      <c r="C44" s="21" t="n">
        <f aca="false">G43</f>
        <v>478793.998800044</v>
      </c>
      <c r="D44" s="24" t="n">
        <f aca="false">C44*E$6</f>
        <v>1994.97499500018</v>
      </c>
      <c r="E44" s="25" t="n">
        <f aca="false">E$8-D44</f>
        <v>689.133120060511</v>
      </c>
      <c r="F44" s="127" t="n">
        <v>0</v>
      </c>
      <c r="G44" s="24" t="n">
        <f aca="false">C44-E44-F44</f>
        <v>478104.865679984</v>
      </c>
      <c r="I44" s="25" t="n">
        <f aca="false">I43+E44</f>
        <v>21895.1343200162</v>
      </c>
      <c r="J44" s="24" t="n">
        <f aca="false">J43+D44</f>
        <v>69364.5415920474</v>
      </c>
      <c r="M44" s="129"/>
      <c r="N44" s="129"/>
      <c r="O44" s="129"/>
      <c r="P44" s="129"/>
      <c r="Q44" s="129"/>
      <c r="R44" s="129"/>
      <c r="S44" s="129"/>
    </row>
    <row r="45" customFormat="false" ht="15" hidden="true" customHeight="false" outlineLevel="1" collapsed="false">
      <c r="B45" s="125" t="n">
        <v>45231</v>
      </c>
      <c r="C45" s="21" t="n">
        <f aca="false">G44</f>
        <v>478104.865679984</v>
      </c>
      <c r="D45" s="24" t="n">
        <f aca="false">C45*E$6</f>
        <v>1992.10360699993</v>
      </c>
      <c r="E45" s="25" t="n">
        <f aca="false">E$8-D45</f>
        <v>692.004508060763</v>
      </c>
      <c r="F45" s="127" t="n">
        <v>0</v>
      </c>
      <c r="G45" s="24" t="n">
        <f aca="false">C45-E45-F45</f>
        <v>477412.861171923</v>
      </c>
      <c r="I45" s="25" t="n">
        <f aca="false">I44+E45</f>
        <v>22587.138828077</v>
      </c>
      <c r="J45" s="24" t="n">
        <f aca="false">J44+D45</f>
        <v>71356.6451990474</v>
      </c>
      <c r="M45" s="129"/>
      <c r="N45" s="129"/>
      <c r="O45" s="129"/>
      <c r="P45" s="129"/>
      <c r="Q45" s="129"/>
      <c r="R45" s="129"/>
      <c r="S45" s="129"/>
    </row>
    <row r="46" customFormat="false" ht="15" hidden="true" customHeight="false" outlineLevel="1" collapsed="false">
      <c r="B46" s="125" t="n">
        <v>45261</v>
      </c>
      <c r="C46" s="21" t="n">
        <f aca="false">G45</f>
        <v>477412.861171923</v>
      </c>
      <c r="D46" s="24" t="n">
        <f aca="false">C46*E$6</f>
        <v>1989.22025488301</v>
      </c>
      <c r="E46" s="25" t="n">
        <f aca="false">E$8-D46</f>
        <v>694.887860177683</v>
      </c>
      <c r="F46" s="127" t="n">
        <v>0</v>
      </c>
      <c r="G46" s="24" t="n">
        <f aca="false">C46-E46-F46</f>
        <v>476717.973311745</v>
      </c>
      <c r="I46" s="25" t="n">
        <f aca="false">I45+E46</f>
        <v>23282.0266882547</v>
      </c>
      <c r="J46" s="24" t="n">
        <f aca="false">J45+D46</f>
        <v>73345.8654539304</v>
      </c>
      <c r="M46" s="129"/>
      <c r="N46" s="129"/>
      <c r="O46" s="129"/>
      <c r="P46" s="129"/>
      <c r="Q46" s="129"/>
      <c r="R46" s="129"/>
      <c r="S46" s="129"/>
    </row>
    <row r="47" customFormat="false" ht="15" hidden="true" customHeight="false" outlineLevel="1" collapsed="false">
      <c r="B47" s="125" t="n">
        <v>45292</v>
      </c>
      <c r="C47" s="21" t="n">
        <f aca="false">G46</f>
        <v>476717.973311745</v>
      </c>
      <c r="D47" s="24" t="n">
        <f aca="false">C47*E$6</f>
        <v>1986.32488879894</v>
      </c>
      <c r="E47" s="25" t="n">
        <f aca="false">E$8-D47</f>
        <v>697.783226261757</v>
      </c>
      <c r="F47" s="127" t="n">
        <v>0</v>
      </c>
      <c r="G47" s="24" t="n">
        <f aca="false">C47-E47-F47</f>
        <v>476020.190085484</v>
      </c>
      <c r="I47" s="25" t="n">
        <f aca="false">I46+E47</f>
        <v>23979.8099145164</v>
      </c>
      <c r="J47" s="24" t="n">
        <f aca="false">J46+D47</f>
        <v>75332.1903427293</v>
      </c>
      <c r="M47" s="129"/>
      <c r="N47" s="129"/>
      <c r="O47" s="129"/>
      <c r="P47" s="129"/>
      <c r="Q47" s="129"/>
      <c r="R47" s="129"/>
      <c r="S47" s="129"/>
    </row>
    <row r="48" customFormat="false" ht="15" hidden="true" customHeight="false" outlineLevel="1" collapsed="false">
      <c r="B48" s="125" t="n">
        <v>45323</v>
      </c>
      <c r="C48" s="21" t="n">
        <f aca="false">G47</f>
        <v>476020.190085484</v>
      </c>
      <c r="D48" s="24" t="n">
        <f aca="false">C48*E$6</f>
        <v>1983.41745868951</v>
      </c>
      <c r="E48" s="25" t="n">
        <f aca="false">E$8-D48</f>
        <v>700.690656371181</v>
      </c>
      <c r="F48" s="127" t="n">
        <v>0</v>
      </c>
      <c r="G48" s="24" t="n">
        <f aca="false">C48-E48-F48</f>
        <v>475319.499429112</v>
      </c>
      <c r="I48" s="25" t="n">
        <f aca="false">I47+E48</f>
        <v>24680.5005708876</v>
      </c>
      <c r="J48" s="24" t="n">
        <f aca="false">J47+D48</f>
        <v>77315.6078014188</v>
      </c>
      <c r="M48" s="129"/>
      <c r="N48" s="129"/>
      <c r="O48" s="129"/>
      <c r="P48" s="129"/>
      <c r="Q48" s="129"/>
      <c r="R48" s="129"/>
      <c r="S48" s="129"/>
    </row>
    <row r="49" customFormat="false" ht="15" hidden="true" customHeight="false" outlineLevel="1" collapsed="false">
      <c r="B49" s="125" t="n">
        <v>45352</v>
      </c>
      <c r="C49" s="21" t="n">
        <f aca="false">G48</f>
        <v>475319.499429112</v>
      </c>
      <c r="D49" s="24" t="n">
        <f aca="false">C49*E$6</f>
        <v>1980.49791428797</v>
      </c>
      <c r="E49" s="25" t="n">
        <f aca="false">E$8-D49</f>
        <v>703.610200772727</v>
      </c>
      <c r="F49" s="127" t="n">
        <v>0</v>
      </c>
      <c r="G49" s="24" t="n">
        <f aca="false">C49-E49-F49</f>
        <v>474615.88922834</v>
      </c>
      <c r="I49" s="25" t="n">
        <f aca="false">I48+E49</f>
        <v>25384.1107716603</v>
      </c>
      <c r="J49" s="24" t="n">
        <f aca="false">J48+D49</f>
        <v>79296.1057157068</v>
      </c>
      <c r="M49" s="129"/>
      <c r="N49" s="129"/>
      <c r="O49" s="129"/>
      <c r="P49" s="129"/>
      <c r="Q49" s="129"/>
      <c r="R49" s="129"/>
      <c r="S49" s="129"/>
    </row>
    <row r="50" customFormat="false" ht="15" hidden="true" customHeight="false" outlineLevel="1" collapsed="false">
      <c r="B50" s="125" t="n">
        <v>45383</v>
      </c>
      <c r="C50" s="21" t="n">
        <f aca="false">G49</f>
        <v>474615.88922834</v>
      </c>
      <c r="D50" s="24" t="n">
        <f aca="false">C50*E$6</f>
        <v>1977.56620511808</v>
      </c>
      <c r="E50" s="25" t="n">
        <f aca="false">E$8-D50</f>
        <v>706.541909942613</v>
      </c>
      <c r="F50" s="127" t="n">
        <v>0</v>
      </c>
      <c r="G50" s="24" t="n">
        <f aca="false">C50-E50-F50</f>
        <v>473909.347318397</v>
      </c>
      <c r="I50" s="25" t="n">
        <f aca="false">I49+E50</f>
        <v>26090.652681603</v>
      </c>
      <c r="J50" s="24" t="n">
        <f aca="false">J49+D50</f>
        <v>81273.6719208249</v>
      </c>
      <c r="M50" s="129"/>
      <c r="N50" s="129"/>
      <c r="O50" s="129"/>
      <c r="P50" s="129"/>
      <c r="Q50" s="129"/>
      <c r="R50" s="129"/>
      <c r="S50" s="129"/>
    </row>
    <row r="51" customFormat="false" ht="15" hidden="true" customHeight="false" outlineLevel="1" collapsed="false">
      <c r="B51" s="125" t="n">
        <v>45413</v>
      </c>
      <c r="C51" s="21" t="n">
        <f aca="false">G50</f>
        <v>473909.347318397</v>
      </c>
      <c r="D51" s="24" t="n">
        <f aca="false">C51*E$6</f>
        <v>1974.62228049332</v>
      </c>
      <c r="E51" s="25" t="n">
        <f aca="false">E$8-D51</f>
        <v>709.485834567374</v>
      </c>
      <c r="F51" s="127" t="n">
        <v>0</v>
      </c>
      <c r="G51" s="24" t="n">
        <f aca="false">C51-E51-F51</f>
        <v>473199.86148383</v>
      </c>
      <c r="I51" s="25" t="n">
        <f aca="false">I50+E51</f>
        <v>26800.1385161703</v>
      </c>
      <c r="J51" s="24" t="n">
        <f aca="false">J50+D51</f>
        <v>83248.2942013182</v>
      </c>
      <c r="M51" s="129"/>
      <c r="N51" s="129"/>
      <c r="O51" s="129"/>
      <c r="P51" s="129"/>
      <c r="Q51" s="129"/>
      <c r="R51" s="129"/>
      <c r="S51" s="129"/>
    </row>
    <row r="52" customFormat="false" ht="15" hidden="true" customHeight="false" outlineLevel="1" collapsed="false">
      <c r="B52" s="125" t="n">
        <v>45444</v>
      </c>
      <c r="C52" s="21" t="n">
        <f aca="false">G51</f>
        <v>473199.86148383</v>
      </c>
      <c r="D52" s="24" t="n">
        <f aca="false">C52*E$6</f>
        <v>1971.66608951596</v>
      </c>
      <c r="E52" s="25" t="n">
        <f aca="false">E$8-D52</f>
        <v>712.442025544739</v>
      </c>
      <c r="F52" s="127" t="n">
        <v>0</v>
      </c>
      <c r="G52" s="24" t="n">
        <f aca="false">C52-E52-F52</f>
        <v>472487.419458285</v>
      </c>
      <c r="I52" s="25" t="n">
        <f aca="false">I51+E52</f>
        <v>27512.5805417151</v>
      </c>
      <c r="J52" s="24" t="n">
        <f aca="false">J51+D52</f>
        <v>85219.9602908342</v>
      </c>
      <c r="M52" s="129"/>
      <c r="N52" s="129"/>
      <c r="O52" s="129"/>
      <c r="P52" s="129"/>
      <c r="Q52" s="129"/>
      <c r="R52" s="129"/>
      <c r="S52" s="129"/>
    </row>
    <row r="53" customFormat="false" ht="15" hidden="true" customHeight="false" outlineLevel="1" collapsed="false">
      <c r="B53" s="125" t="n">
        <v>45474</v>
      </c>
      <c r="C53" s="21" t="n">
        <f aca="false">G52</f>
        <v>472487.419458285</v>
      </c>
      <c r="D53" s="24" t="n">
        <f aca="false">C53*E$6</f>
        <v>1968.69758107619</v>
      </c>
      <c r="E53" s="25" t="n">
        <f aca="false">E$8-D53</f>
        <v>715.410533984508</v>
      </c>
      <c r="F53" s="127" t="n">
        <v>0</v>
      </c>
      <c r="G53" s="24" t="n">
        <f aca="false">C53-E53-F53</f>
        <v>471772.0089243</v>
      </c>
      <c r="I53" s="25" t="n">
        <f aca="false">I52+E53</f>
        <v>28227.9910756996</v>
      </c>
      <c r="J53" s="24" t="n">
        <f aca="false">J52+D53</f>
        <v>87188.6578719103</v>
      </c>
      <c r="M53" s="129"/>
      <c r="N53" s="129"/>
      <c r="O53" s="129"/>
      <c r="P53" s="129"/>
      <c r="Q53" s="129"/>
      <c r="R53" s="129"/>
      <c r="S53" s="129"/>
    </row>
    <row r="54" customFormat="false" ht="15" hidden="true" customHeight="false" outlineLevel="1" collapsed="false">
      <c r="B54" s="125" t="n">
        <v>45505</v>
      </c>
      <c r="C54" s="21" t="n">
        <f aca="false">G53</f>
        <v>471772.0089243</v>
      </c>
      <c r="D54" s="24" t="n">
        <f aca="false">C54*E$6</f>
        <v>1965.71670385125</v>
      </c>
      <c r="E54" s="25" t="n">
        <f aca="false">E$8-D54</f>
        <v>718.391411209444</v>
      </c>
      <c r="F54" s="127" t="n">
        <v>0</v>
      </c>
      <c r="G54" s="24" t="n">
        <f aca="false">C54-E54-F54</f>
        <v>471053.617513091</v>
      </c>
      <c r="I54" s="25" t="n">
        <f aca="false">I53+E54</f>
        <v>28946.382486909</v>
      </c>
      <c r="J54" s="24" t="n">
        <f aca="false">J53+D54</f>
        <v>89154.3745757616</v>
      </c>
      <c r="M54" s="129"/>
      <c r="N54" s="129"/>
      <c r="O54" s="129"/>
      <c r="P54" s="129"/>
      <c r="Q54" s="129"/>
      <c r="R54" s="129"/>
      <c r="S54" s="129"/>
    </row>
    <row r="55" customFormat="false" ht="15" hidden="true" customHeight="false" outlineLevel="1" collapsed="false">
      <c r="B55" s="125" t="n">
        <v>45536</v>
      </c>
      <c r="C55" s="21" t="n">
        <f aca="false">G54</f>
        <v>471053.617513091</v>
      </c>
      <c r="D55" s="24" t="n">
        <f aca="false">C55*E$6</f>
        <v>1962.72340630455</v>
      </c>
      <c r="E55" s="25" t="n">
        <f aca="false">E$8-D55</f>
        <v>721.38470875615</v>
      </c>
      <c r="F55" s="127" t="n">
        <v>0</v>
      </c>
      <c r="G55" s="24" t="n">
        <f aca="false">C55-E55-F55</f>
        <v>470332.232804335</v>
      </c>
      <c r="I55" s="25" t="n">
        <f aca="false">I54+E55</f>
        <v>29667.7671956652</v>
      </c>
      <c r="J55" s="24" t="n">
        <f aca="false">J54+D55</f>
        <v>91117.0979820662</v>
      </c>
      <c r="M55" s="129"/>
      <c r="N55" s="129"/>
      <c r="O55" s="129"/>
      <c r="P55" s="129"/>
      <c r="Q55" s="129"/>
      <c r="R55" s="129"/>
      <c r="S55" s="129"/>
    </row>
    <row r="56" customFormat="false" ht="15" hidden="true" customHeight="false" outlineLevel="1" collapsed="false">
      <c r="B56" s="125" t="n">
        <v>45566</v>
      </c>
      <c r="C56" s="21" t="n">
        <f aca="false">G55</f>
        <v>470332.232804335</v>
      </c>
      <c r="D56" s="24" t="n">
        <f aca="false">C56*E$6</f>
        <v>1959.71763668473</v>
      </c>
      <c r="E56" s="25" t="n">
        <f aca="false">E$8-D56</f>
        <v>724.390478375967</v>
      </c>
      <c r="F56" s="127" t="n">
        <v>0</v>
      </c>
      <c r="G56" s="24" t="n">
        <f aca="false">C56-E56-F56</f>
        <v>469607.842325959</v>
      </c>
      <c r="I56" s="25" t="n">
        <f aca="false">I55+E56</f>
        <v>30392.1576740411</v>
      </c>
      <c r="J56" s="24" t="n">
        <f aca="false">J55+D56</f>
        <v>93076.8156187509</v>
      </c>
      <c r="M56" s="129"/>
      <c r="N56" s="129"/>
      <c r="O56" s="129"/>
      <c r="P56" s="129"/>
      <c r="Q56" s="129"/>
      <c r="R56" s="129"/>
      <c r="S56" s="129"/>
    </row>
    <row r="57" customFormat="false" ht="15" hidden="true" customHeight="false" outlineLevel="1" collapsed="false">
      <c r="B57" s="125" t="n">
        <v>45597</v>
      </c>
      <c r="C57" s="21" t="n">
        <f aca="false">G56</f>
        <v>469607.842325959</v>
      </c>
      <c r="D57" s="24" t="n">
        <f aca="false">C57*E$6</f>
        <v>1956.69934302483</v>
      </c>
      <c r="E57" s="25" t="n">
        <f aca="false">E$8-D57</f>
        <v>727.408772035867</v>
      </c>
      <c r="F57" s="127" t="n">
        <v>0</v>
      </c>
      <c r="G57" s="24" t="n">
        <f aca="false">C57-E57-F57</f>
        <v>468880.433553923</v>
      </c>
      <c r="I57" s="25" t="n">
        <f aca="false">I56+E57</f>
        <v>31119.566446077</v>
      </c>
      <c r="J57" s="24" t="n">
        <f aca="false">J56+D57</f>
        <v>95033.5149617757</v>
      </c>
      <c r="M57" s="129"/>
      <c r="N57" s="129"/>
      <c r="O57" s="129"/>
      <c r="P57" s="129"/>
      <c r="Q57" s="129"/>
      <c r="R57" s="129"/>
      <c r="S57" s="129"/>
    </row>
    <row r="58" customFormat="false" ht="15" hidden="true" customHeight="false" outlineLevel="1" collapsed="false">
      <c r="B58" s="125" t="n">
        <v>45627</v>
      </c>
      <c r="C58" s="21" t="n">
        <f aca="false">G57</f>
        <v>468880.433553923</v>
      </c>
      <c r="D58" s="24" t="n">
        <f aca="false">C58*E$6</f>
        <v>1953.66847314135</v>
      </c>
      <c r="E58" s="25" t="n">
        <f aca="false">E$8-D58</f>
        <v>730.43964191935</v>
      </c>
      <c r="F58" s="127" t="n">
        <v>0</v>
      </c>
      <c r="G58" s="24" t="n">
        <f aca="false">C58-E58-F58</f>
        <v>468149.993912004</v>
      </c>
      <c r="I58" s="25" t="n">
        <f aca="false">I57+E58</f>
        <v>31850.0060879964</v>
      </c>
      <c r="J58" s="24" t="n">
        <f aca="false">J57+D58</f>
        <v>96987.183434917</v>
      </c>
      <c r="M58" s="129"/>
      <c r="N58" s="129"/>
      <c r="O58" s="129"/>
      <c r="P58" s="129"/>
      <c r="Q58" s="129"/>
      <c r="R58" s="129"/>
      <c r="S58" s="129"/>
    </row>
    <row r="59" customFormat="false" ht="15" hidden="true" customHeight="false" outlineLevel="1" collapsed="false">
      <c r="B59" s="125" t="n">
        <v>45658</v>
      </c>
      <c r="C59" s="21" t="n">
        <f aca="false">G58</f>
        <v>468149.993912004</v>
      </c>
      <c r="D59" s="24" t="n">
        <f aca="false">C59*E$6</f>
        <v>1950.62497463335</v>
      </c>
      <c r="E59" s="25" t="n">
        <f aca="false">E$8-D59</f>
        <v>733.483140427347</v>
      </c>
      <c r="F59" s="127" t="n">
        <v>0</v>
      </c>
      <c r="G59" s="24" t="n">
        <f aca="false">C59-E59-F59</f>
        <v>467416.510771576</v>
      </c>
      <c r="I59" s="25" t="n">
        <f aca="false">I58+E59</f>
        <v>32583.4892284237</v>
      </c>
      <c r="J59" s="24" t="n">
        <f aca="false">J58+D59</f>
        <v>98937.8084095504</v>
      </c>
      <c r="M59" s="129"/>
      <c r="N59" s="129"/>
      <c r="O59" s="129"/>
      <c r="P59" s="129"/>
      <c r="Q59" s="129"/>
      <c r="R59" s="129"/>
      <c r="S59" s="129"/>
    </row>
    <row r="60" customFormat="false" ht="15" hidden="true" customHeight="false" outlineLevel="1" collapsed="false">
      <c r="B60" s="125" t="n">
        <v>45689</v>
      </c>
      <c r="C60" s="21" t="n">
        <f aca="false">G59</f>
        <v>467416.510771576</v>
      </c>
      <c r="D60" s="24" t="n">
        <f aca="false">C60*E$6</f>
        <v>1947.56879488157</v>
      </c>
      <c r="E60" s="25" t="n">
        <f aca="false">E$8-D60</f>
        <v>736.539320179127</v>
      </c>
      <c r="F60" s="127" t="n">
        <v>0</v>
      </c>
      <c r="G60" s="24" t="n">
        <f aca="false">C60-E60-F60</f>
        <v>466679.971451397</v>
      </c>
      <c r="I60" s="25" t="n">
        <f aca="false">I59+E60</f>
        <v>33320.0285486028</v>
      </c>
      <c r="J60" s="24" t="n">
        <f aca="false">J59+D60</f>
        <v>100885.377204432</v>
      </c>
      <c r="M60" s="129"/>
      <c r="N60" s="129"/>
      <c r="O60" s="129"/>
      <c r="P60" s="129"/>
      <c r="Q60" s="129"/>
      <c r="R60" s="129"/>
      <c r="S60" s="129"/>
    </row>
    <row r="61" customFormat="false" ht="15" hidden="true" customHeight="false" outlineLevel="1" collapsed="false">
      <c r="B61" s="125" t="n">
        <v>45717</v>
      </c>
      <c r="C61" s="21" t="n">
        <f aca="false">G60</f>
        <v>466679.971451397</v>
      </c>
      <c r="D61" s="24" t="n">
        <f aca="false">C61*E$6</f>
        <v>1944.49988104749</v>
      </c>
      <c r="E61" s="25" t="n">
        <f aca="false">E$8-D61</f>
        <v>739.608234013207</v>
      </c>
      <c r="F61" s="127" t="n">
        <v>0</v>
      </c>
      <c r="G61" s="24" t="n">
        <f aca="false">C61-E61-F61</f>
        <v>465940.363217384</v>
      </c>
      <c r="I61" s="25" t="n">
        <f aca="false">I60+E61</f>
        <v>34059.636782616</v>
      </c>
      <c r="J61" s="24" t="n">
        <f aca="false">J60+D61</f>
        <v>102829.877085479</v>
      </c>
      <c r="M61" s="129"/>
      <c r="N61" s="129"/>
      <c r="O61" s="129"/>
      <c r="P61" s="129"/>
      <c r="Q61" s="129"/>
      <c r="R61" s="129"/>
      <c r="S61" s="129"/>
    </row>
    <row r="62" customFormat="false" ht="15" hidden="true" customHeight="false" outlineLevel="1" collapsed="false">
      <c r="B62" s="125" t="n">
        <v>45748</v>
      </c>
      <c r="C62" s="21" t="n">
        <f aca="false">G61</f>
        <v>465940.363217384</v>
      </c>
      <c r="D62" s="24" t="n">
        <f aca="false">C62*E$6</f>
        <v>1941.41818007243</v>
      </c>
      <c r="E62" s="25" t="n">
        <f aca="false">E$8-D62</f>
        <v>742.689934988262</v>
      </c>
      <c r="F62" s="127" t="n">
        <v>0</v>
      </c>
      <c r="G62" s="24" t="n">
        <f aca="false">C62-E62-F62</f>
        <v>465197.673282396</v>
      </c>
      <c r="I62" s="25" t="n">
        <f aca="false">I61+E62</f>
        <v>34802.3267176043</v>
      </c>
      <c r="J62" s="24" t="n">
        <f aca="false">J61+D62</f>
        <v>104771.295265552</v>
      </c>
      <c r="M62" s="129"/>
      <c r="N62" s="129"/>
      <c r="O62" s="129"/>
      <c r="P62" s="129"/>
      <c r="Q62" s="129"/>
      <c r="R62" s="129"/>
      <c r="S62" s="129"/>
    </row>
    <row r="63" customFormat="false" ht="15" hidden="true" customHeight="false" outlineLevel="1" collapsed="false">
      <c r="B63" s="125" t="n">
        <v>45778</v>
      </c>
      <c r="C63" s="21" t="n">
        <f aca="false">G62</f>
        <v>465197.673282396</v>
      </c>
      <c r="D63" s="24" t="n">
        <f aca="false">C63*E$6</f>
        <v>1938.32363867665</v>
      </c>
      <c r="E63" s="25" t="n">
        <f aca="false">E$8-D63</f>
        <v>745.784476384047</v>
      </c>
      <c r="F63" s="127" t="n">
        <v>0</v>
      </c>
      <c r="G63" s="24" t="n">
        <f aca="false">C63-E63-F63</f>
        <v>464451.888806012</v>
      </c>
      <c r="I63" s="25" t="n">
        <f aca="false">I62+E63</f>
        <v>35548.1111939883</v>
      </c>
      <c r="J63" s="24" t="n">
        <f aca="false">J62+D63</f>
        <v>106709.618904229</v>
      </c>
      <c r="M63" s="129"/>
      <c r="N63" s="129"/>
      <c r="O63" s="129"/>
      <c r="P63" s="129"/>
      <c r="Q63" s="129"/>
      <c r="R63" s="129"/>
      <c r="S63" s="129"/>
    </row>
    <row r="64" customFormat="false" ht="15" hidden="true" customHeight="false" outlineLevel="1" collapsed="false">
      <c r="B64" s="125" t="n">
        <v>45809</v>
      </c>
      <c r="C64" s="21" t="n">
        <f aca="false">G63</f>
        <v>464451.888806012</v>
      </c>
      <c r="D64" s="24" t="n">
        <f aca="false">C64*E$6</f>
        <v>1935.21620335838</v>
      </c>
      <c r="E64" s="25" t="n">
        <f aca="false">E$8-D64</f>
        <v>748.891911702313</v>
      </c>
      <c r="F64" s="127" t="n">
        <v>0</v>
      </c>
      <c r="G64" s="24" t="n">
        <f aca="false">C64-E64-F64</f>
        <v>463702.996894309</v>
      </c>
      <c r="I64" s="25" t="n">
        <f aca="false">I63+E64</f>
        <v>36297.0031056907</v>
      </c>
      <c r="J64" s="24" t="n">
        <f aca="false">J63+D64</f>
        <v>108644.835107587</v>
      </c>
      <c r="M64" s="129"/>
      <c r="N64" s="129"/>
      <c r="O64" s="129"/>
      <c r="P64" s="129"/>
      <c r="Q64" s="129"/>
      <c r="R64" s="129"/>
      <c r="S64" s="129"/>
    </row>
    <row r="65" customFormat="false" ht="15" hidden="true" customHeight="false" outlineLevel="1" collapsed="false">
      <c r="B65" s="125" t="n">
        <v>45839</v>
      </c>
      <c r="C65" s="21" t="n">
        <f aca="false">G64</f>
        <v>463702.996894309</v>
      </c>
      <c r="D65" s="24" t="n">
        <f aca="false">C65*E$6</f>
        <v>1932.09582039296</v>
      </c>
      <c r="E65" s="25" t="n">
        <f aca="false">E$8-D65</f>
        <v>752.01229466774</v>
      </c>
      <c r="F65" s="127" t="n">
        <v>0</v>
      </c>
      <c r="G65" s="24" t="n">
        <f aca="false">C65-E65-F65</f>
        <v>462950.984599642</v>
      </c>
      <c r="I65" s="25" t="n">
        <f aca="false">I64+E65</f>
        <v>37049.0154003584</v>
      </c>
      <c r="J65" s="24" t="n">
        <f aca="false">J64+D65</f>
        <v>110576.93092798</v>
      </c>
      <c r="M65" s="129"/>
      <c r="N65" s="129"/>
      <c r="O65" s="129"/>
      <c r="P65" s="129"/>
      <c r="Q65" s="129"/>
      <c r="R65" s="129"/>
      <c r="S65" s="129"/>
    </row>
    <row r="66" customFormat="false" ht="15" hidden="true" customHeight="false" outlineLevel="1" collapsed="false">
      <c r="B66" s="125" t="n">
        <v>45870</v>
      </c>
      <c r="C66" s="21" t="n">
        <f aca="false">G65</f>
        <v>462950.984599642</v>
      </c>
      <c r="D66" s="24" t="n">
        <f aca="false">C66*E$6</f>
        <v>1928.96243583184</v>
      </c>
      <c r="E66" s="25" t="n">
        <f aca="false">E$8-D66</f>
        <v>755.145679228855</v>
      </c>
      <c r="F66" s="127" t="n">
        <v>0</v>
      </c>
      <c r="G66" s="24" t="n">
        <f aca="false">C66-E66-F66</f>
        <v>462195.838920413</v>
      </c>
      <c r="I66" s="25" t="n">
        <f aca="false">I65+E66</f>
        <v>37804.1610795872</v>
      </c>
      <c r="J66" s="24" t="n">
        <f aca="false">J65+D66</f>
        <v>112505.893363812</v>
      </c>
      <c r="M66" s="129"/>
      <c r="N66" s="129"/>
      <c r="O66" s="129"/>
      <c r="P66" s="129"/>
      <c r="Q66" s="129"/>
      <c r="R66" s="129"/>
      <c r="S66" s="129"/>
    </row>
    <row r="67" customFormat="false" ht="15" hidden="true" customHeight="false" outlineLevel="1" collapsed="false">
      <c r="B67" s="125" t="n">
        <v>45901</v>
      </c>
      <c r="C67" s="21" t="n">
        <f aca="false">G66</f>
        <v>462195.838920413</v>
      </c>
      <c r="D67" s="24" t="n">
        <f aca="false">C67*E$6</f>
        <v>1925.81599550172</v>
      </c>
      <c r="E67" s="25" t="n">
        <f aca="false">E$8-D67</f>
        <v>758.292119558975</v>
      </c>
      <c r="F67" s="127" t="n">
        <v>0</v>
      </c>
      <c r="G67" s="24" t="n">
        <f aca="false">C67-E67-F67</f>
        <v>461437.546800854</v>
      </c>
      <c r="I67" s="25" t="n">
        <f aca="false">I66+E67</f>
        <v>38562.4531991462</v>
      </c>
      <c r="J67" s="24" t="n">
        <f aca="false">J66+D67</f>
        <v>114431.709359313</v>
      </c>
      <c r="M67" s="129"/>
      <c r="N67" s="129"/>
      <c r="O67" s="129"/>
      <c r="P67" s="129"/>
      <c r="Q67" s="129"/>
      <c r="R67" s="129"/>
      <c r="S67" s="129"/>
    </row>
    <row r="68" customFormat="false" ht="15" hidden="true" customHeight="false" outlineLevel="1" collapsed="false">
      <c r="B68" s="125" t="n">
        <v>45931</v>
      </c>
      <c r="C68" s="21" t="n">
        <f aca="false">G67</f>
        <v>461437.546800854</v>
      </c>
      <c r="D68" s="24" t="n">
        <f aca="false">C68*E$6</f>
        <v>1922.65644500356</v>
      </c>
      <c r="E68" s="25" t="n">
        <f aca="false">E$8-D68</f>
        <v>761.451670057138</v>
      </c>
      <c r="F68" s="127" t="n">
        <v>0</v>
      </c>
      <c r="G68" s="24" t="n">
        <f aca="false">C68-E68-F68</f>
        <v>460676.095130797</v>
      </c>
      <c r="I68" s="25" t="n">
        <f aca="false">I67+E68</f>
        <v>39323.9048692034</v>
      </c>
      <c r="J68" s="24" t="n">
        <f aca="false">J67+D68</f>
        <v>116354.365804317</v>
      </c>
      <c r="M68" s="129"/>
      <c r="N68" s="129"/>
      <c r="O68" s="129"/>
      <c r="P68" s="129"/>
      <c r="Q68" s="129"/>
      <c r="R68" s="129"/>
      <c r="S68" s="129"/>
    </row>
    <row r="69" customFormat="false" ht="15" hidden="true" customHeight="false" outlineLevel="1" collapsed="false">
      <c r="B69" s="125" t="n">
        <v>45962</v>
      </c>
      <c r="C69" s="21" t="n">
        <f aca="false">G68</f>
        <v>460676.095130797</v>
      </c>
      <c r="D69" s="24" t="n">
        <f aca="false">C69*E$6</f>
        <v>1919.48372971165</v>
      </c>
      <c r="E69" s="25" t="n">
        <f aca="false">E$8-D69</f>
        <v>764.624385349042</v>
      </c>
      <c r="F69" s="127" t="n">
        <v>0</v>
      </c>
      <c r="G69" s="24" t="n">
        <f aca="false">C69-E69-F69</f>
        <v>459911.470745448</v>
      </c>
      <c r="I69" s="25" t="n">
        <f aca="false">I68+E69</f>
        <v>40088.5292545524</v>
      </c>
      <c r="J69" s="24" t="n">
        <f aca="false">J68+D69</f>
        <v>118273.849534029</v>
      </c>
      <c r="M69" s="129"/>
      <c r="N69" s="129"/>
      <c r="O69" s="129"/>
      <c r="P69" s="129"/>
      <c r="Q69" s="129"/>
      <c r="R69" s="129"/>
      <c r="S69" s="129"/>
    </row>
    <row r="70" customFormat="false" ht="15" hidden="false" customHeight="false" outlineLevel="0" collapsed="false">
      <c r="A70" s="0" t="s">
        <v>63</v>
      </c>
      <c r="B70" s="125" t="n">
        <v>45992</v>
      </c>
      <c r="C70" s="21" t="n">
        <f aca="false">G69</f>
        <v>459911.470745448</v>
      </c>
      <c r="D70" s="24" t="n">
        <f aca="false">C70*E$6</f>
        <v>1916.2977947727</v>
      </c>
      <c r="E70" s="25" t="n">
        <f aca="false">E$8-D70</f>
        <v>767.810320287997</v>
      </c>
      <c r="F70" s="126" t="n">
        <v>0</v>
      </c>
      <c r="G70" s="24" t="n">
        <f aca="false">C70-E70-F70</f>
        <v>459143.66042516</v>
      </c>
      <c r="I70" s="25" t="n">
        <f aca="false">I69+E70</f>
        <v>40856.3395748404</v>
      </c>
      <c r="J70" s="24" t="n">
        <f aca="false">J69+D70</f>
        <v>120190.147328801</v>
      </c>
      <c r="M70" s="129"/>
      <c r="N70" s="129"/>
      <c r="O70" s="129"/>
      <c r="P70" s="129"/>
      <c r="Q70" s="129"/>
      <c r="R70" s="129"/>
      <c r="S70" s="129"/>
    </row>
    <row r="71" customFormat="false" ht="15" hidden="true" customHeight="false" outlineLevel="1" collapsed="false">
      <c r="B71" s="125" t="n">
        <v>46023</v>
      </c>
      <c r="C71" s="21" t="n">
        <f aca="false">G70</f>
        <v>459143.66042516</v>
      </c>
      <c r="D71" s="24" t="n">
        <f aca="false">C71*E$6</f>
        <v>1913.09858510483</v>
      </c>
      <c r="E71" s="25" t="n">
        <f aca="false">E$8-D71</f>
        <v>771.009529955863</v>
      </c>
      <c r="F71" s="127" t="n">
        <v>0</v>
      </c>
      <c r="G71" s="24" t="n">
        <f aca="false">C71-E71-F71</f>
        <v>458372.650895204</v>
      </c>
      <c r="I71" s="25" t="n">
        <f aca="false">I70+E71</f>
        <v>41627.3491047963</v>
      </c>
      <c r="J71" s="24" t="n">
        <f aca="false">J70+D71</f>
        <v>122103.245913906</v>
      </c>
    </row>
    <row r="72" customFormat="false" ht="15" hidden="true" customHeight="false" outlineLevel="1" collapsed="false">
      <c r="B72" s="125" t="n">
        <v>46054</v>
      </c>
      <c r="C72" s="21" t="n">
        <f aca="false">G71</f>
        <v>458372.650895204</v>
      </c>
      <c r="D72" s="24" t="n">
        <f aca="false">C72*E$6</f>
        <v>1909.88604539668</v>
      </c>
      <c r="E72" s="25" t="n">
        <f aca="false">E$8-D72</f>
        <v>774.222069664013</v>
      </c>
      <c r="F72" s="126" t="n">
        <v>0</v>
      </c>
      <c r="G72" s="24" t="n">
        <f aca="false">C72-E72-F72</f>
        <v>457598.42882554</v>
      </c>
      <c r="I72" s="25" t="n">
        <f aca="false">I71+E72</f>
        <v>42401.5711744603</v>
      </c>
      <c r="J72" s="24" t="n">
        <f aca="false">J71+D72</f>
        <v>124013.131959303</v>
      </c>
    </row>
    <row r="73" customFormat="false" ht="15" hidden="true" customHeight="false" outlineLevel="1" collapsed="false">
      <c r="B73" s="125" t="n">
        <v>46082</v>
      </c>
      <c r="C73" s="21" t="n">
        <f aca="false">G72</f>
        <v>457598.42882554</v>
      </c>
      <c r="D73" s="24" t="n">
        <f aca="false">C73*E$6</f>
        <v>1906.66012010642</v>
      </c>
      <c r="E73" s="25" t="n">
        <f aca="false">E$8-D73</f>
        <v>777.44799495428</v>
      </c>
      <c r="F73" s="127" t="n">
        <v>0</v>
      </c>
      <c r="G73" s="24" t="n">
        <f aca="false">C73-E73-F73</f>
        <v>456820.980830585</v>
      </c>
      <c r="I73" s="25" t="n">
        <f aca="false">I72+E73</f>
        <v>43179.0191694146</v>
      </c>
      <c r="J73" s="24" t="n">
        <f aca="false">J72+D73</f>
        <v>125919.792079409</v>
      </c>
    </row>
    <row r="74" customFormat="false" ht="15" hidden="true" customHeight="false" outlineLevel="1" collapsed="false">
      <c r="B74" s="125" t="n">
        <v>46113</v>
      </c>
      <c r="C74" s="21" t="n">
        <f aca="false">G73</f>
        <v>456820.980830585</v>
      </c>
      <c r="D74" s="24" t="n">
        <f aca="false">C74*E$6</f>
        <v>1903.42075346077</v>
      </c>
      <c r="E74" s="25" t="n">
        <f aca="false">E$8-D74</f>
        <v>780.687361599922</v>
      </c>
      <c r="F74" s="126" t="n">
        <v>0</v>
      </c>
      <c r="G74" s="24" t="n">
        <f aca="false">C74-E74-F74</f>
        <v>456040.293468986</v>
      </c>
      <c r="I74" s="25" t="n">
        <f aca="false">I73+E74</f>
        <v>43959.7065310145</v>
      </c>
      <c r="J74" s="24" t="n">
        <f aca="false">J73+D74</f>
        <v>127823.21283287</v>
      </c>
    </row>
    <row r="75" customFormat="false" ht="15" hidden="true" customHeight="false" outlineLevel="1" collapsed="false">
      <c r="B75" s="125" t="n">
        <v>46143</v>
      </c>
      <c r="C75" s="21" t="n">
        <f aca="false">G74</f>
        <v>456040.293468986</v>
      </c>
      <c r="D75" s="24" t="n">
        <f aca="false">C75*E$6</f>
        <v>1900.16788945411</v>
      </c>
      <c r="E75" s="25" t="n">
        <f aca="false">E$8-D75</f>
        <v>783.940225606589</v>
      </c>
      <c r="F75" s="127" t="n">
        <v>0</v>
      </c>
      <c r="G75" s="24" t="n">
        <f aca="false">C75-E75-F75</f>
        <v>455256.353243379</v>
      </c>
      <c r="I75" s="25" t="n">
        <f aca="false">I74+E75</f>
        <v>44743.6467566211</v>
      </c>
      <c r="J75" s="24" t="n">
        <f aca="false">J74+D75</f>
        <v>129723.380722324</v>
      </c>
    </row>
    <row r="76" customFormat="false" ht="15" hidden="true" customHeight="false" outlineLevel="1" collapsed="false">
      <c r="B76" s="125" t="n">
        <v>46174</v>
      </c>
      <c r="C76" s="21" t="n">
        <f aca="false">G75</f>
        <v>455256.353243379</v>
      </c>
      <c r="D76" s="24" t="n">
        <f aca="false">C76*E$6</f>
        <v>1896.90147184741</v>
      </c>
      <c r="E76" s="25" t="n">
        <f aca="false">E$8-D76</f>
        <v>787.206643213283</v>
      </c>
      <c r="F76" s="126" t="n">
        <v>0</v>
      </c>
      <c r="G76" s="24" t="n">
        <f aca="false">C76-E76-F76</f>
        <v>454469.146600166</v>
      </c>
      <c r="I76" s="25" t="n">
        <f aca="false">I75+E76</f>
        <v>45530.8533998344</v>
      </c>
      <c r="J76" s="24" t="n">
        <f aca="false">J75+D76</f>
        <v>131620.282194172</v>
      </c>
    </row>
    <row r="77" customFormat="false" ht="15" hidden="true" customHeight="false" outlineLevel="1" collapsed="false">
      <c r="B77" s="125" t="n">
        <v>46204</v>
      </c>
      <c r="C77" s="21" t="n">
        <f aca="false">G76</f>
        <v>454469.146600166</v>
      </c>
      <c r="D77" s="24" t="n">
        <f aca="false">C77*E$6</f>
        <v>1893.62144416736</v>
      </c>
      <c r="E77" s="25" t="n">
        <f aca="false">E$8-D77</f>
        <v>790.486670893338</v>
      </c>
      <c r="F77" s="127" t="n">
        <v>0</v>
      </c>
      <c r="G77" s="24" t="n">
        <f aca="false">C77-E77-F77</f>
        <v>453678.659929272</v>
      </c>
      <c r="I77" s="25" t="n">
        <f aca="false">I76+E77</f>
        <v>46321.3400707277</v>
      </c>
      <c r="J77" s="24" t="n">
        <f aca="false">J76+D77</f>
        <v>133513.903638339</v>
      </c>
    </row>
    <row r="78" customFormat="false" ht="15" hidden="true" customHeight="false" outlineLevel="1" collapsed="false">
      <c r="B78" s="125" t="n">
        <v>46235</v>
      </c>
      <c r="C78" s="21" t="n">
        <f aca="false">G77</f>
        <v>453678.659929272</v>
      </c>
      <c r="D78" s="24" t="n">
        <f aca="false">C78*E$6</f>
        <v>1890.3277497053</v>
      </c>
      <c r="E78" s="25" t="n">
        <f aca="false">E$8-D78</f>
        <v>793.780365355394</v>
      </c>
      <c r="F78" s="126" t="n">
        <v>0</v>
      </c>
      <c r="G78" s="24" t="n">
        <f aca="false">C78-E78-F78</f>
        <v>452884.879563917</v>
      </c>
      <c r="I78" s="25" t="n">
        <f aca="false">I77+E78</f>
        <v>47115.1204360831</v>
      </c>
      <c r="J78" s="24" t="n">
        <f aca="false">J77+D78</f>
        <v>135404.231388044</v>
      </c>
    </row>
    <row r="79" customFormat="false" ht="15" hidden="true" customHeight="false" outlineLevel="1" collapsed="false">
      <c r="B79" s="125" t="n">
        <v>46266</v>
      </c>
      <c r="C79" s="21" t="n">
        <f aca="false">G78</f>
        <v>452884.879563917</v>
      </c>
      <c r="D79" s="24" t="n">
        <f aca="false">C79*E$6</f>
        <v>1887.02033151632</v>
      </c>
      <c r="E79" s="25" t="n">
        <f aca="false">E$8-D79</f>
        <v>797.087783544375</v>
      </c>
      <c r="F79" s="127" t="n">
        <v>0</v>
      </c>
      <c r="G79" s="24" t="n">
        <f aca="false">C79-E79-F79</f>
        <v>452087.791780373</v>
      </c>
      <c r="I79" s="25" t="n">
        <f aca="false">I78+E79</f>
        <v>47912.2082196275</v>
      </c>
      <c r="J79" s="24" t="n">
        <f aca="false">J78+D79</f>
        <v>137291.251719561</v>
      </c>
    </row>
    <row r="80" customFormat="false" ht="15" hidden="true" customHeight="false" outlineLevel="1" collapsed="false">
      <c r="B80" s="125" t="n">
        <v>46296</v>
      </c>
      <c r="C80" s="21" t="n">
        <f aca="false">G79</f>
        <v>452087.791780373</v>
      </c>
      <c r="D80" s="24" t="n">
        <f aca="false">C80*E$6</f>
        <v>1883.69913241822</v>
      </c>
      <c r="E80" s="25" t="n">
        <f aca="false">E$8-D80</f>
        <v>800.408982642476</v>
      </c>
      <c r="F80" s="126" t="n">
        <v>0</v>
      </c>
      <c r="G80" s="24" t="n">
        <f aca="false">C80-E80-F80</f>
        <v>451287.38279773</v>
      </c>
      <c r="I80" s="25" t="n">
        <f aca="false">I79+E80</f>
        <v>48712.6172022699</v>
      </c>
      <c r="J80" s="24" t="n">
        <f aca="false">J79+D80</f>
        <v>139174.950851979</v>
      </c>
    </row>
    <row r="81" customFormat="false" ht="15" hidden="true" customHeight="false" outlineLevel="1" collapsed="false">
      <c r="B81" s="125" t="n">
        <v>46327</v>
      </c>
      <c r="C81" s="21" t="n">
        <f aca="false">G80</f>
        <v>451287.38279773</v>
      </c>
      <c r="D81" s="24" t="n">
        <f aca="false">C81*E$6</f>
        <v>1880.36409499054</v>
      </c>
      <c r="E81" s="25" t="n">
        <f aca="false">E$8-D81</f>
        <v>803.744020070153</v>
      </c>
      <c r="F81" s="127" t="n">
        <v>0</v>
      </c>
      <c r="G81" s="24" t="n">
        <f aca="false">C81-E81-F81</f>
        <v>450483.63877766</v>
      </c>
      <c r="I81" s="25" t="n">
        <f aca="false">I80+E81</f>
        <v>49516.3612223401</v>
      </c>
      <c r="J81" s="24" t="n">
        <f aca="false">J80+D81</f>
        <v>141055.314946969</v>
      </c>
    </row>
    <row r="82" customFormat="false" ht="15" hidden="true" customHeight="false" outlineLevel="1" collapsed="false">
      <c r="B82" s="125" t="n">
        <v>46357</v>
      </c>
      <c r="C82" s="21" t="n">
        <f aca="false">G81</f>
        <v>450483.63877766</v>
      </c>
      <c r="D82" s="24" t="n">
        <f aca="false">C82*E$6</f>
        <v>1877.01516157358</v>
      </c>
      <c r="E82" s="25" t="n">
        <f aca="false">E$8-D82</f>
        <v>807.092953487112</v>
      </c>
      <c r="F82" s="126" t="n">
        <v>0</v>
      </c>
      <c r="G82" s="24" t="n">
        <f aca="false">C82-E82-F82</f>
        <v>449676.545824173</v>
      </c>
      <c r="I82" s="25" t="n">
        <f aca="false">I81+E82</f>
        <v>50323.4541758272</v>
      </c>
      <c r="J82" s="24" t="n">
        <f aca="false">J81+D82</f>
        <v>142932.330108543</v>
      </c>
    </row>
    <row r="83" customFormat="false" ht="15" hidden="true" customHeight="false" outlineLevel="1" collapsed="false">
      <c r="B83" s="125" t="n">
        <v>46388</v>
      </c>
      <c r="C83" s="21" t="n">
        <f aca="false">G82</f>
        <v>449676.545824173</v>
      </c>
      <c r="D83" s="24" t="n">
        <f aca="false">C83*E$6</f>
        <v>1873.65227426739</v>
      </c>
      <c r="E83" s="25" t="n">
        <f aca="false">E$8-D83</f>
        <v>810.455840793308</v>
      </c>
      <c r="F83" s="127" t="n">
        <v>0</v>
      </c>
      <c r="G83" s="24" t="n">
        <f aca="false">C83-E83-F83</f>
        <v>448866.08998338</v>
      </c>
      <c r="I83" s="25" t="n">
        <f aca="false">I82+E83</f>
        <v>51133.9100166205</v>
      </c>
      <c r="J83" s="24" t="n">
        <f aca="false">J82+D83</f>
        <v>144805.98238281</v>
      </c>
    </row>
    <row r="84" customFormat="false" ht="15" hidden="true" customHeight="false" outlineLevel="1" collapsed="false">
      <c r="B84" s="125" t="n">
        <v>46419</v>
      </c>
      <c r="C84" s="21" t="n">
        <f aca="false">G83</f>
        <v>448866.08998338</v>
      </c>
      <c r="D84" s="24" t="n">
        <f aca="false">C84*E$6</f>
        <v>1870.27537493075</v>
      </c>
      <c r="E84" s="25" t="n">
        <f aca="false">E$8-D84</f>
        <v>813.832740129947</v>
      </c>
      <c r="F84" s="126" t="n">
        <v>0</v>
      </c>
      <c r="G84" s="24" t="n">
        <f aca="false">C84-E84-F84</f>
        <v>448052.25724325</v>
      </c>
      <c r="I84" s="25" t="n">
        <f aca="false">I83+E84</f>
        <v>51947.7427567505</v>
      </c>
      <c r="J84" s="24" t="n">
        <f aca="false">J83+D84</f>
        <v>146676.257757741</v>
      </c>
    </row>
    <row r="85" customFormat="false" ht="15" hidden="true" customHeight="false" outlineLevel="1" collapsed="false">
      <c r="B85" s="125" t="n">
        <v>46447</v>
      </c>
      <c r="C85" s="21" t="n">
        <f aca="false">G84</f>
        <v>448052.25724325</v>
      </c>
      <c r="D85" s="24" t="n">
        <f aca="false">C85*E$6</f>
        <v>1866.88440518021</v>
      </c>
      <c r="E85" s="25" t="n">
        <f aca="false">E$8-D85</f>
        <v>817.223709880489</v>
      </c>
      <c r="F85" s="127" t="n">
        <v>0</v>
      </c>
      <c r="G85" s="24" t="n">
        <f aca="false">C85-E85-F85</f>
        <v>447235.033533369</v>
      </c>
      <c r="I85" s="25" t="n">
        <f aca="false">I84+E85</f>
        <v>52764.9664666309</v>
      </c>
      <c r="J85" s="24" t="n">
        <f aca="false">J84+D85</f>
        <v>148543.142162921</v>
      </c>
    </row>
    <row r="86" customFormat="false" ht="15" hidden="true" customHeight="false" outlineLevel="1" collapsed="false">
      <c r="B86" s="125" t="n">
        <v>46478</v>
      </c>
      <c r="C86" s="21" t="n">
        <f aca="false">G85</f>
        <v>447235.033533369</v>
      </c>
      <c r="D86" s="24" t="n">
        <f aca="false">C86*E$6</f>
        <v>1863.47930638904</v>
      </c>
      <c r="E86" s="25" t="n">
        <f aca="false">E$8-D86</f>
        <v>820.628808671658</v>
      </c>
      <c r="F86" s="126" t="n">
        <v>0</v>
      </c>
      <c r="G86" s="24" t="n">
        <f aca="false">C86-E86-F86</f>
        <v>446414.404724697</v>
      </c>
      <c r="I86" s="25" t="n">
        <f aca="false">I85+E86</f>
        <v>53585.5952753026</v>
      </c>
      <c r="J86" s="24" t="n">
        <f aca="false">J85+D86</f>
        <v>150406.62146931</v>
      </c>
    </row>
    <row r="87" customFormat="false" ht="15" hidden="true" customHeight="false" outlineLevel="1" collapsed="false">
      <c r="B87" s="125" t="n">
        <v>46508</v>
      </c>
      <c r="C87" s="21" t="n">
        <f aca="false">G86</f>
        <v>446414.404724697</v>
      </c>
      <c r="D87" s="24" t="n">
        <f aca="false">C87*E$6</f>
        <v>1860.06001968624</v>
      </c>
      <c r="E87" s="25" t="n">
        <f aca="false">E$8-D87</f>
        <v>824.048095374456</v>
      </c>
      <c r="F87" s="127" t="n">
        <v>0</v>
      </c>
      <c r="G87" s="24" t="n">
        <f aca="false">C87-E87-F87</f>
        <v>445590.356629323</v>
      </c>
      <c r="I87" s="25" t="n">
        <f aca="false">I86+E87</f>
        <v>54409.6433706771</v>
      </c>
      <c r="J87" s="24" t="n">
        <f aca="false">J86+D87</f>
        <v>152266.681488997</v>
      </c>
    </row>
    <row r="88" customFormat="false" ht="15" hidden="true" customHeight="false" outlineLevel="1" collapsed="false">
      <c r="B88" s="125" t="n">
        <v>46539</v>
      </c>
      <c r="C88" s="21" t="n">
        <f aca="false">G87</f>
        <v>445590.356629323</v>
      </c>
      <c r="D88" s="24" t="n">
        <f aca="false">C88*E$6</f>
        <v>1856.62648595551</v>
      </c>
      <c r="E88" s="25" t="n">
        <f aca="false">E$8-D88</f>
        <v>827.481629105183</v>
      </c>
      <c r="F88" s="126" t="n">
        <v>0</v>
      </c>
      <c r="G88" s="24" t="n">
        <f aca="false">C88-E88-F88</f>
        <v>444762.875000218</v>
      </c>
      <c r="I88" s="25" t="n">
        <f aca="false">I87+E88</f>
        <v>55237.1249997822</v>
      </c>
      <c r="J88" s="24" t="n">
        <f aca="false">J87+D88</f>
        <v>154123.307974952</v>
      </c>
    </row>
    <row r="89" customFormat="false" ht="15" hidden="true" customHeight="false" outlineLevel="1" collapsed="false">
      <c r="B89" s="125" t="n">
        <v>46569</v>
      </c>
      <c r="C89" s="21" t="n">
        <f aca="false">G88</f>
        <v>444762.875000218</v>
      </c>
      <c r="D89" s="24" t="n">
        <f aca="false">C89*E$6</f>
        <v>1853.17864583424</v>
      </c>
      <c r="E89" s="25" t="n">
        <f aca="false">E$8-D89</f>
        <v>830.929469226455</v>
      </c>
      <c r="F89" s="127" t="n">
        <v>0</v>
      </c>
      <c r="G89" s="24" t="n">
        <f aca="false">C89-E89-F89</f>
        <v>443931.945530991</v>
      </c>
      <c r="I89" s="25" t="n">
        <f aca="false">I88+E89</f>
        <v>56068.0544690087</v>
      </c>
      <c r="J89" s="24" t="n">
        <f aca="false">J88+D89</f>
        <v>155976.486620786</v>
      </c>
    </row>
    <row r="90" customFormat="false" ht="15" hidden="true" customHeight="false" outlineLevel="1" collapsed="false">
      <c r="B90" s="125" t="n">
        <v>46600</v>
      </c>
      <c r="C90" s="21" t="n">
        <f aca="false">G89</f>
        <v>443931.945530991</v>
      </c>
      <c r="D90" s="24" t="n">
        <f aca="false">C90*E$6</f>
        <v>1849.71643971246</v>
      </c>
      <c r="E90" s="25" t="n">
        <f aca="false">E$8-D90</f>
        <v>834.391675348232</v>
      </c>
      <c r="F90" s="126" t="n">
        <v>0</v>
      </c>
      <c r="G90" s="24" t="n">
        <f aca="false">C90-E90-F90</f>
        <v>443097.553855643</v>
      </c>
      <c r="I90" s="25" t="n">
        <f aca="false">I89+E90</f>
        <v>56902.4461443569</v>
      </c>
      <c r="J90" s="24" t="n">
        <f aca="false">J89+D90</f>
        <v>157826.203060499</v>
      </c>
    </row>
    <row r="91" customFormat="false" ht="15" hidden="true" customHeight="false" outlineLevel="1" collapsed="false">
      <c r="B91" s="125" t="n">
        <v>46631</v>
      </c>
      <c r="C91" s="21" t="n">
        <f aca="false">G90</f>
        <v>443097.553855643</v>
      </c>
      <c r="D91" s="24" t="n">
        <f aca="false">C91*E$6</f>
        <v>1846.23980773185</v>
      </c>
      <c r="E91" s="25" t="n">
        <f aca="false">E$8-D91</f>
        <v>837.868307328849</v>
      </c>
      <c r="F91" s="127" t="n">
        <v>0</v>
      </c>
      <c r="G91" s="24" t="n">
        <f aca="false">C91-E91-F91</f>
        <v>442259.685548314</v>
      </c>
      <c r="I91" s="25" t="n">
        <f aca="false">I90+E91</f>
        <v>57740.3144516858</v>
      </c>
      <c r="J91" s="24" t="n">
        <f aca="false">J90+D91</f>
        <v>159672.442868231</v>
      </c>
    </row>
    <row r="92" customFormat="false" ht="15" hidden="true" customHeight="false" outlineLevel="1" collapsed="false">
      <c r="B92" s="125" t="n">
        <v>46661</v>
      </c>
      <c r="C92" s="21" t="n">
        <f aca="false">G91</f>
        <v>442259.685548314</v>
      </c>
      <c r="D92" s="24" t="n">
        <f aca="false">C92*E$6</f>
        <v>1842.74868978464</v>
      </c>
      <c r="E92" s="25" t="n">
        <f aca="false">E$8-D92</f>
        <v>841.359425276052</v>
      </c>
      <c r="F92" s="126" t="n">
        <v>0</v>
      </c>
      <c r="G92" s="24" t="n">
        <f aca="false">C92-E92-F92</f>
        <v>441418.326123038</v>
      </c>
      <c r="I92" s="25" t="n">
        <f aca="false">I91+E92</f>
        <v>58581.6738769618</v>
      </c>
      <c r="J92" s="24" t="n">
        <f aca="false">J91+D92</f>
        <v>161515.191558015</v>
      </c>
    </row>
    <row r="93" customFormat="false" ht="15" hidden="true" customHeight="false" outlineLevel="1" collapsed="false">
      <c r="B93" s="125" t="n">
        <v>46692</v>
      </c>
      <c r="C93" s="21" t="n">
        <f aca="false">G92</f>
        <v>441418.326123038</v>
      </c>
      <c r="D93" s="24" t="n">
        <f aca="false">C93*E$6</f>
        <v>1839.24302551266</v>
      </c>
      <c r="E93" s="25" t="n">
        <f aca="false">E$8-D93</f>
        <v>844.865089548036</v>
      </c>
      <c r="F93" s="127" t="n">
        <v>0</v>
      </c>
      <c r="G93" s="24" t="n">
        <f aca="false">C93-E93-F93</f>
        <v>440573.46103349</v>
      </c>
      <c r="I93" s="25" t="n">
        <f aca="false">I92+E93</f>
        <v>59426.5389665099</v>
      </c>
      <c r="J93" s="24" t="n">
        <f aca="false">J92+D93</f>
        <v>163354.434583528</v>
      </c>
    </row>
    <row r="94" customFormat="false" ht="15" hidden="true" customHeight="false" outlineLevel="1" collapsed="false">
      <c r="B94" s="125" t="n">
        <v>46722</v>
      </c>
      <c r="C94" s="21" t="n">
        <f aca="false">G93</f>
        <v>440573.46103349</v>
      </c>
      <c r="D94" s="24" t="n">
        <f aca="false">C94*E$6</f>
        <v>1835.72275430621</v>
      </c>
      <c r="E94" s="25" t="n">
        <f aca="false">E$8-D94</f>
        <v>848.385360754486</v>
      </c>
      <c r="F94" s="126" t="n">
        <v>0</v>
      </c>
      <c r="G94" s="24" t="n">
        <f aca="false">C94-E94-F94</f>
        <v>439725.075672736</v>
      </c>
      <c r="I94" s="25" t="n">
        <f aca="false">I93+E94</f>
        <v>60274.9243272644</v>
      </c>
      <c r="J94" s="24" t="n">
        <f aca="false">J93+D94</f>
        <v>165190.157337834</v>
      </c>
    </row>
    <row r="95" customFormat="false" ht="15" hidden="true" customHeight="false" outlineLevel="1" collapsed="false">
      <c r="B95" s="125" t="n">
        <v>46753</v>
      </c>
      <c r="C95" s="21" t="n">
        <f aca="false">G94</f>
        <v>439725.075672736</v>
      </c>
      <c r="D95" s="24" t="n">
        <f aca="false">C95*E$6</f>
        <v>1832.18781530307</v>
      </c>
      <c r="E95" s="25" t="n">
        <f aca="false">E$8-D95</f>
        <v>851.92029975763</v>
      </c>
      <c r="F95" s="127" t="n">
        <v>0</v>
      </c>
      <c r="G95" s="24" t="n">
        <f aca="false">C95-E95-F95</f>
        <v>438873.155372978</v>
      </c>
      <c r="I95" s="25" t="n">
        <f aca="false">I94+E95</f>
        <v>61126.844627022</v>
      </c>
      <c r="J95" s="24" t="n">
        <f aca="false">J94+D95</f>
        <v>167022.345153137</v>
      </c>
    </row>
    <row r="96" customFormat="false" ht="15" hidden="true" customHeight="false" outlineLevel="1" collapsed="false">
      <c r="B96" s="125" t="n">
        <v>46784</v>
      </c>
      <c r="C96" s="21" t="n">
        <f aca="false">G95</f>
        <v>438873.155372978</v>
      </c>
      <c r="D96" s="24" t="n">
        <f aca="false">C96*E$6</f>
        <v>1828.63814738741</v>
      </c>
      <c r="E96" s="25" t="n">
        <f aca="false">E$8-D96</f>
        <v>855.469967673287</v>
      </c>
      <c r="F96" s="126" t="n">
        <v>0</v>
      </c>
      <c r="G96" s="24" t="n">
        <f aca="false">C96-E96-F96</f>
        <v>438017.685405305</v>
      </c>
      <c r="I96" s="25" t="n">
        <f aca="false">I95+E96</f>
        <v>61982.3145946953</v>
      </c>
      <c r="J96" s="24" t="n">
        <f aca="false">J95+D96</f>
        <v>168850.983300525</v>
      </c>
    </row>
    <row r="97" customFormat="false" ht="15" hidden="true" customHeight="false" outlineLevel="1" collapsed="false">
      <c r="B97" s="125" t="n">
        <v>46813</v>
      </c>
      <c r="C97" s="21" t="n">
        <f aca="false">G96</f>
        <v>438017.685405305</v>
      </c>
      <c r="D97" s="24" t="n">
        <f aca="false">C97*E$6</f>
        <v>1825.07368918877</v>
      </c>
      <c r="E97" s="25" t="n">
        <f aca="false">E$8-D97</f>
        <v>859.034425871926</v>
      </c>
      <c r="F97" s="127" t="n">
        <v>0</v>
      </c>
      <c r="G97" s="24" t="n">
        <f aca="false">C97-E97-F97</f>
        <v>437158.650979433</v>
      </c>
      <c r="I97" s="25" t="n">
        <f aca="false">I96+E97</f>
        <v>62841.3490205672</v>
      </c>
      <c r="J97" s="24" t="n">
        <f aca="false">J96+D97</f>
        <v>170676.056989713</v>
      </c>
    </row>
    <row r="98" customFormat="false" ht="15" hidden="true" customHeight="false" outlineLevel="1" collapsed="false">
      <c r="B98" s="125" t="n">
        <v>46844</v>
      </c>
      <c r="C98" s="21" t="n">
        <f aca="false">G97</f>
        <v>437158.650979433</v>
      </c>
      <c r="D98" s="24" t="n">
        <f aca="false">C98*E$6</f>
        <v>1821.49437908097</v>
      </c>
      <c r="E98" s="25" t="n">
        <f aca="false">E$8-D98</f>
        <v>862.613735979725</v>
      </c>
      <c r="F98" s="126" t="n">
        <v>0</v>
      </c>
      <c r="G98" s="24" t="n">
        <f aca="false">C98-E98-F98</f>
        <v>436296.037243453</v>
      </c>
      <c r="I98" s="25" t="n">
        <f aca="false">I97+E98</f>
        <v>63703.9627565469</v>
      </c>
      <c r="J98" s="24" t="n">
        <f aca="false">J97+D98</f>
        <v>172497.551368794</v>
      </c>
    </row>
    <row r="99" customFormat="false" ht="15" hidden="true" customHeight="false" outlineLevel="1" collapsed="false">
      <c r="B99" s="125" t="n">
        <v>46874</v>
      </c>
      <c r="C99" s="21" t="n">
        <f aca="false">G98</f>
        <v>436296.037243453</v>
      </c>
      <c r="D99" s="24" t="n">
        <f aca="false">C99*E$6</f>
        <v>1817.90015518105</v>
      </c>
      <c r="E99" s="25" t="n">
        <f aca="false">E$8-D99</f>
        <v>866.207959879641</v>
      </c>
      <c r="F99" s="127" t="n">
        <v>0</v>
      </c>
      <c r="G99" s="24" t="n">
        <f aca="false">C99-E99-F99</f>
        <v>435429.829283573</v>
      </c>
      <c r="I99" s="25" t="n">
        <f aca="false">I98+E99</f>
        <v>64570.1707164266</v>
      </c>
      <c r="J99" s="24" t="n">
        <f aca="false">J98+D99</f>
        <v>174315.451523975</v>
      </c>
    </row>
    <row r="100" customFormat="false" ht="15" hidden="true" customHeight="false" outlineLevel="1" collapsed="false">
      <c r="B100" s="125" t="n">
        <v>46905</v>
      </c>
      <c r="C100" s="21" t="n">
        <f aca="false">G99</f>
        <v>435429.829283573</v>
      </c>
      <c r="D100" s="24" t="n">
        <f aca="false">C100*E$6</f>
        <v>1814.29095534822</v>
      </c>
      <c r="E100" s="25" t="n">
        <f aca="false">E$8-D100</f>
        <v>869.817159712473</v>
      </c>
      <c r="F100" s="126" t="n">
        <v>0</v>
      </c>
      <c r="G100" s="24" t="n">
        <f aca="false">C100-E100-F100</f>
        <v>434560.012123861</v>
      </c>
      <c r="I100" s="25" t="n">
        <f aca="false">I99+E100</f>
        <v>65439.987876139</v>
      </c>
      <c r="J100" s="24" t="n">
        <f aca="false">J99+D100</f>
        <v>176129.742479324</v>
      </c>
    </row>
    <row r="101" customFormat="false" ht="15" hidden="true" customHeight="false" outlineLevel="1" collapsed="false">
      <c r="B101" s="125" t="n">
        <v>46935</v>
      </c>
      <c r="C101" s="21" t="n">
        <f aca="false">G100</f>
        <v>434560.012123861</v>
      </c>
      <c r="D101" s="24" t="n">
        <f aca="false">C101*E$6</f>
        <v>1810.66671718275</v>
      </c>
      <c r="E101" s="25" t="n">
        <f aca="false">E$8-D101</f>
        <v>873.441397877941</v>
      </c>
      <c r="F101" s="127" t="n">
        <v>0</v>
      </c>
      <c r="G101" s="24" t="n">
        <f aca="false">C101-E101-F101</f>
        <v>433686.570725983</v>
      </c>
      <c r="I101" s="25" t="n">
        <f aca="false">I100+E101</f>
        <v>66313.429274017</v>
      </c>
      <c r="J101" s="24" t="n">
        <f aca="false">J100+D101</f>
        <v>177940.409196506</v>
      </c>
    </row>
    <row r="102" customFormat="false" ht="15" hidden="true" customHeight="false" outlineLevel="1" collapsed="false">
      <c r="B102" s="125" t="n">
        <v>46966</v>
      </c>
      <c r="C102" s="21" t="n">
        <f aca="false">G101</f>
        <v>433686.570725983</v>
      </c>
      <c r="D102" s="24" t="n">
        <f aca="false">C102*E$6</f>
        <v>1807.02737802493</v>
      </c>
      <c r="E102" s="25" t="n">
        <f aca="false">E$8-D102</f>
        <v>877.080737035766</v>
      </c>
      <c r="F102" s="126" t="n">
        <v>0</v>
      </c>
      <c r="G102" s="24" t="n">
        <f aca="false">C102-E102-F102</f>
        <v>432809.489988947</v>
      </c>
      <c r="I102" s="25" t="n">
        <f aca="false">I101+E102</f>
        <v>67190.5100110527</v>
      </c>
      <c r="J102" s="24" t="n">
        <f aca="false">J101+D102</f>
        <v>179747.436574531</v>
      </c>
    </row>
    <row r="103" customFormat="false" ht="15" hidden="true" customHeight="false" outlineLevel="1" collapsed="false">
      <c r="B103" s="125" t="n">
        <v>46997</v>
      </c>
      <c r="C103" s="21" t="n">
        <f aca="false">G102</f>
        <v>432809.489988947</v>
      </c>
      <c r="D103" s="24" t="n">
        <f aca="false">C103*E$6</f>
        <v>1803.37287495395</v>
      </c>
      <c r="E103" s="25" t="n">
        <f aca="false">E$8-D103</f>
        <v>880.735240106748</v>
      </c>
      <c r="F103" s="127" t="n">
        <v>0</v>
      </c>
      <c r="G103" s="24" t="n">
        <f aca="false">C103-E103-F103</f>
        <v>431928.75474884</v>
      </c>
      <c r="I103" s="25" t="n">
        <f aca="false">I102+E103</f>
        <v>68071.2452511595</v>
      </c>
      <c r="J103" s="24" t="n">
        <f aca="false">J102+D103</f>
        <v>181550.809449485</v>
      </c>
    </row>
    <row r="104" customFormat="false" ht="15" hidden="true" customHeight="false" outlineLevel="1" collapsed="false">
      <c r="B104" s="125" t="n">
        <v>47027</v>
      </c>
      <c r="C104" s="21" t="n">
        <f aca="false">G103</f>
        <v>431928.75474884</v>
      </c>
      <c r="D104" s="24" t="n">
        <f aca="false">C104*E$6</f>
        <v>1799.70314478684</v>
      </c>
      <c r="E104" s="25" t="n">
        <f aca="false">E$8-D104</f>
        <v>884.40497027386</v>
      </c>
      <c r="F104" s="126" t="n">
        <v>0</v>
      </c>
      <c r="G104" s="24" t="n">
        <f aca="false">C104-E104-F104</f>
        <v>431044.349778567</v>
      </c>
      <c r="I104" s="25" t="n">
        <f aca="false">I103+E104</f>
        <v>68955.6502214333</v>
      </c>
      <c r="J104" s="24" t="n">
        <f aca="false">J103+D104</f>
        <v>183350.512594272</v>
      </c>
    </row>
    <row r="105" customFormat="false" ht="15" hidden="true" customHeight="false" outlineLevel="1" collapsed="false">
      <c r="B105" s="125" t="n">
        <v>47058</v>
      </c>
      <c r="C105" s="21" t="n">
        <f aca="false">G104</f>
        <v>431044.349778567</v>
      </c>
      <c r="D105" s="24" t="n">
        <f aca="false">C105*E$6</f>
        <v>1796.01812407736</v>
      </c>
      <c r="E105" s="25" t="n">
        <f aca="false">E$8-D105</f>
        <v>888.089990983334</v>
      </c>
      <c r="F105" s="127" t="n">
        <v>0</v>
      </c>
      <c r="G105" s="24" t="n">
        <f aca="false">C105-E105-F105</f>
        <v>430156.259787583</v>
      </c>
      <c r="I105" s="25" t="n">
        <f aca="false">I104+E105</f>
        <v>69843.7402124167</v>
      </c>
      <c r="J105" s="24" t="n">
        <f aca="false">J104+D105</f>
        <v>185146.53071835</v>
      </c>
    </row>
    <row r="106" customFormat="false" ht="15" hidden="true" customHeight="false" outlineLevel="1" collapsed="false">
      <c r="B106" s="125" t="n">
        <v>47088</v>
      </c>
      <c r="C106" s="21" t="n">
        <f aca="false">G105</f>
        <v>430156.259787583</v>
      </c>
      <c r="D106" s="24" t="n">
        <f aca="false">C106*E$6</f>
        <v>1792.31774911493</v>
      </c>
      <c r="E106" s="25" t="n">
        <f aca="false">E$8-D106</f>
        <v>891.790365945765</v>
      </c>
      <c r="F106" s="126" t="n">
        <v>0</v>
      </c>
      <c r="G106" s="24" t="n">
        <f aca="false">C106-E106-F106</f>
        <v>429264.469421638</v>
      </c>
      <c r="I106" s="25" t="n">
        <f aca="false">I105+E106</f>
        <v>70735.5305783625</v>
      </c>
      <c r="J106" s="24" t="n">
        <f aca="false">J105+D106</f>
        <v>186938.848467464</v>
      </c>
    </row>
    <row r="107" customFormat="false" ht="15" hidden="true" customHeight="false" outlineLevel="1" collapsed="false">
      <c r="B107" s="125" t="n">
        <v>47119</v>
      </c>
      <c r="C107" s="21" t="n">
        <f aca="false">G106</f>
        <v>429264.469421638</v>
      </c>
      <c r="D107" s="24" t="n">
        <f aca="false">C107*E$6</f>
        <v>1788.60195592349</v>
      </c>
      <c r="E107" s="25" t="n">
        <f aca="false">E$8-D107</f>
        <v>895.506159137206</v>
      </c>
      <c r="F107" s="127" t="n">
        <v>0</v>
      </c>
      <c r="G107" s="24" t="n">
        <f aca="false">C107-E107-F107</f>
        <v>428368.9632625</v>
      </c>
      <c r="I107" s="25" t="n">
        <f aca="false">I106+E107</f>
        <v>71631.0367374997</v>
      </c>
      <c r="J107" s="24" t="n">
        <f aca="false">J106+D107</f>
        <v>188727.450423388</v>
      </c>
    </row>
    <row r="108" customFormat="false" ht="15" hidden="true" customHeight="false" outlineLevel="1" collapsed="false">
      <c r="B108" s="125" t="n">
        <v>47150</v>
      </c>
      <c r="C108" s="21" t="n">
        <f aca="false">G107</f>
        <v>428368.9632625</v>
      </c>
      <c r="D108" s="24" t="n">
        <f aca="false">C108*E$6</f>
        <v>1784.87068026042</v>
      </c>
      <c r="E108" s="25" t="n">
        <f aca="false">E$8-D108</f>
        <v>899.237434800277</v>
      </c>
      <c r="F108" s="126" t="n">
        <v>0</v>
      </c>
      <c r="G108" s="24" t="n">
        <f aca="false">C108-E108-F108</f>
        <v>427469.7258277</v>
      </c>
      <c r="I108" s="25" t="n">
        <f aca="false">I107+E108</f>
        <v>72530.2741722999</v>
      </c>
      <c r="J108" s="24" t="n">
        <f aca="false">J107+D108</f>
        <v>190512.321103648</v>
      </c>
    </row>
    <row r="109" customFormat="false" ht="15" hidden="true" customHeight="false" outlineLevel="1" collapsed="false">
      <c r="B109" s="125" t="n">
        <v>47178</v>
      </c>
      <c r="C109" s="21" t="n">
        <f aca="false">G108</f>
        <v>427469.7258277</v>
      </c>
      <c r="D109" s="24" t="n">
        <f aca="false">C109*E$6</f>
        <v>1781.12385761542</v>
      </c>
      <c r="E109" s="25" t="n">
        <f aca="false">E$8-D109</f>
        <v>902.984257445278</v>
      </c>
      <c r="F109" s="127" t="n">
        <v>0</v>
      </c>
      <c r="G109" s="24" t="n">
        <f aca="false">C109-E109-F109</f>
        <v>426566.741570255</v>
      </c>
      <c r="I109" s="25" t="n">
        <f aca="false">I108+E109</f>
        <v>73433.2584297452</v>
      </c>
      <c r="J109" s="24" t="n">
        <f aca="false">J108+D109</f>
        <v>192293.444961264</v>
      </c>
    </row>
    <row r="110" customFormat="false" ht="15" hidden="true" customHeight="false" outlineLevel="1" collapsed="false">
      <c r="B110" s="125" t="n">
        <v>47209</v>
      </c>
      <c r="C110" s="21" t="n">
        <f aca="false">G109</f>
        <v>426566.741570255</v>
      </c>
      <c r="D110" s="24" t="n">
        <f aca="false">C110*E$6</f>
        <v>1777.3614232094</v>
      </c>
      <c r="E110" s="25" t="n">
        <f aca="false">E$8-D110</f>
        <v>906.7466918513</v>
      </c>
      <c r="F110" s="126" t="n">
        <v>0</v>
      </c>
      <c r="G110" s="24" t="n">
        <f aca="false">C110-E110-F110</f>
        <v>425659.994878404</v>
      </c>
      <c r="I110" s="25" t="n">
        <f aca="false">I109+E110</f>
        <v>74340.0051215965</v>
      </c>
      <c r="J110" s="24" t="n">
        <f aca="false">J109+D110</f>
        <v>194070.806384473</v>
      </c>
    </row>
    <row r="111" customFormat="false" ht="15" hidden="true" customHeight="false" outlineLevel="1" collapsed="false">
      <c r="B111" s="125" t="n">
        <v>47239</v>
      </c>
      <c r="C111" s="21" t="n">
        <f aca="false">G110</f>
        <v>425659.994878404</v>
      </c>
      <c r="D111" s="24" t="n">
        <f aca="false">C111*E$6</f>
        <v>1773.58331199335</v>
      </c>
      <c r="E111" s="25" t="n">
        <f aca="false">E$8-D111</f>
        <v>910.524803067347</v>
      </c>
      <c r="F111" s="127" t="n">
        <v>0</v>
      </c>
      <c r="G111" s="24" t="n">
        <f aca="false">C111-E111-F111</f>
        <v>424749.470075336</v>
      </c>
      <c r="I111" s="25" t="n">
        <f aca="false">I110+E111</f>
        <v>75250.5299246639</v>
      </c>
      <c r="J111" s="24" t="n">
        <f aca="false">J110+D111</f>
        <v>195844.389696467</v>
      </c>
    </row>
    <row r="112" customFormat="false" ht="15" hidden="true" customHeight="false" outlineLevel="1" collapsed="false">
      <c r="B112" s="125" t="n">
        <v>47270</v>
      </c>
      <c r="C112" s="21" t="n">
        <f aca="false">G111</f>
        <v>424749.470075336</v>
      </c>
      <c r="D112" s="24" t="n">
        <f aca="false">C112*E$6</f>
        <v>1769.78945864723</v>
      </c>
      <c r="E112" s="25" t="n">
        <f aca="false">E$8-D112</f>
        <v>914.318656413461</v>
      </c>
      <c r="F112" s="126" t="n">
        <v>0</v>
      </c>
      <c r="G112" s="24" t="n">
        <f aca="false">C112-E112-F112</f>
        <v>423835.151418923</v>
      </c>
      <c r="I112" s="25" t="n">
        <f aca="false">I111+E112</f>
        <v>76164.8485810773</v>
      </c>
      <c r="J112" s="24" t="n">
        <f aca="false">J111+D112</f>
        <v>197614.179155114</v>
      </c>
    </row>
    <row r="113" customFormat="false" ht="15" hidden="true" customHeight="false" outlineLevel="1" collapsed="false">
      <c r="B113" s="125" t="n">
        <v>47300</v>
      </c>
      <c r="C113" s="21" t="n">
        <f aca="false">G112</f>
        <v>423835.151418923</v>
      </c>
      <c r="D113" s="24" t="n">
        <f aca="false">C113*E$6</f>
        <v>1765.97979757885</v>
      </c>
      <c r="E113" s="25" t="n">
        <f aca="false">E$8-D113</f>
        <v>918.12831748185</v>
      </c>
      <c r="F113" s="127" t="n">
        <v>0</v>
      </c>
      <c r="G113" s="24" t="n">
        <f aca="false">C113-E113-F113</f>
        <v>422917.023101441</v>
      </c>
      <c r="I113" s="25" t="n">
        <f aca="false">I112+E113</f>
        <v>77082.9768985592</v>
      </c>
      <c r="J113" s="24" t="n">
        <f aca="false">J112+D113</f>
        <v>199380.158952693</v>
      </c>
    </row>
    <row r="114" customFormat="false" ht="15" hidden="true" customHeight="false" outlineLevel="1" collapsed="false">
      <c r="B114" s="125" t="n">
        <v>47331</v>
      </c>
      <c r="C114" s="21" t="n">
        <f aca="false">G113</f>
        <v>422917.023101441</v>
      </c>
      <c r="D114" s="24" t="n">
        <f aca="false">C114*E$6</f>
        <v>1762.15426292267</v>
      </c>
      <c r="E114" s="25" t="n">
        <f aca="false">E$8-D114</f>
        <v>921.953852138025</v>
      </c>
      <c r="F114" s="126" t="n">
        <v>0</v>
      </c>
      <c r="G114" s="24" t="n">
        <f aca="false">C114-E114-F114</f>
        <v>421995.069249303</v>
      </c>
      <c r="I114" s="25" t="n">
        <f aca="false">I113+E114</f>
        <v>78004.9307506972</v>
      </c>
      <c r="J114" s="24" t="n">
        <f aca="false">J113+D114</f>
        <v>201142.313215615</v>
      </c>
    </row>
    <row r="115" customFormat="false" ht="15" hidden="true" customHeight="false" outlineLevel="1" collapsed="false">
      <c r="B115" s="125" t="n">
        <v>47362</v>
      </c>
      <c r="C115" s="21" t="n">
        <f aca="false">G114</f>
        <v>421995.069249303</v>
      </c>
      <c r="D115" s="24" t="n">
        <f aca="false">C115*E$6</f>
        <v>1758.31278853876</v>
      </c>
      <c r="E115" s="25" t="n">
        <f aca="false">E$8-D115</f>
        <v>925.795326521933</v>
      </c>
      <c r="F115" s="127" t="n">
        <v>0</v>
      </c>
      <c r="G115" s="24" t="n">
        <f aca="false">C115-E115-F115</f>
        <v>421069.273922781</v>
      </c>
      <c r="I115" s="25" t="n">
        <f aca="false">I114+E115</f>
        <v>78930.7260772192</v>
      </c>
      <c r="J115" s="24" t="n">
        <f aca="false">J114+D115</f>
        <v>202900.626004154</v>
      </c>
    </row>
    <row r="116" customFormat="false" ht="15" hidden="true" customHeight="false" outlineLevel="1" collapsed="false">
      <c r="B116" s="125" t="n">
        <v>47392</v>
      </c>
      <c r="C116" s="21" t="n">
        <f aca="false">G115</f>
        <v>421069.273922781</v>
      </c>
      <c r="D116" s="24" t="n">
        <f aca="false">C116*E$6</f>
        <v>1754.45530801159</v>
      </c>
      <c r="E116" s="25" t="n">
        <f aca="false">E$8-D116</f>
        <v>929.652807049108</v>
      </c>
      <c r="F116" s="126" t="n">
        <v>0</v>
      </c>
      <c r="G116" s="24" t="n">
        <f aca="false">C116-E116-F116</f>
        <v>420139.621115732</v>
      </c>
      <c r="I116" s="25" t="n">
        <f aca="false">I115+E116</f>
        <v>79860.3788842683</v>
      </c>
      <c r="J116" s="24" t="n">
        <f aca="false">J115+D116</f>
        <v>204655.081312166</v>
      </c>
    </row>
    <row r="117" customFormat="false" ht="15" hidden="true" customHeight="false" outlineLevel="1" collapsed="false">
      <c r="B117" s="125" t="n">
        <v>47423</v>
      </c>
      <c r="C117" s="21" t="n">
        <f aca="false">G116</f>
        <v>420139.621115732</v>
      </c>
      <c r="D117" s="24" t="n">
        <f aca="false">C117*E$6</f>
        <v>1750.58175464888</v>
      </c>
      <c r="E117" s="25" t="n">
        <f aca="false">E$8-D117</f>
        <v>933.526360411812</v>
      </c>
      <c r="F117" s="127" t="n">
        <v>0</v>
      </c>
      <c r="G117" s="24" t="n">
        <f aca="false">C117-E117-F117</f>
        <v>419206.09475532</v>
      </c>
      <c r="I117" s="25" t="n">
        <f aca="false">I116+E117</f>
        <v>80793.9052446801</v>
      </c>
      <c r="J117" s="24" t="n">
        <f aca="false">J116+D117</f>
        <v>206405.663066814</v>
      </c>
    </row>
    <row r="118" customFormat="false" ht="15" hidden="true" customHeight="false" outlineLevel="1" collapsed="false">
      <c r="B118" s="125" t="n">
        <v>47453</v>
      </c>
      <c r="C118" s="21" t="n">
        <f aca="false">G117</f>
        <v>419206.09475532</v>
      </c>
      <c r="D118" s="24" t="n">
        <f aca="false">C118*E$6</f>
        <v>1746.6920614805</v>
      </c>
      <c r="E118" s="25" t="n">
        <f aca="false">E$8-D118</f>
        <v>937.416053580195</v>
      </c>
      <c r="F118" s="126" t="n">
        <v>0</v>
      </c>
      <c r="G118" s="24" t="n">
        <f aca="false">C118-E118-F118</f>
        <v>418268.67870174</v>
      </c>
      <c r="I118" s="25" t="n">
        <f aca="false">I117+E118</f>
        <v>81731.3212982603</v>
      </c>
      <c r="J118" s="24" t="n">
        <f aca="false">J117+D118</f>
        <v>208152.355128295</v>
      </c>
    </row>
    <row r="119" customFormat="false" ht="15" hidden="true" customHeight="false" outlineLevel="1" collapsed="false">
      <c r="B119" s="125" t="n">
        <v>47484</v>
      </c>
      <c r="C119" s="21" t="n">
        <f aca="false">G118</f>
        <v>418268.67870174</v>
      </c>
      <c r="D119" s="24" t="n">
        <f aca="false">C119*E$6</f>
        <v>1742.78616125725</v>
      </c>
      <c r="E119" s="25" t="n">
        <f aca="false">E$8-D119</f>
        <v>941.321953803446</v>
      </c>
      <c r="F119" s="127" t="n">
        <v>0</v>
      </c>
      <c r="G119" s="24" t="n">
        <f aca="false">C119-E119-F119</f>
        <v>417327.356747936</v>
      </c>
      <c r="I119" s="25" t="n">
        <f aca="false">I118+E119</f>
        <v>82672.6432520637</v>
      </c>
      <c r="J119" s="24" t="n">
        <f aca="false">J118+D119</f>
        <v>209895.141289552</v>
      </c>
    </row>
    <row r="120" customFormat="false" ht="15" hidden="true" customHeight="false" outlineLevel="1" collapsed="false">
      <c r="B120" s="125" t="n">
        <v>47515</v>
      </c>
      <c r="C120" s="21" t="n">
        <f aca="false">G119</f>
        <v>417327.356747936</v>
      </c>
      <c r="D120" s="24" t="n">
        <f aca="false">C120*E$6</f>
        <v>1738.86398644974</v>
      </c>
      <c r="E120" s="25" t="n">
        <f aca="false">E$8-D120</f>
        <v>945.24412861096</v>
      </c>
      <c r="F120" s="126" t="n">
        <v>0</v>
      </c>
      <c r="G120" s="24" t="n">
        <f aca="false">C120-E120-F120</f>
        <v>416382.112619326</v>
      </c>
      <c r="I120" s="25" t="n">
        <f aca="false">I119+E120</f>
        <v>83617.8873806747</v>
      </c>
      <c r="J120" s="24" t="n">
        <f aca="false">J119+D120</f>
        <v>211634.005276002</v>
      </c>
    </row>
    <row r="121" customFormat="false" ht="15" hidden="true" customHeight="false" outlineLevel="1" collapsed="false">
      <c r="B121" s="125" t="n">
        <v>47543</v>
      </c>
      <c r="C121" s="21" t="n">
        <f aca="false">G120</f>
        <v>416382.112619326</v>
      </c>
      <c r="D121" s="24" t="n">
        <f aca="false">C121*E$6</f>
        <v>1734.92546924719</v>
      </c>
      <c r="E121" s="25" t="n">
        <f aca="false">E$8-D121</f>
        <v>949.182645813506</v>
      </c>
      <c r="F121" s="127" t="n">
        <v>0</v>
      </c>
      <c r="G121" s="24" t="n">
        <f aca="false">C121-E121-F121</f>
        <v>415432.929973512</v>
      </c>
      <c r="I121" s="25" t="n">
        <f aca="false">I120+E121</f>
        <v>84567.0700264882</v>
      </c>
      <c r="J121" s="24" t="n">
        <f aca="false">J120+D121</f>
        <v>213368.930745249</v>
      </c>
    </row>
    <row r="122" customFormat="false" ht="15" hidden="true" customHeight="false" outlineLevel="1" collapsed="false">
      <c r="B122" s="125" t="n">
        <v>47574</v>
      </c>
      <c r="C122" s="21" t="n">
        <f aca="false">G121</f>
        <v>415432.929973512</v>
      </c>
      <c r="D122" s="24" t="n">
        <f aca="false">C122*E$6</f>
        <v>1730.9705415563</v>
      </c>
      <c r="E122" s="25" t="n">
        <f aca="false">E$8-D122</f>
        <v>953.137573504395</v>
      </c>
      <c r="F122" s="126" t="n">
        <v>0</v>
      </c>
      <c r="G122" s="24" t="n">
        <f aca="false">C122-E122-F122</f>
        <v>414479.792400008</v>
      </c>
      <c r="I122" s="25" t="n">
        <f aca="false">I121+E122</f>
        <v>85520.2075999926</v>
      </c>
      <c r="J122" s="24" t="n">
        <f aca="false">J121+D122</f>
        <v>215099.901286805</v>
      </c>
    </row>
    <row r="123" customFormat="false" ht="15" hidden="true" customHeight="false" outlineLevel="1" collapsed="false">
      <c r="B123" s="125" t="n">
        <v>47604</v>
      </c>
      <c r="C123" s="21" t="n">
        <f aca="false">G122</f>
        <v>414479.792400008</v>
      </c>
      <c r="D123" s="24" t="n">
        <f aca="false">C123*E$6</f>
        <v>1726.99913500003</v>
      </c>
      <c r="E123" s="25" t="n">
        <f aca="false">E$8-D123</f>
        <v>957.108980060664</v>
      </c>
      <c r="F123" s="127" t="n">
        <v>0</v>
      </c>
      <c r="G123" s="24" t="n">
        <f aca="false">C123-E123-F123</f>
        <v>413522.683419947</v>
      </c>
      <c r="I123" s="25" t="n">
        <f aca="false">I122+E123</f>
        <v>86477.3165800532</v>
      </c>
      <c r="J123" s="24" t="n">
        <f aca="false">J122+D123</f>
        <v>216826.900421805</v>
      </c>
    </row>
    <row r="124" customFormat="false" ht="15" hidden="true" customHeight="false" outlineLevel="1" collapsed="false">
      <c r="B124" s="125" t="n">
        <v>47635</v>
      </c>
      <c r="C124" s="21" t="n">
        <f aca="false">G123</f>
        <v>413522.683419947</v>
      </c>
      <c r="D124" s="24" t="n">
        <f aca="false">C124*E$6</f>
        <v>1723.01118091645</v>
      </c>
      <c r="E124" s="25" t="n">
        <f aca="false">E$8-D124</f>
        <v>961.09693414425</v>
      </c>
      <c r="F124" s="126" t="n">
        <v>0</v>
      </c>
      <c r="G124" s="24" t="n">
        <f aca="false">C124-E124-F124</f>
        <v>412561.586485803</v>
      </c>
      <c r="I124" s="25" t="n">
        <f aca="false">I123+E124</f>
        <v>87438.4135141975</v>
      </c>
      <c r="J124" s="24" t="n">
        <f aca="false">J123+D124</f>
        <v>218549.911602722</v>
      </c>
    </row>
    <row r="125" customFormat="false" ht="15" hidden="true" customHeight="false" outlineLevel="1" collapsed="false">
      <c r="B125" s="125" t="n">
        <v>47665</v>
      </c>
      <c r="C125" s="21" t="n">
        <f aca="false">G124</f>
        <v>412561.586485803</v>
      </c>
      <c r="D125" s="24" t="n">
        <f aca="false">C125*E$6</f>
        <v>1719.00661035751</v>
      </c>
      <c r="E125" s="25" t="n">
        <f aca="false">E$8-D125</f>
        <v>965.101504703184</v>
      </c>
      <c r="F125" s="127" t="n">
        <v>0</v>
      </c>
      <c r="G125" s="24" t="n">
        <f aca="false">C125-E125-F125</f>
        <v>411596.4849811</v>
      </c>
      <c r="I125" s="25" t="n">
        <f aca="false">I124+E125</f>
        <v>88403.5150189007</v>
      </c>
      <c r="J125" s="24" t="n">
        <f aca="false">J124+D125</f>
        <v>220268.918213079</v>
      </c>
    </row>
    <row r="126" customFormat="false" ht="15" hidden="true" customHeight="false" outlineLevel="1" collapsed="false">
      <c r="B126" s="125" t="n">
        <v>47696</v>
      </c>
      <c r="C126" s="21" t="n">
        <f aca="false">G125</f>
        <v>411596.4849811</v>
      </c>
      <c r="D126" s="24" t="n">
        <f aca="false">C126*E$6</f>
        <v>1714.98535408791</v>
      </c>
      <c r="E126" s="25" t="n">
        <f aca="false">E$8-D126</f>
        <v>969.122760972781</v>
      </c>
      <c r="F126" s="126" t="n">
        <v>0</v>
      </c>
      <c r="G126" s="24" t="n">
        <f aca="false">C126-E126-F126</f>
        <v>410627.362220127</v>
      </c>
      <c r="I126" s="25" t="n">
        <f aca="false">I125+E126</f>
        <v>89372.6377798734</v>
      </c>
      <c r="J126" s="24" t="n">
        <f aca="false">J125+D126</f>
        <v>221983.903567167</v>
      </c>
    </row>
    <row r="127" customFormat="false" ht="15" hidden="true" customHeight="false" outlineLevel="1" collapsed="false">
      <c r="B127" s="125" t="n">
        <v>47727</v>
      </c>
      <c r="C127" s="21" t="n">
        <f aca="false">G126</f>
        <v>410627.362220127</v>
      </c>
      <c r="D127" s="24" t="n">
        <f aca="false">C127*E$6</f>
        <v>1710.94734258386</v>
      </c>
      <c r="E127" s="25" t="n">
        <f aca="false">E$8-D127</f>
        <v>973.160772476834</v>
      </c>
      <c r="F127" s="127" t="n">
        <v>0</v>
      </c>
      <c r="G127" s="24" t="n">
        <f aca="false">C127-E127-F127</f>
        <v>409654.20144765</v>
      </c>
      <c r="I127" s="25" t="n">
        <f aca="false">I126+E127</f>
        <v>90345.7985523503</v>
      </c>
      <c r="J127" s="24" t="n">
        <f aca="false">J126+D127</f>
        <v>223694.850909751</v>
      </c>
    </row>
    <row r="128" customFormat="false" ht="15" hidden="true" customHeight="false" outlineLevel="1" collapsed="false">
      <c r="B128" s="125" t="n">
        <v>47757</v>
      </c>
      <c r="C128" s="21" t="n">
        <f aca="false">G127</f>
        <v>409654.20144765</v>
      </c>
      <c r="D128" s="24" t="n">
        <f aca="false">C128*E$6</f>
        <v>1706.89250603187</v>
      </c>
      <c r="E128" s="25" t="n">
        <f aca="false">E$8-D128</f>
        <v>977.215609028821</v>
      </c>
      <c r="F128" s="126" t="n">
        <v>0</v>
      </c>
      <c r="G128" s="24" t="n">
        <f aca="false">C128-E128-F128</f>
        <v>408676.985838621</v>
      </c>
      <c r="I128" s="25" t="n">
        <f aca="false">I127+E128</f>
        <v>91323.0141613791</v>
      </c>
      <c r="J128" s="24" t="n">
        <f aca="false">J127+D128</f>
        <v>225401.743415783</v>
      </c>
    </row>
    <row r="129" customFormat="false" ht="15" hidden="true" customHeight="false" outlineLevel="1" collapsed="false">
      <c r="B129" s="125" t="n">
        <v>47788</v>
      </c>
      <c r="C129" s="21" t="n">
        <f aca="false">G128</f>
        <v>408676.985838621</v>
      </c>
      <c r="D129" s="24" t="n">
        <f aca="false">C129*E$6</f>
        <v>1702.82077432759</v>
      </c>
      <c r="E129" s="25" t="n">
        <f aca="false">E$8-D129</f>
        <v>981.287340733107</v>
      </c>
      <c r="F129" s="127" t="n">
        <v>0</v>
      </c>
      <c r="G129" s="24" t="n">
        <f aca="false">C129-E129-F129</f>
        <v>407695.698497888</v>
      </c>
      <c r="I129" s="25" t="n">
        <f aca="false">I128+E129</f>
        <v>92304.3015021122</v>
      </c>
      <c r="J129" s="24" t="n">
        <f aca="false">J128+D129</f>
        <v>227104.564190111</v>
      </c>
    </row>
    <row r="130" customFormat="false" ht="15" hidden="true" customHeight="false" outlineLevel="1" collapsed="false">
      <c r="B130" s="125" t="n">
        <v>47818</v>
      </c>
      <c r="C130" s="21" t="n">
        <f aca="false">G129</f>
        <v>407695.698497888</v>
      </c>
      <c r="D130" s="24" t="n">
        <f aca="false">C130*E$6</f>
        <v>1698.73207707453</v>
      </c>
      <c r="E130" s="25" t="n">
        <f aca="false">E$8-D130</f>
        <v>985.376037986162</v>
      </c>
      <c r="F130" s="126" t="n">
        <v>0</v>
      </c>
      <c r="G130" s="24" t="n">
        <f aca="false">C130-E130-F130</f>
        <v>406710.322459902</v>
      </c>
      <c r="I130" s="25" t="n">
        <f aca="false">I129+E130</f>
        <v>93289.6775400984</v>
      </c>
      <c r="J130" s="24" t="n">
        <f aca="false">J129+D130</f>
        <v>228803.296267185</v>
      </c>
    </row>
    <row r="131" customFormat="false" ht="15" hidden="true" customHeight="false" outlineLevel="1" collapsed="false">
      <c r="B131" s="125" t="n">
        <v>47849</v>
      </c>
      <c r="C131" s="21" t="n">
        <f aca="false">G130</f>
        <v>406710.322459902</v>
      </c>
      <c r="D131" s="24" t="n">
        <f aca="false">C131*E$6</f>
        <v>1694.62634358292</v>
      </c>
      <c r="E131" s="25" t="n">
        <f aca="false">E$8-D131</f>
        <v>989.481771477771</v>
      </c>
      <c r="F131" s="127" t="n">
        <v>0</v>
      </c>
      <c r="G131" s="24" t="n">
        <f aca="false">C131-E131-F131</f>
        <v>405720.840688424</v>
      </c>
      <c r="I131" s="25" t="n">
        <f aca="false">I130+E131</f>
        <v>94279.1593115761</v>
      </c>
      <c r="J131" s="24" t="n">
        <f aca="false">J130+D131</f>
        <v>230497.922610768</v>
      </c>
    </row>
    <row r="132" customFormat="false" ht="15" hidden="true" customHeight="false" outlineLevel="1" collapsed="false">
      <c r="B132" s="125" t="n">
        <v>47880</v>
      </c>
      <c r="C132" s="21" t="n">
        <f aca="false">G131</f>
        <v>405720.840688424</v>
      </c>
      <c r="D132" s="24" t="n">
        <f aca="false">C132*E$6</f>
        <v>1690.50350286843</v>
      </c>
      <c r="E132" s="25" t="n">
        <f aca="false">E$8-D132</f>
        <v>993.604612192262</v>
      </c>
      <c r="F132" s="126" t="n">
        <v>0</v>
      </c>
      <c r="G132" s="24" t="n">
        <f aca="false">C132-E132-F132</f>
        <v>404727.236076232</v>
      </c>
      <c r="I132" s="25" t="n">
        <f aca="false">I131+E132</f>
        <v>95272.7639237684</v>
      </c>
      <c r="J132" s="24" t="n">
        <f aca="false">J131+D132</f>
        <v>232188.426113637</v>
      </c>
    </row>
    <row r="133" customFormat="false" ht="15" hidden="true" customHeight="false" outlineLevel="1" collapsed="false">
      <c r="B133" s="125" t="n">
        <v>47908</v>
      </c>
      <c r="C133" s="21" t="n">
        <f aca="false">G132</f>
        <v>404727.236076232</v>
      </c>
      <c r="D133" s="24" t="n">
        <f aca="false">C133*E$6</f>
        <v>1686.36348365097</v>
      </c>
      <c r="E133" s="25" t="n">
        <f aca="false">E$8-D133</f>
        <v>997.744631409729</v>
      </c>
      <c r="F133" s="127" t="n">
        <v>0</v>
      </c>
      <c r="G133" s="24" t="n">
        <f aca="false">C133-E133-F133</f>
        <v>403729.491444822</v>
      </c>
      <c r="I133" s="25" t="n">
        <f aca="false">I132+E133</f>
        <v>96270.5085551781</v>
      </c>
      <c r="J133" s="24" t="n">
        <f aca="false">J132+D133</f>
        <v>233874.789597288</v>
      </c>
    </row>
    <row r="134" customFormat="false" ht="15" hidden="true" customHeight="false" outlineLevel="1" collapsed="false">
      <c r="B134" s="125" t="n">
        <v>47939</v>
      </c>
      <c r="C134" s="21" t="n">
        <f aca="false">G133</f>
        <v>403729.491444822</v>
      </c>
      <c r="D134" s="24" t="n">
        <f aca="false">C134*E$6</f>
        <v>1682.20621435343</v>
      </c>
      <c r="E134" s="25" t="n">
        <f aca="false">E$8-D134</f>
        <v>1001.90190070727</v>
      </c>
      <c r="F134" s="126" t="n">
        <v>0</v>
      </c>
      <c r="G134" s="24" t="n">
        <f aca="false">C134-E134-F134</f>
        <v>402727.589544115</v>
      </c>
      <c r="I134" s="25" t="n">
        <f aca="false">I133+E134</f>
        <v>97272.4104558854</v>
      </c>
      <c r="J134" s="24" t="n">
        <f aca="false">J133+D134</f>
        <v>235556.995811641</v>
      </c>
    </row>
    <row r="135" customFormat="false" ht="15" hidden="true" customHeight="false" outlineLevel="1" collapsed="false">
      <c r="B135" s="125" t="n">
        <v>47969</v>
      </c>
      <c r="C135" s="21" t="n">
        <f aca="false">G134</f>
        <v>402727.589544115</v>
      </c>
      <c r="D135" s="24" t="n">
        <f aca="false">C135*E$6</f>
        <v>1678.03162310048</v>
      </c>
      <c r="E135" s="25" t="n">
        <f aca="false">E$8-D135</f>
        <v>1006.07649196022</v>
      </c>
      <c r="F135" s="127" t="n">
        <v>0</v>
      </c>
      <c r="G135" s="24" t="n">
        <f aca="false">C135-E135-F135</f>
        <v>401721.513052155</v>
      </c>
      <c r="I135" s="25" t="n">
        <f aca="false">I134+E135</f>
        <v>98278.4869478456</v>
      </c>
      <c r="J135" s="24" t="n">
        <f aca="false">J134+D135</f>
        <v>237235.027434741</v>
      </c>
    </row>
    <row r="136" customFormat="false" ht="15" hidden="true" customHeight="false" outlineLevel="1" collapsed="false">
      <c r="B136" s="125" t="n">
        <v>48000</v>
      </c>
      <c r="C136" s="21" t="n">
        <f aca="false">G135</f>
        <v>401721.513052155</v>
      </c>
      <c r="D136" s="24" t="n">
        <f aca="false">C136*E$6</f>
        <v>1673.83963771731</v>
      </c>
      <c r="E136" s="25" t="n">
        <f aca="false">E$8-D136</f>
        <v>1010.26847734338</v>
      </c>
      <c r="F136" s="126" t="n">
        <v>0</v>
      </c>
      <c r="G136" s="24" t="n">
        <f aca="false">C136-E136-F136</f>
        <v>400711.244574811</v>
      </c>
      <c r="I136" s="25" t="n">
        <f aca="false">I135+E136</f>
        <v>99288.755425189</v>
      </c>
      <c r="J136" s="24" t="n">
        <f aca="false">J135+D136</f>
        <v>238908.867072459</v>
      </c>
    </row>
    <row r="137" customFormat="false" ht="15" hidden="true" customHeight="false" outlineLevel="1" collapsed="false">
      <c r="B137" s="125" t="n">
        <v>48030</v>
      </c>
      <c r="C137" s="21" t="n">
        <f aca="false">G136</f>
        <v>400711.244574811</v>
      </c>
      <c r="D137" s="24" t="n">
        <f aca="false">C137*E$6</f>
        <v>1669.63018572838</v>
      </c>
      <c r="E137" s="25" t="n">
        <f aca="false">E$8-D137</f>
        <v>1014.47792933232</v>
      </c>
      <c r="F137" s="127" t="n">
        <v>0</v>
      </c>
      <c r="G137" s="24" t="n">
        <f aca="false">C137-E137-F137</f>
        <v>399696.766645479</v>
      </c>
      <c r="I137" s="25" t="n">
        <f aca="false">I136+E137</f>
        <v>100303.233354521</v>
      </c>
      <c r="J137" s="24" t="n">
        <f aca="false">J136+D137</f>
        <v>240578.497258187</v>
      </c>
    </row>
    <row r="138" customFormat="false" ht="15" hidden="true" customHeight="false" outlineLevel="1" collapsed="false">
      <c r="B138" s="125" t="n">
        <v>48061</v>
      </c>
      <c r="C138" s="21" t="n">
        <f aca="false">G137</f>
        <v>399696.766645479</v>
      </c>
      <c r="D138" s="24" t="n">
        <f aca="false">C138*E$6</f>
        <v>1665.40319435616</v>
      </c>
      <c r="E138" s="25" t="n">
        <f aca="false">E$8-D138</f>
        <v>1018.70492070453</v>
      </c>
      <c r="F138" s="126" t="n">
        <v>0</v>
      </c>
      <c r="G138" s="24" t="n">
        <f aca="false">C138-E138-F138</f>
        <v>398678.061724774</v>
      </c>
      <c r="I138" s="25" t="n">
        <f aca="false">I137+E138</f>
        <v>101321.938275226</v>
      </c>
      <c r="J138" s="24" t="n">
        <f aca="false">J137+D138</f>
        <v>242243.900452543</v>
      </c>
    </row>
    <row r="139" customFormat="false" ht="15" hidden="true" customHeight="false" outlineLevel="1" collapsed="false">
      <c r="B139" s="125" t="n">
        <v>48092</v>
      </c>
      <c r="C139" s="21" t="n">
        <f aca="false">G138</f>
        <v>398678.061724774</v>
      </c>
      <c r="D139" s="24" t="n">
        <f aca="false">C139*E$6</f>
        <v>1661.15859051989</v>
      </c>
      <c r="E139" s="25" t="n">
        <f aca="false">E$8-D139</f>
        <v>1022.9495245408</v>
      </c>
      <c r="F139" s="127" t="n">
        <v>0</v>
      </c>
      <c r="G139" s="24" t="n">
        <f aca="false">C139-E139-F139</f>
        <v>397655.112200234</v>
      </c>
      <c r="I139" s="25" t="n">
        <f aca="false">I138+E139</f>
        <v>102344.887799767</v>
      </c>
      <c r="J139" s="24" t="n">
        <f aca="false">J138+D139</f>
        <v>243905.059043063</v>
      </c>
    </row>
    <row r="140" customFormat="false" ht="15" hidden="true" customHeight="false" outlineLevel="1" collapsed="false">
      <c r="B140" s="125" t="n">
        <v>48122</v>
      </c>
      <c r="C140" s="21" t="n">
        <f aca="false">G139</f>
        <v>397655.112200234</v>
      </c>
      <c r="D140" s="24" t="n">
        <f aca="false">C140*E$6</f>
        <v>1656.89630083431</v>
      </c>
      <c r="E140" s="25" t="n">
        <f aca="false">E$8-D140</f>
        <v>1027.21181422639</v>
      </c>
      <c r="F140" s="126" t="n">
        <v>0</v>
      </c>
      <c r="G140" s="24" t="n">
        <f aca="false">C140-E140-F140</f>
        <v>396627.900386007</v>
      </c>
      <c r="I140" s="25" t="n">
        <f aca="false">I139+E140</f>
        <v>103372.099613993</v>
      </c>
      <c r="J140" s="24" t="n">
        <f aca="false">J139+D140</f>
        <v>245561.955343897</v>
      </c>
    </row>
    <row r="141" customFormat="false" ht="15" hidden="true" customHeight="false" outlineLevel="1" collapsed="false">
      <c r="B141" s="125" t="n">
        <v>48153</v>
      </c>
      <c r="C141" s="21" t="n">
        <f aca="false">G140</f>
        <v>396627.900386007</v>
      </c>
      <c r="D141" s="24" t="n">
        <f aca="false">C141*E$6</f>
        <v>1652.61625160836</v>
      </c>
      <c r="E141" s="25" t="n">
        <f aca="false">E$8-D141</f>
        <v>1031.49186345233</v>
      </c>
      <c r="F141" s="127" t="n">
        <v>0</v>
      </c>
      <c r="G141" s="24" t="n">
        <f aca="false">C141-E141-F141</f>
        <v>395596.408522555</v>
      </c>
      <c r="I141" s="25" t="n">
        <f aca="false">I140+E141</f>
        <v>104403.591477445</v>
      </c>
      <c r="J141" s="24" t="n">
        <f aca="false">J140+D141</f>
        <v>247214.571595506</v>
      </c>
    </row>
    <row r="142" customFormat="false" ht="15" hidden="true" customHeight="false" outlineLevel="1" collapsed="false">
      <c r="B142" s="125" t="n">
        <v>48183</v>
      </c>
      <c r="C142" s="21" t="n">
        <f aca="false">G141</f>
        <v>395596.408522555</v>
      </c>
      <c r="D142" s="24" t="n">
        <f aca="false">C142*E$6</f>
        <v>1648.31836884398</v>
      </c>
      <c r="E142" s="25" t="n">
        <f aca="false">E$8-D142</f>
        <v>1035.78974621672</v>
      </c>
      <c r="F142" s="126" t="n">
        <v>0</v>
      </c>
      <c r="G142" s="24" t="n">
        <f aca="false">C142-E142-F142</f>
        <v>394560.618776338</v>
      </c>
      <c r="I142" s="25" t="n">
        <f aca="false">I141+E142</f>
        <v>105439.381223662</v>
      </c>
      <c r="J142" s="24" t="n">
        <f aca="false">J141+D142</f>
        <v>248862.88996435</v>
      </c>
    </row>
    <row r="143" customFormat="false" ht="15" hidden="true" customHeight="false" outlineLevel="1" collapsed="false">
      <c r="B143" s="125" t="n">
        <v>48214</v>
      </c>
      <c r="C143" s="21" t="n">
        <f aca="false">G142</f>
        <v>394560.618776338</v>
      </c>
      <c r="D143" s="24" t="n">
        <f aca="false">C143*E$6</f>
        <v>1644.00257823474</v>
      </c>
      <c r="E143" s="25" t="n">
        <f aca="false">E$8-D143</f>
        <v>1040.10553682595</v>
      </c>
      <c r="F143" s="127" t="n">
        <v>0</v>
      </c>
      <c r="G143" s="24" t="n">
        <f aca="false">C143-E143-F143</f>
        <v>393520.513239512</v>
      </c>
      <c r="I143" s="25" t="n">
        <f aca="false">I142+E143</f>
        <v>106479.486760488</v>
      </c>
      <c r="J143" s="24" t="n">
        <f aca="false">J142+D143</f>
        <v>250506.892542585</v>
      </c>
    </row>
    <row r="144" customFormat="false" ht="15" hidden="true" customHeight="false" outlineLevel="1" collapsed="false">
      <c r="B144" s="125" t="n">
        <v>48245</v>
      </c>
      <c r="C144" s="21" t="n">
        <f aca="false">G143</f>
        <v>393520.513239512</v>
      </c>
      <c r="D144" s="24" t="n">
        <f aca="false">C144*E$6</f>
        <v>1639.66880516463</v>
      </c>
      <c r="E144" s="25" t="n">
        <f aca="false">E$8-D144</f>
        <v>1044.43930989606</v>
      </c>
      <c r="F144" s="126" t="n">
        <v>0</v>
      </c>
      <c r="G144" s="24" t="n">
        <f aca="false">C144-E144-F144</f>
        <v>392476.073929616</v>
      </c>
      <c r="I144" s="25" t="n">
        <f aca="false">I143+E144</f>
        <v>107523.926070384</v>
      </c>
      <c r="J144" s="24" t="n">
        <f aca="false">J143+D144</f>
        <v>252146.561347749</v>
      </c>
    </row>
    <row r="145" customFormat="false" ht="15" hidden="true" customHeight="false" outlineLevel="1" collapsed="false">
      <c r="B145" s="125" t="n">
        <v>48274</v>
      </c>
      <c r="C145" s="21" t="n">
        <f aca="false">G144</f>
        <v>392476.073929616</v>
      </c>
      <c r="D145" s="24" t="n">
        <f aca="false">C145*E$6</f>
        <v>1635.31697470673</v>
      </c>
      <c r="E145" s="25" t="n">
        <f aca="false">E$8-D145</f>
        <v>1048.79114035396</v>
      </c>
      <c r="F145" s="127" t="n">
        <v>0</v>
      </c>
      <c r="G145" s="24" t="n">
        <f aca="false">C145-E145-F145</f>
        <v>391427.282789262</v>
      </c>
      <c r="I145" s="25" t="n">
        <f aca="false">I144+E145</f>
        <v>108572.717210738</v>
      </c>
      <c r="J145" s="24" t="n">
        <f aca="false">J144+D145</f>
        <v>253781.878322456</v>
      </c>
    </row>
    <row r="146" customFormat="false" ht="15" hidden="true" customHeight="false" outlineLevel="1" collapsed="false">
      <c r="B146" s="125" t="n">
        <v>48305</v>
      </c>
      <c r="C146" s="21" t="n">
        <f aca="false">G145</f>
        <v>391427.282789262</v>
      </c>
      <c r="D146" s="24" t="n">
        <f aca="false">C146*E$6</f>
        <v>1630.94701162193</v>
      </c>
      <c r="E146" s="25" t="n">
        <f aca="false">E$8-D146</f>
        <v>1053.16110343877</v>
      </c>
      <c r="F146" s="126" t="n">
        <v>0</v>
      </c>
      <c r="G146" s="24" t="n">
        <f aca="false">C146-E146-F146</f>
        <v>390374.121685823</v>
      </c>
      <c r="I146" s="25" t="n">
        <f aca="false">I145+E146</f>
        <v>109625.878314177</v>
      </c>
      <c r="J146" s="24" t="n">
        <f aca="false">J145+D146</f>
        <v>255412.825334078</v>
      </c>
    </row>
    <row r="147" customFormat="false" ht="15" hidden="true" customHeight="false" outlineLevel="1" collapsed="false">
      <c r="B147" s="125" t="n">
        <v>48335</v>
      </c>
      <c r="C147" s="21" t="n">
        <f aca="false">G146</f>
        <v>390374.121685823</v>
      </c>
      <c r="D147" s="24" t="n">
        <f aca="false">C147*E$6</f>
        <v>1626.5588403576</v>
      </c>
      <c r="E147" s="25" t="n">
        <f aca="false">E$8-D147</f>
        <v>1057.5492747031</v>
      </c>
      <c r="F147" s="127" t="n">
        <v>0</v>
      </c>
      <c r="G147" s="24" t="n">
        <f aca="false">C147-E147-F147</f>
        <v>389316.57241112</v>
      </c>
      <c r="I147" s="25" t="n">
        <f aca="false">I146+E147</f>
        <v>110683.42758888</v>
      </c>
      <c r="J147" s="24" t="n">
        <f aca="false">J146+D147</f>
        <v>257039.384174436</v>
      </c>
    </row>
    <row r="148" customFormat="false" ht="15" hidden="true" customHeight="false" outlineLevel="1" collapsed="false">
      <c r="B148" s="125" t="n">
        <v>48366</v>
      </c>
      <c r="C148" s="21" t="n">
        <f aca="false">G147</f>
        <v>389316.57241112</v>
      </c>
      <c r="D148" s="24" t="n">
        <f aca="false">C148*E$6</f>
        <v>1622.15238504633</v>
      </c>
      <c r="E148" s="25" t="n">
        <f aca="false">E$8-D148</f>
        <v>1061.95573001436</v>
      </c>
      <c r="F148" s="126" t="n">
        <v>0</v>
      </c>
      <c r="G148" s="24" t="n">
        <f aca="false">C148-E148-F148</f>
        <v>388254.616681106</v>
      </c>
      <c r="I148" s="25" t="n">
        <f aca="false">I147+E148</f>
        <v>111745.383318894</v>
      </c>
      <c r="J148" s="24" t="n">
        <f aca="false">J147+D148</f>
        <v>258661.536559482</v>
      </c>
    </row>
    <row r="149" customFormat="false" ht="15" hidden="true" customHeight="false" outlineLevel="1" collapsed="false">
      <c r="B149" s="125" t="n">
        <v>48396</v>
      </c>
      <c r="C149" s="21" t="n">
        <f aca="false">G148</f>
        <v>388254.616681106</v>
      </c>
      <c r="D149" s="24" t="n">
        <f aca="false">C149*E$6</f>
        <v>1617.72756950461</v>
      </c>
      <c r="E149" s="25" t="n">
        <f aca="false">E$8-D149</f>
        <v>1066.38054555609</v>
      </c>
      <c r="F149" s="127" t="n">
        <v>0</v>
      </c>
      <c r="G149" s="24" t="n">
        <f aca="false">C149-E149-F149</f>
        <v>387188.23613555</v>
      </c>
      <c r="I149" s="25" t="n">
        <f aca="false">I148+E149</f>
        <v>112811.76386445</v>
      </c>
      <c r="J149" s="24" t="n">
        <f aca="false">J148+D149</f>
        <v>260279.264128986</v>
      </c>
    </row>
    <row r="150" customFormat="false" ht="15" hidden="true" customHeight="false" outlineLevel="1" collapsed="false">
      <c r="B150" s="125" t="n">
        <v>48427</v>
      </c>
      <c r="C150" s="21" t="n">
        <f aca="false">G149</f>
        <v>387188.23613555</v>
      </c>
      <c r="D150" s="24" t="n">
        <f aca="false">C150*E$6</f>
        <v>1613.28431723146</v>
      </c>
      <c r="E150" s="25" t="n">
        <f aca="false">E$8-D150</f>
        <v>1070.82379782924</v>
      </c>
      <c r="F150" s="126" t="n">
        <v>0</v>
      </c>
      <c r="G150" s="24" t="n">
        <f aca="false">C150-E150-F150</f>
        <v>386117.412337721</v>
      </c>
      <c r="I150" s="25" t="n">
        <f aca="false">I149+E150</f>
        <v>113882.58766228</v>
      </c>
      <c r="J150" s="24" t="n">
        <f aca="false">J149+D150</f>
        <v>261892.548446218</v>
      </c>
    </row>
    <row r="151" customFormat="false" ht="15" hidden="true" customHeight="false" outlineLevel="1" collapsed="false">
      <c r="B151" s="125" t="n">
        <v>48458</v>
      </c>
      <c r="C151" s="21" t="n">
        <f aca="false">G150</f>
        <v>386117.412337721</v>
      </c>
      <c r="D151" s="24" t="n">
        <f aca="false">C151*E$6</f>
        <v>1608.82255140717</v>
      </c>
      <c r="E151" s="25" t="n">
        <f aca="false">E$8-D151</f>
        <v>1075.28556365353</v>
      </c>
      <c r="F151" s="127" t="n">
        <v>0</v>
      </c>
      <c r="G151" s="24" t="n">
        <f aca="false">C151-E151-F151</f>
        <v>385042.126774067</v>
      </c>
      <c r="I151" s="25" t="n">
        <f aca="false">I150+E151</f>
        <v>114957.873225933</v>
      </c>
      <c r="J151" s="24" t="n">
        <f aca="false">J150+D151</f>
        <v>263501.370997625</v>
      </c>
    </row>
    <row r="152" customFormat="false" ht="15" hidden="true" customHeight="false" outlineLevel="1" collapsed="false">
      <c r="B152" s="125" t="n">
        <v>48488</v>
      </c>
      <c r="C152" s="21" t="n">
        <f aca="false">G151</f>
        <v>385042.126774067</v>
      </c>
      <c r="D152" s="24" t="n">
        <f aca="false">C152*E$6</f>
        <v>1604.34219489195</v>
      </c>
      <c r="E152" s="25" t="n">
        <f aca="false">E$8-D152</f>
        <v>1079.76592016875</v>
      </c>
      <c r="F152" s="126" t="n">
        <v>0</v>
      </c>
      <c r="G152" s="24" t="n">
        <f aca="false">C152-E152-F152</f>
        <v>383962.360853898</v>
      </c>
      <c r="I152" s="25" t="n">
        <f aca="false">I151+E152</f>
        <v>116037.639146102</v>
      </c>
      <c r="J152" s="24" t="n">
        <f aca="false">J151+D152</f>
        <v>265105.713192517</v>
      </c>
    </row>
    <row r="153" customFormat="false" ht="15" hidden="true" customHeight="false" outlineLevel="1" collapsed="false">
      <c r="B153" s="125" t="n">
        <v>48519</v>
      </c>
      <c r="C153" s="21" t="n">
        <f aca="false">G152</f>
        <v>383962.360853898</v>
      </c>
      <c r="D153" s="24" t="n">
        <f aca="false">C153*E$6</f>
        <v>1599.84317022458</v>
      </c>
      <c r="E153" s="25" t="n">
        <f aca="false">E$8-D153</f>
        <v>1084.26494483612</v>
      </c>
      <c r="F153" s="127" t="n">
        <v>0</v>
      </c>
      <c r="G153" s="24" t="n">
        <f aca="false">C153-E153-F153</f>
        <v>382878.095909062</v>
      </c>
      <c r="I153" s="25" t="n">
        <f aca="false">I152+E153</f>
        <v>117121.904090938</v>
      </c>
      <c r="J153" s="24" t="n">
        <f aca="false">J152+D153</f>
        <v>266705.556362742</v>
      </c>
    </row>
    <row r="154" customFormat="false" ht="15" hidden="true" customHeight="false" outlineLevel="1" collapsed="false">
      <c r="B154" s="125" t="n">
        <v>48549</v>
      </c>
      <c r="C154" s="21" t="n">
        <f aca="false">G153</f>
        <v>382878.095909062</v>
      </c>
      <c r="D154" s="24" t="n">
        <f aca="false">C154*E$6</f>
        <v>1595.32539962109</v>
      </c>
      <c r="E154" s="25" t="n">
        <f aca="false">E$8-D154</f>
        <v>1088.7827154396</v>
      </c>
      <c r="F154" s="126" t="n">
        <v>0</v>
      </c>
      <c r="G154" s="24" t="n">
        <f aca="false">C154-E154-F154</f>
        <v>381789.313193623</v>
      </c>
      <c r="I154" s="25" t="n">
        <f aca="false">I153+E154</f>
        <v>118210.686806378</v>
      </c>
      <c r="J154" s="24" t="n">
        <f aca="false">J153+D154</f>
        <v>268300.881762363</v>
      </c>
    </row>
    <row r="155" customFormat="false" ht="15" hidden="true" customHeight="false" outlineLevel="1" collapsed="false">
      <c r="B155" s="125" t="n">
        <v>48580</v>
      </c>
      <c r="C155" s="21" t="n">
        <f aca="false">G154</f>
        <v>381789.313193623</v>
      </c>
      <c r="D155" s="24" t="n">
        <f aca="false">C155*E$6</f>
        <v>1590.78880497343</v>
      </c>
      <c r="E155" s="25" t="n">
        <f aca="false">E$8-D155</f>
        <v>1093.31931008727</v>
      </c>
      <c r="F155" s="127" t="n">
        <v>0</v>
      </c>
      <c r="G155" s="24" t="n">
        <f aca="false">C155-E155-F155</f>
        <v>380695.993883536</v>
      </c>
      <c r="I155" s="25" t="n">
        <f aca="false">I154+E155</f>
        <v>119304.006116465</v>
      </c>
      <c r="J155" s="24" t="n">
        <f aca="false">J154+D155</f>
        <v>269891.670567336</v>
      </c>
    </row>
    <row r="156" customFormat="false" ht="15" hidden="true" customHeight="false" outlineLevel="1" collapsed="false">
      <c r="B156" s="125" t="n">
        <v>48611</v>
      </c>
      <c r="C156" s="21" t="n">
        <f aca="false">G155</f>
        <v>380695.993883536</v>
      </c>
      <c r="D156" s="24" t="n">
        <f aca="false">C156*E$6</f>
        <v>1586.23330784806</v>
      </c>
      <c r="E156" s="25" t="n">
        <f aca="false">E$8-D156</f>
        <v>1097.87480721263</v>
      </c>
      <c r="F156" s="126" t="n">
        <v>0</v>
      </c>
      <c r="G156" s="24" t="n">
        <f aca="false">C156-E156-F156</f>
        <v>379598.119076323</v>
      </c>
      <c r="I156" s="25" t="n">
        <f aca="false">I155+E156</f>
        <v>120401.880923678</v>
      </c>
      <c r="J156" s="24" t="n">
        <f aca="false">J155+D156</f>
        <v>271477.903875184</v>
      </c>
    </row>
    <row r="157" customFormat="false" ht="15" hidden="true" customHeight="false" outlineLevel="1" collapsed="false">
      <c r="B157" s="125" t="n">
        <v>48639</v>
      </c>
      <c r="C157" s="21" t="n">
        <f aca="false">G156</f>
        <v>379598.119076323</v>
      </c>
      <c r="D157" s="24" t="n">
        <f aca="false">C157*E$6</f>
        <v>1581.65882948468</v>
      </c>
      <c r="E157" s="25" t="n">
        <f aca="false">E$8-D157</f>
        <v>1102.44928557602</v>
      </c>
      <c r="F157" s="127" t="n">
        <v>0</v>
      </c>
      <c r="G157" s="24" t="n">
        <f aca="false">C157-E157-F157</f>
        <v>378495.669790747</v>
      </c>
      <c r="I157" s="25" t="n">
        <f aca="false">I156+E157</f>
        <v>121504.330209254</v>
      </c>
      <c r="J157" s="24" t="n">
        <f aca="false">J156+D157</f>
        <v>273059.562704669</v>
      </c>
    </row>
    <row r="158" customFormat="false" ht="15" hidden="true" customHeight="false" outlineLevel="1" collapsed="false">
      <c r="B158" s="125" t="n">
        <v>48670</v>
      </c>
      <c r="C158" s="21" t="n">
        <f aca="false">G157</f>
        <v>378495.669790747</v>
      </c>
      <c r="D158" s="24" t="n">
        <f aca="false">C158*E$6</f>
        <v>1577.06529079478</v>
      </c>
      <c r="E158" s="25" t="n">
        <f aca="false">E$8-D158</f>
        <v>1107.04282426592</v>
      </c>
      <c r="F158" s="126" t="n">
        <v>0</v>
      </c>
      <c r="G158" s="24" t="n">
        <f aca="false">C158-E158-F158</f>
        <v>377388.626966481</v>
      </c>
      <c r="I158" s="25" t="n">
        <f aca="false">I157+E158</f>
        <v>122611.373033519</v>
      </c>
      <c r="J158" s="24" t="n">
        <f aca="false">J157+D158</f>
        <v>274636.627995464</v>
      </c>
    </row>
    <row r="159" customFormat="false" ht="15" hidden="true" customHeight="false" outlineLevel="1" collapsed="false">
      <c r="B159" s="125" t="n">
        <v>48700</v>
      </c>
      <c r="C159" s="21" t="n">
        <f aca="false">G158</f>
        <v>377388.626966481</v>
      </c>
      <c r="D159" s="24" t="n">
        <f aca="false">C159*E$6</f>
        <v>1572.45261236034</v>
      </c>
      <c r="E159" s="25" t="n">
        <f aca="false">E$8-D159</f>
        <v>1111.65550270036</v>
      </c>
      <c r="F159" s="127" t="n">
        <v>0</v>
      </c>
      <c r="G159" s="24" t="n">
        <f aca="false">C159-E159-F159</f>
        <v>376276.971463781</v>
      </c>
      <c r="I159" s="25" t="n">
        <f aca="false">I158+E159</f>
        <v>123723.02853622</v>
      </c>
      <c r="J159" s="24" t="n">
        <f aca="false">J158+D159</f>
        <v>276209.080607824</v>
      </c>
    </row>
    <row r="160" customFormat="false" ht="15" hidden="true" customHeight="false" outlineLevel="1" collapsed="false">
      <c r="B160" s="125" t="n">
        <v>48731</v>
      </c>
      <c r="C160" s="21" t="n">
        <f aca="false">G159</f>
        <v>376276.971463781</v>
      </c>
      <c r="D160" s="24" t="n">
        <f aca="false">C160*E$6</f>
        <v>1567.82071443242</v>
      </c>
      <c r="E160" s="25" t="n">
        <f aca="false">E$8-D160</f>
        <v>1116.28740062828</v>
      </c>
      <c r="F160" s="126" t="n">
        <v>0</v>
      </c>
      <c r="G160" s="24" t="n">
        <f aca="false">C160-E160-F160</f>
        <v>375160.684063152</v>
      </c>
      <c r="I160" s="25" t="n">
        <f aca="false">I159+E160</f>
        <v>124839.315936848</v>
      </c>
      <c r="J160" s="24" t="n">
        <f aca="false">J159+D160</f>
        <v>277776.901322256</v>
      </c>
    </row>
    <row r="161" customFormat="false" ht="15" hidden="true" customHeight="false" outlineLevel="1" collapsed="false">
      <c r="B161" s="125" t="n">
        <v>48761</v>
      </c>
      <c r="C161" s="21" t="n">
        <f aca="false">G160</f>
        <v>375160.684063152</v>
      </c>
      <c r="D161" s="24" t="n">
        <f aca="false">C161*E$6</f>
        <v>1563.1695169298</v>
      </c>
      <c r="E161" s="25" t="n">
        <f aca="false">E$8-D161</f>
        <v>1120.93859813089</v>
      </c>
      <c r="F161" s="127" t="n">
        <v>0</v>
      </c>
      <c r="G161" s="24" t="n">
        <f aca="false">C161-E161-F161</f>
        <v>374039.745465021</v>
      </c>
      <c r="I161" s="25" t="n">
        <f aca="false">I160+E161</f>
        <v>125960.254534979</v>
      </c>
      <c r="J161" s="24" t="n">
        <f aca="false">J160+D161</f>
        <v>279340.070839186</v>
      </c>
    </row>
    <row r="162" customFormat="false" ht="15" hidden="true" customHeight="false" outlineLevel="1" collapsed="false">
      <c r="B162" s="125" t="n">
        <v>48792</v>
      </c>
      <c r="C162" s="21" t="n">
        <f aca="false">G161</f>
        <v>374039.745465021</v>
      </c>
      <c r="D162" s="24" t="n">
        <f aca="false">C162*E$6</f>
        <v>1558.49893943759</v>
      </c>
      <c r="E162" s="25" t="n">
        <f aca="false">E$8-D162</f>
        <v>1125.60917562311</v>
      </c>
      <c r="F162" s="126" t="n">
        <v>0</v>
      </c>
      <c r="G162" s="24" t="n">
        <f aca="false">C162-E162-F162</f>
        <v>372914.136289398</v>
      </c>
      <c r="I162" s="25" t="n">
        <f aca="false">I161+E162</f>
        <v>127085.863710602</v>
      </c>
      <c r="J162" s="24" t="n">
        <f aca="false">J161+D162</f>
        <v>280898.569778624</v>
      </c>
    </row>
    <row r="163" customFormat="false" ht="15" hidden="true" customHeight="false" outlineLevel="1" collapsed="false">
      <c r="B163" s="125" t="n">
        <v>48823</v>
      </c>
      <c r="C163" s="21" t="n">
        <f aca="false">G162</f>
        <v>372914.136289398</v>
      </c>
      <c r="D163" s="24" t="n">
        <f aca="false">C163*E$6</f>
        <v>1553.80890120583</v>
      </c>
      <c r="E163" s="25" t="n">
        <f aca="false">E$8-D163</f>
        <v>1130.29921385487</v>
      </c>
      <c r="F163" s="127" t="n">
        <v>0</v>
      </c>
      <c r="G163" s="24" t="n">
        <f aca="false">C163-E163-F163</f>
        <v>371783.837075544</v>
      </c>
      <c r="I163" s="25" t="n">
        <f aca="false">I162+E163</f>
        <v>128216.162924457</v>
      </c>
      <c r="J163" s="24" t="n">
        <f aca="false">J162+D163</f>
        <v>282452.37867983</v>
      </c>
    </row>
    <row r="164" customFormat="false" ht="15" hidden="true" customHeight="false" outlineLevel="1" collapsed="false">
      <c r="B164" s="125" t="n">
        <v>48853</v>
      </c>
      <c r="C164" s="21" t="n">
        <f aca="false">G163</f>
        <v>371783.837075544</v>
      </c>
      <c r="D164" s="24" t="n">
        <f aca="false">C164*E$6</f>
        <v>1549.0993211481</v>
      </c>
      <c r="E164" s="25" t="n">
        <f aca="false">E$8-D164</f>
        <v>1135.0087939126</v>
      </c>
      <c r="F164" s="126" t="n">
        <v>0</v>
      </c>
      <c r="G164" s="24" t="n">
        <f aca="false">C164-E164-F164</f>
        <v>370648.828281631</v>
      </c>
      <c r="I164" s="25" t="n">
        <f aca="false">I163+E164</f>
        <v>129351.17171837</v>
      </c>
      <c r="J164" s="24" t="n">
        <f aca="false">J163+D164</f>
        <v>284001.478000978</v>
      </c>
    </row>
    <row r="165" customFormat="false" ht="15" hidden="true" customHeight="false" outlineLevel="1" collapsed="false">
      <c r="B165" s="125" t="n">
        <v>48884</v>
      </c>
      <c r="C165" s="21" t="n">
        <f aca="false">G164</f>
        <v>370648.828281631</v>
      </c>
      <c r="D165" s="24" t="n">
        <f aca="false">C165*E$6</f>
        <v>1544.37011784013</v>
      </c>
      <c r="E165" s="25" t="n">
        <f aca="false">E$8-D165</f>
        <v>1139.73799722057</v>
      </c>
      <c r="F165" s="127" t="n">
        <v>0</v>
      </c>
      <c r="G165" s="24" t="n">
        <f aca="false">C165-E165-F165</f>
        <v>369509.09028441</v>
      </c>
      <c r="I165" s="25" t="n">
        <f aca="false">I164+E165</f>
        <v>130490.90971559</v>
      </c>
      <c r="J165" s="24" t="n">
        <f aca="false">J164+D165</f>
        <v>285545.848118818</v>
      </c>
    </row>
    <row r="166" customFormat="false" ht="15" hidden="true" customHeight="false" outlineLevel="1" collapsed="false">
      <c r="B166" s="125" t="n">
        <v>48914</v>
      </c>
      <c r="C166" s="21" t="n">
        <f aca="false">G165</f>
        <v>369509.09028441</v>
      </c>
      <c r="D166" s="24" t="n">
        <f aca="false">C166*E$6</f>
        <v>1539.62120951838</v>
      </c>
      <c r="E166" s="25" t="n">
        <f aca="false">E$8-D166</f>
        <v>1144.48690554232</v>
      </c>
      <c r="F166" s="126" t="n">
        <v>0</v>
      </c>
      <c r="G166" s="24" t="n">
        <f aca="false">C166-E166-F166</f>
        <v>368364.603378868</v>
      </c>
      <c r="I166" s="25" t="n">
        <f aca="false">I165+E166</f>
        <v>131635.396621132</v>
      </c>
      <c r="J166" s="24" t="n">
        <f aca="false">J165+D166</f>
        <v>287085.469328336</v>
      </c>
    </row>
    <row r="167" customFormat="false" ht="15" hidden="true" customHeight="false" outlineLevel="1" collapsed="false">
      <c r="B167" s="125" t="n">
        <v>48945</v>
      </c>
      <c r="C167" s="21" t="n">
        <f aca="false">G166</f>
        <v>368364.603378868</v>
      </c>
      <c r="D167" s="24" t="n">
        <f aca="false">C167*E$6</f>
        <v>1534.85251407862</v>
      </c>
      <c r="E167" s="25" t="n">
        <f aca="false">E$8-D167</f>
        <v>1149.25560098208</v>
      </c>
      <c r="F167" s="127" t="n">
        <v>0</v>
      </c>
      <c r="G167" s="24" t="n">
        <f aca="false">C167-E167-F167</f>
        <v>367215.347777886</v>
      </c>
      <c r="I167" s="25" t="n">
        <f aca="false">I166+E167</f>
        <v>132784.652222115</v>
      </c>
      <c r="J167" s="24" t="n">
        <f aca="false">J166+D167</f>
        <v>288620.321842415</v>
      </c>
    </row>
    <row r="168" customFormat="false" ht="15" hidden="true" customHeight="false" outlineLevel="1" collapsed="false">
      <c r="B168" s="125" t="n">
        <v>48976</v>
      </c>
      <c r="C168" s="21" t="n">
        <f aca="false">G167</f>
        <v>367215.347777886</v>
      </c>
      <c r="D168" s="24" t="n">
        <f aca="false">C168*E$6</f>
        <v>1530.06394907452</v>
      </c>
      <c r="E168" s="25" t="n">
        <f aca="false">E$8-D168</f>
        <v>1154.04416598617</v>
      </c>
      <c r="F168" s="126" t="n">
        <v>0</v>
      </c>
      <c r="G168" s="24" t="n">
        <f aca="false">C168-E168-F168</f>
        <v>366061.3036119</v>
      </c>
      <c r="I168" s="25" t="n">
        <f aca="false">I167+E168</f>
        <v>133938.696388101</v>
      </c>
      <c r="J168" s="24" t="n">
        <f aca="false">J167+D168</f>
        <v>290150.385791489</v>
      </c>
    </row>
    <row r="169" customFormat="false" ht="15" hidden="true" customHeight="false" outlineLevel="1" collapsed="false">
      <c r="B169" s="125" t="n">
        <v>49004</v>
      </c>
      <c r="C169" s="21" t="n">
        <f aca="false">G168</f>
        <v>366061.3036119</v>
      </c>
      <c r="D169" s="24" t="n">
        <f aca="false">C169*E$6</f>
        <v>1525.25543171625</v>
      </c>
      <c r="E169" s="25" t="n">
        <f aca="false">E$8-D169</f>
        <v>1158.85268334445</v>
      </c>
      <c r="F169" s="127" t="n">
        <v>0</v>
      </c>
      <c r="G169" s="24" t="n">
        <f aca="false">C169-E169-F169</f>
        <v>364902.450928555</v>
      </c>
      <c r="I169" s="25" t="n">
        <f aca="false">I168+E169</f>
        <v>135097.549071445</v>
      </c>
      <c r="J169" s="24" t="n">
        <f aca="false">J168+D169</f>
        <v>291675.641223206</v>
      </c>
    </row>
    <row r="170" customFormat="false" ht="15" hidden="true" customHeight="false" outlineLevel="1" collapsed="false">
      <c r="B170" s="125" t="n">
        <v>49035</v>
      </c>
      <c r="C170" s="21" t="n">
        <f aca="false">G169</f>
        <v>364902.450928555</v>
      </c>
      <c r="D170" s="24" t="n">
        <f aca="false">C170*E$6</f>
        <v>1520.42687886898</v>
      </c>
      <c r="E170" s="25" t="n">
        <f aca="false">E$8-D170</f>
        <v>1163.68123619171</v>
      </c>
      <c r="F170" s="126" t="n">
        <v>0</v>
      </c>
      <c r="G170" s="24" t="n">
        <f aca="false">C170-E170-F170</f>
        <v>363738.769692364</v>
      </c>
      <c r="I170" s="25" t="n">
        <f aca="false">I169+E170</f>
        <v>136261.230307637</v>
      </c>
      <c r="J170" s="24" t="n">
        <f aca="false">J169+D170</f>
        <v>293196.068102075</v>
      </c>
    </row>
    <row r="171" customFormat="false" ht="15" hidden="true" customHeight="false" outlineLevel="1" collapsed="false">
      <c r="B171" s="125" t="n">
        <v>49065</v>
      </c>
      <c r="C171" s="21" t="n">
        <f aca="false">G170</f>
        <v>363738.769692364</v>
      </c>
      <c r="D171" s="24" t="n">
        <f aca="false">C171*E$6</f>
        <v>1515.57820705152</v>
      </c>
      <c r="E171" s="25" t="n">
        <f aca="false">E$8-D171</f>
        <v>1168.52990800918</v>
      </c>
      <c r="F171" s="127" t="n">
        <v>0</v>
      </c>
      <c r="G171" s="24" t="n">
        <f aca="false">C171-E171-F171</f>
        <v>362570.239784354</v>
      </c>
      <c r="I171" s="25" t="n">
        <f aca="false">I170+E171</f>
        <v>137429.760215646</v>
      </c>
      <c r="J171" s="24" t="n">
        <f aca="false">J170+D171</f>
        <v>294711.646309126</v>
      </c>
    </row>
    <row r="172" customFormat="false" ht="15" hidden="true" customHeight="false" outlineLevel="1" collapsed="false">
      <c r="B172" s="125" t="n">
        <v>49096</v>
      </c>
      <c r="C172" s="21" t="n">
        <f aca="false">G171</f>
        <v>362570.239784354</v>
      </c>
      <c r="D172" s="24" t="n">
        <f aca="false">C172*E$6</f>
        <v>1510.70933243481</v>
      </c>
      <c r="E172" s="25" t="n">
        <f aca="false">E$8-D172</f>
        <v>1173.39878262589</v>
      </c>
      <c r="F172" s="126" t="n">
        <v>0</v>
      </c>
      <c r="G172" s="24" t="n">
        <f aca="false">C172-E172-F172</f>
        <v>361396.841001729</v>
      </c>
      <c r="I172" s="25" t="n">
        <f aca="false">I171+E172</f>
        <v>138603.158998272</v>
      </c>
      <c r="J172" s="24" t="n">
        <f aca="false">J171+D172</f>
        <v>296222.355641561</v>
      </c>
    </row>
    <row r="173" customFormat="false" ht="15" hidden="true" customHeight="false" outlineLevel="1" collapsed="false">
      <c r="B173" s="125" t="n">
        <v>49126</v>
      </c>
      <c r="C173" s="21" t="n">
        <f aca="false">G172</f>
        <v>361396.841001729</v>
      </c>
      <c r="D173" s="24" t="n">
        <f aca="false">C173*E$6</f>
        <v>1505.82017084054</v>
      </c>
      <c r="E173" s="25" t="n">
        <f aca="false">E$8-D173</f>
        <v>1178.28794422016</v>
      </c>
      <c r="F173" s="127" t="n">
        <v>0</v>
      </c>
      <c r="G173" s="24" t="n">
        <f aca="false">C173-E173-F173</f>
        <v>360218.553057508</v>
      </c>
      <c r="I173" s="25" t="n">
        <f aca="false">I172+E173</f>
        <v>139781.446942492</v>
      </c>
      <c r="J173" s="24" t="n">
        <f aca="false">J172+D173</f>
        <v>297728.175812401</v>
      </c>
    </row>
    <row r="174" customFormat="false" ht="15" hidden="true" customHeight="false" outlineLevel="1" collapsed="false">
      <c r="B174" s="125" t="n">
        <v>49157</v>
      </c>
      <c r="C174" s="21" t="n">
        <f aca="false">G173</f>
        <v>360218.553057508</v>
      </c>
      <c r="D174" s="24" t="n">
        <f aca="false">C174*E$6</f>
        <v>1500.91063773962</v>
      </c>
      <c r="E174" s="25" t="n">
        <f aca="false">E$8-D174</f>
        <v>1183.19747732108</v>
      </c>
      <c r="F174" s="126" t="n">
        <v>0</v>
      </c>
      <c r="G174" s="24" t="n">
        <f aca="false">C174-E174-F174</f>
        <v>359035.355580187</v>
      </c>
      <c r="I174" s="25" t="n">
        <f aca="false">I173+E174</f>
        <v>140964.644419813</v>
      </c>
      <c r="J174" s="24" t="n">
        <f aca="false">J173+D174</f>
        <v>299229.086450141</v>
      </c>
    </row>
    <row r="175" customFormat="false" ht="15" hidden="true" customHeight="false" outlineLevel="1" collapsed="false">
      <c r="B175" s="125" t="n">
        <v>49188</v>
      </c>
      <c r="C175" s="21" t="n">
        <f aca="false">G174</f>
        <v>359035.355580187</v>
      </c>
      <c r="D175" s="24" t="n">
        <f aca="false">C175*E$6</f>
        <v>1495.98064825078</v>
      </c>
      <c r="E175" s="25" t="n">
        <f aca="false">E$8-D175</f>
        <v>1188.12746680991</v>
      </c>
      <c r="F175" s="127" t="n">
        <v>0</v>
      </c>
      <c r="G175" s="24" t="n">
        <f aca="false">C175-E175-F175</f>
        <v>357847.228113377</v>
      </c>
      <c r="I175" s="25" t="n">
        <f aca="false">I174+E175</f>
        <v>142152.771886623</v>
      </c>
      <c r="J175" s="24" t="n">
        <f aca="false">J174+D175</f>
        <v>300725.067098392</v>
      </c>
    </row>
    <row r="176" customFormat="false" ht="15" hidden="true" customHeight="false" outlineLevel="1" collapsed="false">
      <c r="B176" s="125" t="n">
        <v>49218</v>
      </c>
      <c r="C176" s="21" t="n">
        <f aca="false">G175</f>
        <v>357847.228113377</v>
      </c>
      <c r="D176" s="24" t="n">
        <f aca="false">C176*E$6</f>
        <v>1491.03011713907</v>
      </c>
      <c r="E176" s="25" t="n">
        <f aca="false">E$8-D176</f>
        <v>1193.07799792162</v>
      </c>
      <c r="F176" s="126" t="n">
        <v>0</v>
      </c>
      <c r="G176" s="24" t="n">
        <f aca="false">C176-E176-F176</f>
        <v>356654.150115456</v>
      </c>
      <c r="I176" s="25" t="n">
        <f aca="false">I175+E176</f>
        <v>143345.849884545</v>
      </c>
      <c r="J176" s="24" t="n">
        <f aca="false">J175+D176</f>
        <v>302216.097215531</v>
      </c>
    </row>
    <row r="177" customFormat="false" ht="15" hidden="true" customHeight="false" outlineLevel="1" collapsed="false">
      <c r="B177" s="125" t="n">
        <v>49249</v>
      </c>
      <c r="C177" s="21" t="n">
        <f aca="false">G176</f>
        <v>356654.150115456</v>
      </c>
      <c r="D177" s="24" t="n">
        <f aca="false">C177*E$6</f>
        <v>1486.0589588144</v>
      </c>
      <c r="E177" s="25" t="n">
        <f aca="false">E$8-D177</f>
        <v>1198.0491562463</v>
      </c>
      <c r="F177" s="127" t="n">
        <v>0</v>
      </c>
      <c r="G177" s="24" t="n">
        <f aca="false">C177-E177-F177</f>
        <v>355456.100959209</v>
      </c>
      <c r="I177" s="25" t="n">
        <f aca="false">I176+E177</f>
        <v>144543.899040791</v>
      </c>
      <c r="J177" s="24" t="n">
        <f aca="false">J176+D177</f>
        <v>303702.156174345</v>
      </c>
    </row>
    <row r="178" customFormat="false" ht="15" hidden="true" customHeight="false" outlineLevel="1" collapsed="false">
      <c r="B178" s="125" t="n">
        <v>49279</v>
      </c>
      <c r="C178" s="21" t="n">
        <f aca="false">G177</f>
        <v>355456.100959209</v>
      </c>
      <c r="D178" s="24" t="n">
        <f aca="false">C178*E$6</f>
        <v>1481.06708733004</v>
      </c>
      <c r="E178" s="25" t="n">
        <f aca="false">E$8-D178</f>
        <v>1203.04102773066</v>
      </c>
      <c r="F178" s="126" t="n">
        <v>0</v>
      </c>
      <c r="G178" s="24" t="n">
        <f aca="false">C178-E178-F178</f>
        <v>354253.059931479</v>
      </c>
      <c r="I178" s="25" t="n">
        <f aca="false">I177+E178</f>
        <v>145746.940068522</v>
      </c>
      <c r="J178" s="24" t="n">
        <f aca="false">J177+D178</f>
        <v>305183.223261675</v>
      </c>
    </row>
    <row r="179" customFormat="false" ht="15" hidden="true" customHeight="false" outlineLevel="1" collapsed="false">
      <c r="B179" s="125" t="n">
        <v>49310</v>
      </c>
      <c r="C179" s="21" t="n">
        <f aca="false">G178</f>
        <v>354253.059931479</v>
      </c>
      <c r="D179" s="24" t="n">
        <f aca="false">C179*E$6</f>
        <v>1476.05441638116</v>
      </c>
      <c r="E179" s="25" t="n">
        <f aca="false">E$8-D179</f>
        <v>1208.05369867953</v>
      </c>
      <c r="F179" s="127" t="n">
        <v>0</v>
      </c>
      <c r="G179" s="24" t="n">
        <f aca="false">C179-E179-F179</f>
        <v>353045.006232799</v>
      </c>
      <c r="I179" s="25" t="n">
        <f aca="false">I178+E179</f>
        <v>146954.993767201</v>
      </c>
      <c r="J179" s="24" t="n">
        <f aca="false">J178+D179</f>
        <v>306659.277678057</v>
      </c>
    </row>
    <row r="180" customFormat="false" ht="15" hidden="true" customHeight="false" outlineLevel="1" collapsed="false">
      <c r="B180" s="125" t="n">
        <v>49341</v>
      </c>
      <c r="C180" s="21" t="n">
        <f aca="false">G179</f>
        <v>353045.006232799</v>
      </c>
      <c r="D180" s="24" t="n">
        <f aca="false">C180*E$6</f>
        <v>1471.02085930333</v>
      </c>
      <c r="E180" s="25" t="n">
        <f aca="false">E$8-D180</f>
        <v>1213.08725575737</v>
      </c>
      <c r="F180" s="126" t="n">
        <v>0</v>
      </c>
      <c r="G180" s="24" t="n">
        <f aca="false">C180-E180-F180</f>
        <v>351831.918977042</v>
      </c>
      <c r="I180" s="25" t="n">
        <f aca="false">I179+E180</f>
        <v>148168.081022959</v>
      </c>
      <c r="J180" s="24" t="n">
        <f aca="false">J179+D180</f>
        <v>308130.29853736</v>
      </c>
    </row>
    <row r="181" customFormat="false" ht="15" hidden="true" customHeight="false" outlineLevel="1" collapsed="false">
      <c r="B181" s="125" t="n">
        <v>49369</v>
      </c>
      <c r="C181" s="21" t="n">
        <f aca="false">G180</f>
        <v>351831.918977042</v>
      </c>
      <c r="D181" s="24" t="n">
        <f aca="false">C181*E$6</f>
        <v>1465.96632907101</v>
      </c>
      <c r="E181" s="25" t="n">
        <f aca="false">E$8-D181</f>
        <v>1218.14178598969</v>
      </c>
      <c r="F181" s="127" t="n">
        <v>0</v>
      </c>
      <c r="G181" s="24" t="n">
        <f aca="false">C181-E181-F181</f>
        <v>350613.777191052</v>
      </c>
      <c r="I181" s="25" t="n">
        <f aca="false">I180+E181</f>
        <v>149386.222808948</v>
      </c>
      <c r="J181" s="24" t="n">
        <f aca="false">J180+D181</f>
        <v>309596.264866431</v>
      </c>
    </row>
    <row r="182" customFormat="false" ht="15" hidden="true" customHeight="false" outlineLevel="1" collapsed="false">
      <c r="B182" s="125" t="n">
        <v>49400</v>
      </c>
      <c r="C182" s="21" t="n">
        <f aca="false">G181</f>
        <v>350613.777191052</v>
      </c>
      <c r="D182" s="24" t="n">
        <f aca="false">C182*E$6</f>
        <v>1460.89073829605</v>
      </c>
      <c r="E182" s="25" t="n">
        <f aca="false">E$8-D182</f>
        <v>1223.21737676464</v>
      </c>
      <c r="F182" s="126" t="n">
        <v>0</v>
      </c>
      <c r="G182" s="24" t="n">
        <f aca="false">C182-E182-F182</f>
        <v>349390.559814288</v>
      </c>
      <c r="I182" s="25" t="n">
        <f aca="false">I181+E182</f>
        <v>150609.440185713</v>
      </c>
      <c r="J182" s="24" t="n">
        <f aca="false">J181+D182</f>
        <v>311057.155604727</v>
      </c>
    </row>
    <row r="183" customFormat="false" ht="15" hidden="true" customHeight="false" outlineLevel="1" collapsed="false">
      <c r="B183" s="125" t="n">
        <v>49430</v>
      </c>
      <c r="C183" s="21" t="n">
        <f aca="false">G182</f>
        <v>349390.559814288</v>
      </c>
      <c r="D183" s="24" t="n">
        <f aca="false">C183*E$6</f>
        <v>1455.7939992262</v>
      </c>
      <c r="E183" s="25" t="n">
        <f aca="false">E$8-D183</f>
        <v>1228.3141158345</v>
      </c>
      <c r="F183" s="127" t="n">
        <v>0</v>
      </c>
      <c r="G183" s="24" t="n">
        <f aca="false">C183-E183-F183</f>
        <v>348162.245698453</v>
      </c>
      <c r="I183" s="25" t="n">
        <f aca="false">I182+E183</f>
        <v>151837.754301547</v>
      </c>
      <c r="J183" s="24" t="n">
        <f aca="false">J182+D183</f>
        <v>312512.949603953</v>
      </c>
    </row>
    <row r="184" customFormat="false" ht="15" hidden="true" customHeight="false" outlineLevel="1" collapsed="false">
      <c r="B184" s="125" t="n">
        <v>49461</v>
      </c>
      <c r="C184" s="21" t="n">
        <f aca="false">G183</f>
        <v>348162.245698453</v>
      </c>
      <c r="D184" s="24" t="n">
        <f aca="false">C184*E$6</f>
        <v>1450.67602374355</v>
      </c>
      <c r="E184" s="25" t="n">
        <f aca="false">E$8-D184</f>
        <v>1233.43209131714</v>
      </c>
      <c r="F184" s="126" t="n">
        <v>0</v>
      </c>
      <c r="G184" s="24" t="n">
        <f aca="false">C184-E184-F184</f>
        <v>346928.813607136</v>
      </c>
      <c r="I184" s="25" t="n">
        <f aca="false">I183+E184</f>
        <v>153071.186392865</v>
      </c>
      <c r="J184" s="24" t="n">
        <f aca="false">J183+D184</f>
        <v>313963.625627697</v>
      </c>
    </row>
    <row r="185" customFormat="false" ht="15" hidden="true" customHeight="false" outlineLevel="1" collapsed="false">
      <c r="B185" s="125" t="n">
        <v>49491</v>
      </c>
      <c r="C185" s="21" t="n">
        <f aca="false">G184</f>
        <v>346928.813607136</v>
      </c>
      <c r="D185" s="24" t="n">
        <f aca="false">C185*E$6</f>
        <v>1445.53672336307</v>
      </c>
      <c r="E185" s="25" t="n">
        <f aca="false">E$8-D185</f>
        <v>1238.57139169763</v>
      </c>
      <c r="F185" s="127" t="n">
        <v>0</v>
      </c>
      <c r="G185" s="24" t="n">
        <f aca="false">C185-E185-F185</f>
        <v>345690.242215438</v>
      </c>
      <c r="I185" s="25" t="n">
        <f aca="false">I184+E185</f>
        <v>154309.757784562</v>
      </c>
      <c r="J185" s="24" t="n">
        <f aca="false">J184+D185</f>
        <v>315409.16235106</v>
      </c>
    </row>
    <row r="186" customFormat="false" ht="15" hidden="true" customHeight="false" outlineLevel="1" collapsed="false">
      <c r="B186" s="125" t="n">
        <v>49522</v>
      </c>
      <c r="C186" s="21" t="n">
        <f aca="false">G185</f>
        <v>345690.242215438</v>
      </c>
      <c r="D186" s="24" t="n">
        <f aca="false">C186*E$6</f>
        <v>1440.37600923099</v>
      </c>
      <c r="E186" s="25" t="n">
        <f aca="false">E$8-D186</f>
        <v>1243.7321058297</v>
      </c>
      <c r="F186" s="126" t="n">
        <v>0</v>
      </c>
      <c r="G186" s="24" t="n">
        <f aca="false">C186-E186-F186</f>
        <v>344446.510109609</v>
      </c>
      <c r="I186" s="25" t="n">
        <f aca="false">I185+E186</f>
        <v>155553.489890392</v>
      </c>
      <c r="J186" s="24" t="n">
        <f aca="false">J185+D186</f>
        <v>316849.538360291</v>
      </c>
    </row>
    <row r="187" customFormat="false" ht="15" hidden="true" customHeight="false" outlineLevel="1" collapsed="false">
      <c r="B187" s="125" t="n">
        <v>49553</v>
      </c>
      <c r="C187" s="21" t="n">
        <f aca="false">G186</f>
        <v>344446.510109609</v>
      </c>
      <c r="D187" s="24" t="n">
        <f aca="false">C187*E$6</f>
        <v>1435.19379212337</v>
      </c>
      <c r="E187" s="25" t="n">
        <f aca="false">E$8-D187</f>
        <v>1248.91432293733</v>
      </c>
      <c r="F187" s="127" t="n">
        <v>0</v>
      </c>
      <c r="G187" s="24" t="n">
        <f aca="false">C187-E187-F187</f>
        <v>343197.595786671</v>
      </c>
      <c r="I187" s="25" t="n">
        <f aca="false">I186+E187</f>
        <v>156802.404213329</v>
      </c>
      <c r="J187" s="24" t="n">
        <f aca="false">J186+D187</f>
        <v>318284.732152414</v>
      </c>
    </row>
    <row r="188" customFormat="false" ht="15" hidden="true" customHeight="false" outlineLevel="1" collapsed="false">
      <c r="B188" s="125" t="n">
        <v>49583</v>
      </c>
      <c r="C188" s="21" t="n">
        <f aca="false">G187</f>
        <v>343197.595786671</v>
      </c>
      <c r="D188" s="24" t="n">
        <f aca="false">C188*E$6</f>
        <v>1429.98998244446</v>
      </c>
      <c r="E188" s="25" t="n">
        <f aca="false">E$8-D188</f>
        <v>1254.11813261623</v>
      </c>
      <c r="F188" s="126" t="n">
        <v>0</v>
      </c>
      <c r="G188" s="24" t="n">
        <f aca="false">C188-E188-F188</f>
        <v>341943.477654055</v>
      </c>
      <c r="I188" s="25" t="n">
        <f aca="false">I187+E188</f>
        <v>158056.522345945</v>
      </c>
      <c r="J188" s="24" t="n">
        <f aca="false">J187+D188</f>
        <v>319714.722134858</v>
      </c>
    </row>
    <row r="189" customFormat="false" ht="15" hidden="true" customHeight="false" outlineLevel="1" collapsed="false">
      <c r="B189" s="125" t="n">
        <v>49614</v>
      </c>
      <c r="C189" s="21" t="n">
        <f aca="false">G188</f>
        <v>341943.477654055</v>
      </c>
      <c r="D189" s="24" t="n">
        <f aca="false">C189*E$6</f>
        <v>1424.76449022523</v>
      </c>
      <c r="E189" s="25" t="n">
        <f aca="false">E$8-D189</f>
        <v>1259.34362483547</v>
      </c>
      <c r="F189" s="127" t="n">
        <v>0</v>
      </c>
      <c r="G189" s="24" t="n">
        <f aca="false">C189-E189-F189</f>
        <v>340684.13402922</v>
      </c>
      <c r="I189" s="25" t="n">
        <f aca="false">I188+E189</f>
        <v>159315.865970781</v>
      </c>
      <c r="J189" s="24" t="n">
        <f aca="false">J188+D189</f>
        <v>321139.486625084</v>
      </c>
    </row>
    <row r="190" customFormat="false" ht="15" hidden="true" customHeight="false" outlineLevel="1" collapsed="false">
      <c r="B190" s="125" t="n">
        <v>49644</v>
      </c>
      <c r="C190" s="21" t="n">
        <f aca="false">G189</f>
        <v>340684.13402922</v>
      </c>
      <c r="D190" s="24" t="n">
        <f aca="false">C190*E$6</f>
        <v>1419.51722512175</v>
      </c>
      <c r="E190" s="25" t="n">
        <f aca="false">E$8-D190</f>
        <v>1264.59088993895</v>
      </c>
      <c r="F190" s="126" t="n">
        <v>0</v>
      </c>
      <c r="G190" s="24" t="n">
        <f aca="false">C190-E190-F190</f>
        <v>339419.543139281</v>
      </c>
      <c r="I190" s="25" t="n">
        <f aca="false">I189+E190</f>
        <v>160580.45686072</v>
      </c>
      <c r="J190" s="24" t="n">
        <f aca="false">J189+D190</f>
        <v>322559.003850205</v>
      </c>
    </row>
    <row r="191" customFormat="false" ht="15" hidden="true" customHeight="false" outlineLevel="1" collapsed="false">
      <c r="B191" s="125" t="n">
        <v>49675</v>
      </c>
      <c r="C191" s="21" t="n">
        <f aca="false">G190</f>
        <v>339419.543139281</v>
      </c>
      <c r="D191" s="24" t="n">
        <f aca="false">C191*E$6</f>
        <v>1414.24809641367</v>
      </c>
      <c r="E191" s="25" t="n">
        <f aca="false">E$8-D191</f>
        <v>1269.86001864703</v>
      </c>
      <c r="F191" s="127" t="n">
        <v>0</v>
      </c>
      <c r="G191" s="24" t="n">
        <f aca="false">C191-E191-F191</f>
        <v>338149.683120634</v>
      </c>
      <c r="I191" s="25" t="n">
        <f aca="false">I190+E191</f>
        <v>161850.316879367</v>
      </c>
      <c r="J191" s="24" t="n">
        <f aca="false">J190+D191</f>
        <v>323973.251946619</v>
      </c>
    </row>
    <row r="192" customFormat="false" ht="15" hidden="true" customHeight="false" outlineLevel="1" collapsed="false">
      <c r="B192" s="125" t="n">
        <v>49706</v>
      </c>
      <c r="C192" s="21" t="n">
        <f aca="false">G191</f>
        <v>338149.683120634</v>
      </c>
      <c r="D192" s="24" t="n">
        <f aca="false">C192*E$6</f>
        <v>1408.95701300264</v>
      </c>
      <c r="E192" s="25" t="n">
        <f aca="false">E$8-D192</f>
        <v>1275.15110205806</v>
      </c>
      <c r="F192" s="126" t="n">
        <v>0</v>
      </c>
      <c r="G192" s="24" t="n">
        <f aca="false">C192-E192-F192</f>
        <v>336874.532018576</v>
      </c>
      <c r="I192" s="25" t="n">
        <f aca="false">I191+E192</f>
        <v>163125.467981425</v>
      </c>
      <c r="J192" s="24" t="n">
        <f aca="false">J191+D192</f>
        <v>325382.208959622</v>
      </c>
    </row>
    <row r="193" customFormat="false" ht="15" hidden="true" customHeight="false" outlineLevel="1" collapsed="false">
      <c r="B193" s="125" t="n">
        <v>49735</v>
      </c>
      <c r="C193" s="21" t="n">
        <f aca="false">G192</f>
        <v>336874.532018576</v>
      </c>
      <c r="D193" s="24" t="n">
        <f aca="false">C193*E$6</f>
        <v>1403.64388341073</v>
      </c>
      <c r="E193" s="25" t="n">
        <f aca="false">E$8-D193</f>
        <v>1280.46423164996</v>
      </c>
      <c r="F193" s="127" t="n">
        <v>0</v>
      </c>
      <c r="G193" s="24" t="n">
        <f aca="false">C193-E193-F193</f>
        <v>335594.067786926</v>
      </c>
      <c r="I193" s="25" t="n">
        <f aca="false">I192+E193</f>
        <v>164405.932213075</v>
      </c>
      <c r="J193" s="24" t="n">
        <f aca="false">J192+D193</f>
        <v>326785.852843032</v>
      </c>
    </row>
    <row r="194" customFormat="false" ht="15" hidden="true" customHeight="false" outlineLevel="1" collapsed="false">
      <c r="B194" s="125" t="n">
        <v>49766</v>
      </c>
      <c r="C194" s="21" t="n">
        <f aca="false">G193</f>
        <v>335594.067786926</v>
      </c>
      <c r="D194" s="24" t="n">
        <f aca="false">C194*E$6</f>
        <v>1398.30861577886</v>
      </c>
      <c r="E194" s="25" t="n">
        <f aca="false">E$8-D194</f>
        <v>1285.79949928184</v>
      </c>
      <c r="F194" s="126" t="n">
        <v>0</v>
      </c>
      <c r="G194" s="24" t="n">
        <f aca="false">C194-E194-F194</f>
        <v>334308.268287644</v>
      </c>
      <c r="I194" s="25" t="n">
        <f aca="false">I193+E194</f>
        <v>165691.731712357</v>
      </c>
      <c r="J194" s="24" t="n">
        <f aca="false">J193+D194</f>
        <v>328184.161458811</v>
      </c>
    </row>
    <row r="195" customFormat="false" ht="15" hidden="true" customHeight="false" outlineLevel="1" collapsed="false">
      <c r="B195" s="125" t="n">
        <v>49796</v>
      </c>
      <c r="C195" s="21" t="n">
        <f aca="false">G194</f>
        <v>334308.268287644</v>
      </c>
      <c r="D195" s="24" t="n">
        <f aca="false">C195*E$6</f>
        <v>1392.95111786518</v>
      </c>
      <c r="E195" s="25" t="n">
        <f aca="false">E$8-D195</f>
        <v>1291.15699719551</v>
      </c>
      <c r="F195" s="127" t="n">
        <v>0</v>
      </c>
      <c r="G195" s="24" t="n">
        <f aca="false">C195-E195-F195</f>
        <v>333017.111290448</v>
      </c>
      <c r="I195" s="25" t="n">
        <f aca="false">I194+E195</f>
        <v>166982.888709552</v>
      </c>
      <c r="J195" s="24" t="n">
        <f aca="false">J194+D195</f>
        <v>329577.112576677</v>
      </c>
    </row>
    <row r="196" customFormat="false" ht="15" hidden="true" customHeight="false" outlineLevel="1" collapsed="false">
      <c r="B196" s="125" t="n">
        <v>49827</v>
      </c>
      <c r="C196" s="21" t="n">
        <f aca="false">G195</f>
        <v>333017.111290448</v>
      </c>
      <c r="D196" s="24" t="n">
        <f aca="false">C196*E$6</f>
        <v>1387.57129704353</v>
      </c>
      <c r="E196" s="25" t="n">
        <f aca="false">E$8-D196</f>
        <v>1296.53681801716</v>
      </c>
      <c r="F196" s="126" t="n">
        <v>0</v>
      </c>
      <c r="G196" s="24" t="n">
        <f aca="false">C196-E196-F196</f>
        <v>331720.574472431</v>
      </c>
      <c r="I196" s="25" t="n">
        <f aca="false">I195+E196</f>
        <v>168279.425527569</v>
      </c>
      <c r="J196" s="24" t="n">
        <f aca="false">J195+D196</f>
        <v>330964.68387372</v>
      </c>
    </row>
    <row r="197" customFormat="false" ht="15" hidden="true" customHeight="false" outlineLevel="1" collapsed="false">
      <c r="B197" s="125" t="n">
        <v>49857</v>
      </c>
      <c r="C197" s="21" t="n">
        <f aca="false">G196</f>
        <v>331720.574472431</v>
      </c>
      <c r="D197" s="24" t="n">
        <f aca="false">C197*E$6</f>
        <v>1382.1690603018</v>
      </c>
      <c r="E197" s="25" t="n">
        <f aca="false">E$8-D197</f>
        <v>1301.9390547589</v>
      </c>
      <c r="F197" s="127" t="n">
        <v>0</v>
      </c>
      <c r="G197" s="24" t="n">
        <f aca="false">C197-E197-F197</f>
        <v>330418.635417672</v>
      </c>
      <c r="I197" s="25" t="n">
        <f aca="false">I196+E197</f>
        <v>169581.364582328</v>
      </c>
      <c r="J197" s="24" t="n">
        <f aca="false">J196+D197</f>
        <v>332346.852934022</v>
      </c>
    </row>
    <row r="198" customFormat="false" ht="15" hidden="true" customHeight="false" outlineLevel="1" collapsed="false">
      <c r="B198" s="125" t="n">
        <v>49888</v>
      </c>
      <c r="C198" s="21" t="n">
        <f aca="false">G197</f>
        <v>330418.635417672</v>
      </c>
      <c r="D198" s="24" t="n">
        <f aca="false">C198*E$6</f>
        <v>1376.7443142403</v>
      </c>
      <c r="E198" s="25" t="n">
        <f aca="false">E$8-D198</f>
        <v>1307.36380082039</v>
      </c>
      <c r="F198" s="126" t="n">
        <v>0</v>
      </c>
      <c r="G198" s="24" t="n">
        <f aca="false">C198-E198-F198</f>
        <v>329111.271616852</v>
      </c>
      <c r="I198" s="25" t="n">
        <f aca="false">I197+E198</f>
        <v>170888.728383149</v>
      </c>
      <c r="J198" s="24" t="n">
        <f aca="false">J197+D198</f>
        <v>333723.597248262</v>
      </c>
    </row>
    <row r="199" customFormat="false" ht="15" hidden="true" customHeight="false" outlineLevel="1" collapsed="false">
      <c r="B199" s="125" t="n">
        <v>49919</v>
      </c>
      <c r="C199" s="21" t="n">
        <f aca="false">G198</f>
        <v>329111.271616852</v>
      </c>
      <c r="D199" s="24" t="n">
        <f aca="false">C199*E$6</f>
        <v>1371.29696507022</v>
      </c>
      <c r="E199" s="25" t="n">
        <f aca="false">E$8-D199</f>
        <v>1312.81114999048</v>
      </c>
      <c r="F199" s="127" t="n">
        <v>0</v>
      </c>
      <c r="G199" s="24" t="n">
        <f aca="false">C199-E199-F199</f>
        <v>327798.460466861</v>
      </c>
      <c r="I199" s="25" t="n">
        <f aca="false">I198+E199</f>
        <v>172201.539533139</v>
      </c>
      <c r="J199" s="24" t="n">
        <f aca="false">J198+D199</f>
        <v>335094.894213332</v>
      </c>
    </row>
    <row r="200" customFormat="false" ht="15" hidden="true" customHeight="false" outlineLevel="1" collapsed="false">
      <c r="B200" s="125" t="n">
        <v>49949</v>
      </c>
      <c r="C200" s="21" t="n">
        <f aca="false">G199</f>
        <v>327798.460466861</v>
      </c>
      <c r="D200" s="24" t="n">
        <f aca="false">C200*E$6</f>
        <v>1365.82691861192</v>
      </c>
      <c r="E200" s="25" t="n">
        <f aca="false">E$8-D200</f>
        <v>1318.28119644877</v>
      </c>
      <c r="F200" s="126" t="n">
        <v>0</v>
      </c>
      <c r="G200" s="24" t="n">
        <f aca="false">C200-E200-F200</f>
        <v>326480.179270413</v>
      </c>
      <c r="I200" s="25" t="n">
        <f aca="false">I199+E200</f>
        <v>173519.820729588</v>
      </c>
      <c r="J200" s="24" t="n">
        <f aca="false">J199+D200</f>
        <v>336460.721131944</v>
      </c>
    </row>
    <row r="201" customFormat="false" ht="15" hidden="true" customHeight="false" outlineLevel="1" collapsed="false">
      <c r="B201" s="125" t="n">
        <v>49980</v>
      </c>
      <c r="C201" s="21" t="n">
        <f aca="false">G200</f>
        <v>326480.179270413</v>
      </c>
      <c r="D201" s="24" t="n">
        <f aca="false">C201*E$6</f>
        <v>1360.33408029339</v>
      </c>
      <c r="E201" s="25" t="n">
        <f aca="false">E$8-D201</f>
        <v>1323.77403476731</v>
      </c>
      <c r="F201" s="127" t="n">
        <v>0</v>
      </c>
      <c r="G201" s="24" t="n">
        <f aca="false">C201-E201-F201</f>
        <v>325156.405235645</v>
      </c>
      <c r="I201" s="25" t="n">
        <f aca="false">I200+E201</f>
        <v>174843.594764355</v>
      </c>
      <c r="J201" s="24" t="n">
        <f aca="false">J200+D201</f>
        <v>337821.055212238</v>
      </c>
    </row>
    <row r="202" customFormat="false" ht="15" hidden="true" customHeight="false" outlineLevel="1" collapsed="false">
      <c r="B202" s="125" t="n">
        <v>50010</v>
      </c>
      <c r="C202" s="21" t="n">
        <f aca="false">G201</f>
        <v>325156.405235645</v>
      </c>
      <c r="D202" s="24" t="n">
        <f aca="false">C202*E$6</f>
        <v>1354.81835514852</v>
      </c>
      <c r="E202" s="25" t="n">
        <f aca="false">E$8-D202</f>
        <v>1329.28975991217</v>
      </c>
      <c r="F202" s="126" t="n">
        <v>0</v>
      </c>
      <c r="G202" s="24" t="n">
        <f aca="false">C202-E202-F202</f>
        <v>323827.115475733</v>
      </c>
      <c r="I202" s="25" t="n">
        <f aca="false">I201+E202</f>
        <v>176172.884524267</v>
      </c>
      <c r="J202" s="24" t="n">
        <f aca="false">J201+D202</f>
        <v>339175.873567386</v>
      </c>
    </row>
    <row r="203" customFormat="false" ht="15" hidden="true" customHeight="false" outlineLevel="1" collapsed="false">
      <c r="B203" s="125" t="n">
        <v>50041</v>
      </c>
      <c r="C203" s="21" t="n">
        <f aca="false">G202</f>
        <v>323827.115475733</v>
      </c>
      <c r="D203" s="24" t="n">
        <f aca="false">C203*E$6</f>
        <v>1349.27964781555</v>
      </c>
      <c r="E203" s="25" t="n">
        <f aca="false">E$8-D203</f>
        <v>1334.82846724514</v>
      </c>
      <c r="F203" s="127" t="n">
        <v>0</v>
      </c>
      <c r="G203" s="24" t="n">
        <f aca="false">C203-E203-F203</f>
        <v>322492.287008488</v>
      </c>
      <c r="I203" s="25" t="n">
        <f aca="false">I202+E203</f>
        <v>177507.712991512</v>
      </c>
      <c r="J203" s="24" t="n">
        <f aca="false">J202+D203</f>
        <v>340525.153215202</v>
      </c>
    </row>
    <row r="204" customFormat="false" ht="15" hidden="true" customHeight="false" outlineLevel="1" collapsed="false">
      <c r="B204" s="125" t="n">
        <v>50072</v>
      </c>
      <c r="C204" s="21" t="n">
        <f aca="false">G203</f>
        <v>322492.287008488</v>
      </c>
      <c r="D204" s="24" t="n">
        <f aca="false">C204*E$6</f>
        <v>1343.71786253537</v>
      </c>
      <c r="E204" s="25" t="n">
        <f aca="false">E$8-D204</f>
        <v>1340.39025252533</v>
      </c>
      <c r="F204" s="126" t="n">
        <v>0</v>
      </c>
      <c r="G204" s="24" t="n">
        <f aca="false">C204-E204-F204</f>
        <v>321151.896755963</v>
      </c>
      <c r="I204" s="25" t="n">
        <f aca="false">I203+E204</f>
        <v>178848.103244038</v>
      </c>
      <c r="J204" s="24" t="n">
        <f aca="false">J203+D204</f>
        <v>341868.871077737</v>
      </c>
    </row>
    <row r="205" customFormat="false" ht="15" hidden="true" customHeight="false" outlineLevel="1" collapsed="false">
      <c r="B205" s="125" t="n">
        <v>50100</v>
      </c>
      <c r="C205" s="21" t="n">
        <f aca="false">G204</f>
        <v>321151.896755963</v>
      </c>
      <c r="D205" s="24" t="n">
        <f aca="false">C205*E$6</f>
        <v>1338.13290314984</v>
      </c>
      <c r="E205" s="25" t="n">
        <f aca="false">E$8-D205</f>
        <v>1345.97521191085</v>
      </c>
      <c r="F205" s="127" t="n">
        <v>0</v>
      </c>
      <c r="G205" s="24" t="n">
        <f aca="false">C205-E205-F205</f>
        <v>319805.921544052</v>
      </c>
      <c r="I205" s="25" t="n">
        <f aca="false">I204+E205</f>
        <v>180194.078455949</v>
      </c>
      <c r="J205" s="24" t="n">
        <f aca="false">J204+D205</f>
        <v>343207.003980887</v>
      </c>
    </row>
    <row r="206" customFormat="false" ht="15" hidden="true" customHeight="false" outlineLevel="1" collapsed="false">
      <c r="B206" s="125" t="n">
        <v>50131</v>
      </c>
      <c r="C206" s="21" t="n">
        <f aca="false">G205</f>
        <v>319805.921544052</v>
      </c>
      <c r="D206" s="24" t="n">
        <f aca="false">C206*E$6</f>
        <v>1332.52467310022</v>
      </c>
      <c r="E206" s="25" t="n">
        <f aca="false">E$8-D206</f>
        <v>1351.58344196048</v>
      </c>
      <c r="F206" s="126" t="n">
        <v>0</v>
      </c>
      <c r="G206" s="24" t="n">
        <f aca="false">C206-E206-F206</f>
        <v>318454.338102091</v>
      </c>
      <c r="I206" s="25" t="n">
        <f aca="false">I205+E206</f>
        <v>181545.661897909</v>
      </c>
      <c r="J206" s="24" t="n">
        <f aca="false">J205+D206</f>
        <v>344539.528653987</v>
      </c>
    </row>
    <row r="207" customFormat="false" ht="15" hidden="true" customHeight="false" outlineLevel="1" collapsed="false">
      <c r="B207" s="125" t="n">
        <v>50161</v>
      </c>
      <c r="C207" s="21" t="n">
        <f aca="false">G206</f>
        <v>318454.338102091</v>
      </c>
      <c r="D207" s="24" t="n">
        <f aca="false">C207*E$6</f>
        <v>1326.89307542538</v>
      </c>
      <c r="E207" s="25" t="n">
        <f aca="false">E$8-D207</f>
        <v>1357.21503963531</v>
      </c>
      <c r="F207" s="127" t="n">
        <v>0</v>
      </c>
      <c r="G207" s="24" t="n">
        <f aca="false">C207-E207-F207</f>
        <v>317097.123062456</v>
      </c>
      <c r="I207" s="25" t="n">
        <f aca="false">I206+E207</f>
        <v>182902.876937544</v>
      </c>
      <c r="J207" s="24" t="n">
        <f aca="false">J206+D207</f>
        <v>345866.421729413</v>
      </c>
    </row>
    <row r="208" customFormat="false" ht="15" hidden="true" customHeight="false" outlineLevel="1" collapsed="false">
      <c r="B208" s="125" t="n">
        <v>50192</v>
      </c>
      <c r="C208" s="21" t="n">
        <f aca="false">G207</f>
        <v>317097.123062456</v>
      </c>
      <c r="D208" s="24" t="n">
        <f aca="false">C208*E$6</f>
        <v>1321.23801276023</v>
      </c>
      <c r="E208" s="25" t="n">
        <f aca="false">E$8-D208</f>
        <v>1362.87010230046</v>
      </c>
      <c r="F208" s="126" t="n">
        <v>0</v>
      </c>
      <c r="G208" s="24" t="n">
        <f aca="false">C208-E208-F208</f>
        <v>315734.252960156</v>
      </c>
      <c r="I208" s="25" t="n">
        <f aca="false">I207+E208</f>
        <v>184265.747039845</v>
      </c>
      <c r="J208" s="24" t="n">
        <f aca="false">J207+D208</f>
        <v>347187.659742173</v>
      </c>
    </row>
    <row r="209" customFormat="false" ht="15" hidden="true" customHeight="false" outlineLevel="1" collapsed="false">
      <c r="B209" s="125" t="n">
        <v>50222</v>
      </c>
      <c r="C209" s="21" t="n">
        <f aca="false">G208</f>
        <v>315734.252960156</v>
      </c>
      <c r="D209" s="24" t="n">
        <f aca="false">C209*E$6</f>
        <v>1315.55938733398</v>
      </c>
      <c r="E209" s="25" t="n">
        <f aca="false">E$8-D209</f>
        <v>1368.54872772671</v>
      </c>
      <c r="F209" s="127" t="n">
        <v>0</v>
      </c>
      <c r="G209" s="24" t="n">
        <f aca="false">C209-E209-F209</f>
        <v>314365.704232429</v>
      </c>
      <c r="I209" s="25" t="n">
        <f aca="false">I208+E209</f>
        <v>185634.295767572</v>
      </c>
      <c r="J209" s="24" t="n">
        <f aca="false">J208+D209</f>
        <v>348503.219129507</v>
      </c>
    </row>
    <row r="210" customFormat="false" ht="15" hidden="true" customHeight="false" outlineLevel="1" collapsed="false">
      <c r="B210" s="125" t="n">
        <v>50253</v>
      </c>
      <c r="C210" s="21" t="n">
        <f aca="false">G209</f>
        <v>314365.704232429</v>
      </c>
      <c r="D210" s="24" t="n">
        <f aca="false">C210*E$6</f>
        <v>1309.85710096845</v>
      </c>
      <c r="E210" s="25" t="n">
        <f aca="false">E$8-D210</f>
        <v>1374.25101409224</v>
      </c>
      <c r="F210" s="126" t="n">
        <v>0</v>
      </c>
      <c r="G210" s="24" t="n">
        <f aca="false">C210-E210-F210</f>
        <v>312991.453218337</v>
      </c>
      <c r="I210" s="25" t="n">
        <f aca="false">I209+E210</f>
        <v>187008.546781664</v>
      </c>
      <c r="J210" s="24" t="n">
        <f aca="false">J209+D210</f>
        <v>349813.076230475</v>
      </c>
    </row>
    <row r="211" customFormat="false" ht="15" hidden="true" customHeight="false" outlineLevel="1" collapsed="false">
      <c r="B211" s="125" t="n">
        <v>50284</v>
      </c>
      <c r="C211" s="21" t="n">
        <f aca="false">G210</f>
        <v>312991.453218337</v>
      </c>
      <c r="D211" s="24" t="n">
        <f aca="false">C211*E$6</f>
        <v>1304.1310550764</v>
      </c>
      <c r="E211" s="25" t="n">
        <f aca="false">E$8-D211</f>
        <v>1379.97705998429</v>
      </c>
      <c r="F211" s="127" t="n">
        <v>0</v>
      </c>
      <c r="G211" s="24" t="n">
        <f aca="false">C211-E211-F211</f>
        <v>311611.476158352</v>
      </c>
      <c r="I211" s="25" t="n">
        <f aca="false">I210+E211</f>
        <v>188388.523841648</v>
      </c>
      <c r="J211" s="24" t="n">
        <f aca="false">J210+D211</f>
        <v>351117.207285552</v>
      </c>
    </row>
    <row r="212" customFormat="false" ht="15" hidden="true" customHeight="false" outlineLevel="1" collapsed="false">
      <c r="B212" s="125" t="n">
        <v>50314</v>
      </c>
      <c r="C212" s="21" t="n">
        <f aca="false">G211</f>
        <v>311611.476158352</v>
      </c>
      <c r="D212" s="24" t="n">
        <f aca="false">C212*E$6</f>
        <v>1298.3811506598</v>
      </c>
      <c r="E212" s="25" t="n">
        <f aca="false">E$8-D212</f>
        <v>1385.72696440089</v>
      </c>
      <c r="F212" s="126" t="n">
        <v>0</v>
      </c>
      <c r="G212" s="24" t="n">
        <f aca="false">C212-E212-F212</f>
        <v>310225.749193951</v>
      </c>
      <c r="I212" s="25" t="n">
        <f aca="false">I211+E212</f>
        <v>189774.250806049</v>
      </c>
      <c r="J212" s="24" t="n">
        <f aca="false">J211+D212</f>
        <v>352415.588436211</v>
      </c>
    </row>
    <row r="213" customFormat="false" ht="15" hidden="true" customHeight="false" outlineLevel="1" collapsed="false">
      <c r="B213" s="125" t="n">
        <v>50345</v>
      </c>
      <c r="C213" s="21" t="n">
        <f aca="false">G212</f>
        <v>310225.749193951</v>
      </c>
      <c r="D213" s="24" t="n">
        <f aca="false">C213*E$6</f>
        <v>1292.60728830813</v>
      </c>
      <c r="E213" s="25" t="n">
        <f aca="false">E$8-D213</f>
        <v>1391.50082675256</v>
      </c>
      <c r="F213" s="127" t="n">
        <v>0</v>
      </c>
      <c r="G213" s="24" t="n">
        <f aca="false">C213-E213-F213</f>
        <v>308834.248367199</v>
      </c>
      <c r="I213" s="25" t="n">
        <f aca="false">I212+E213</f>
        <v>191165.751632802</v>
      </c>
      <c r="J213" s="24" t="n">
        <f aca="false">J212+D213</f>
        <v>353708.19572452</v>
      </c>
    </row>
    <row r="214" customFormat="false" ht="15" hidden="true" customHeight="false" outlineLevel="1" collapsed="false">
      <c r="B214" s="125" t="n">
        <v>50375</v>
      </c>
      <c r="C214" s="21" t="n">
        <f aca="false">G213</f>
        <v>308834.248367199</v>
      </c>
      <c r="D214" s="24" t="n">
        <f aca="false">C214*E$6</f>
        <v>1286.80936819666</v>
      </c>
      <c r="E214" s="25" t="n">
        <f aca="false">E$8-D214</f>
        <v>1397.29874686403</v>
      </c>
      <c r="F214" s="126" t="n">
        <v>0</v>
      </c>
      <c r="G214" s="24" t="n">
        <f aca="false">C214-E214-F214</f>
        <v>307436.949620335</v>
      </c>
      <c r="I214" s="25" t="n">
        <f aca="false">I213+E214</f>
        <v>192563.050379666</v>
      </c>
      <c r="J214" s="24" t="n">
        <f aca="false">J213+D214</f>
        <v>354995.005092716</v>
      </c>
    </row>
    <row r="215" customFormat="false" ht="15" hidden="true" customHeight="false" outlineLevel="1" collapsed="false">
      <c r="B215" s="125" t="n">
        <v>50406</v>
      </c>
      <c r="C215" s="21" t="n">
        <f aca="false">G214</f>
        <v>307436.949620335</v>
      </c>
      <c r="D215" s="24" t="n">
        <f aca="false">C215*E$6</f>
        <v>1280.98729008473</v>
      </c>
      <c r="E215" s="25" t="n">
        <f aca="false">E$8-D215</f>
        <v>1403.12082497597</v>
      </c>
      <c r="F215" s="127" t="n">
        <v>0</v>
      </c>
      <c r="G215" s="24" t="n">
        <f aca="false">C215-E215-F215</f>
        <v>306033.828795359</v>
      </c>
      <c r="I215" s="25" t="n">
        <f aca="false">I214+E215</f>
        <v>193966.171204642</v>
      </c>
      <c r="J215" s="24" t="n">
        <f aca="false">J214+D215</f>
        <v>356275.992382801</v>
      </c>
    </row>
    <row r="216" customFormat="false" ht="15" hidden="true" customHeight="false" outlineLevel="1" collapsed="false">
      <c r="B216" s="125" t="n">
        <v>50437</v>
      </c>
      <c r="C216" s="21" t="n">
        <f aca="false">G215</f>
        <v>306033.828795359</v>
      </c>
      <c r="D216" s="24" t="n">
        <f aca="false">C216*E$6</f>
        <v>1275.140953314</v>
      </c>
      <c r="E216" s="25" t="n">
        <f aca="false">E$8-D216</f>
        <v>1408.9671617467</v>
      </c>
      <c r="F216" s="126" t="n">
        <v>0</v>
      </c>
      <c r="G216" s="24" t="n">
        <f aca="false">C216-E216-F216</f>
        <v>304624.861633612</v>
      </c>
      <c r="I216" s="25" t="n">
        <f aca="false">I215+E216</f>
        <v>195375.138366388</v>
      </c>
      <c r="J216" s="24" t="n">
        <f aca="false">J215+D216</f>
        <v>357551.133336115</v>
      </c>
    </row>
    <row r="217" customFormat="false" ht="15" hidden="true" customHeight="false" outlineLevel="1" collapsed="false">
      <c r="B217" s="125" t="n">
        <v>50465</v>
      </c>
      <c r="C217" s="21" t="n">
        <f aca="false">G216</f>
        <v>304624.861633612</v>
      </c>
      <c r="D217" s="24" t="n">
        <f aca="false">C217*E$6</f>
        <v>1269.27025680672</v>
      </c>
      <c r="E217" s="25" t="n">
        <f aca="false">E$8-D217</f>
        <v>1414.83785825398</v>
      </c>
      <c r="F217" s="127" t="n">
        <v>0</v>
      </c>
      <c r="G217" s="24" t="n">
        <f aca="false">C217-E217-F217</f>
        <v>303210.023775358</v>
      </c>
      <c r="I217" s="25" t="n">
        <f aca="false">I216+E217</f>
        <v>196789.976224642</v>
      </c>
      <c r="J217" s="24" t="n">
        <f aca="false">J216+D217</f>
        <v>358820.403592922</v>
      </c>
    </row>
    <row r="218" customFormat="false" ht="15" hidden="true" customHeight="false" outlineLevel="1" collapsed="false">
      <c r="B218" s="125" t="n">
        <v>50496</v>
      </c>
      <c r="C218" s="21" t="n">
        <f aca="false">G217</f>
        <v>303210.023775358</v>
      </c>
      <c r="D218" s="24" t="n">
        <f aca="false">C218*E$6</f>
        <v>1263.37509906399</v>
      </c>
      <c r="E218" s="25" t="n">
        <f aca="false">E$8-D218</f>
        <v>1420.7330159967</v>
      </c>
      <c r="F218" s="126" t="n">
        <v>0</v>
      </c>
      <c r="G218" s="24" t="n">
        <f aca="false">C218-E218-F218</f>
        <v>301789.290759361</v>
      </c>
      <c r="I218" s="25" t="n">
        <f aca="false">I217+E218</f>
        <v>198210.709240639</v>
      </c>
      <c r="J218" s="24" t="n">
        <f aca="false">J217+D218</f>
        <v>360083.778691986</v>
      </c>
    </row>
    <row r="219" customFormat="false" ht="15" hidden="true" customHeight="false" outlineLevel="1" collapsed="false">
      <c r="B219" s="125" t="n">
        <v>50526</v>
      </c>
      <c r="C219" s="21" t="n">
        <f aca="false">G218</f>
        <v>301789.290759361</v>
      </c>
      <c r="D219" s="24" t="n">
        <f aca="false">C219*E$6</f>
        <v>1257.45537816401</v>
      </c>
      <c r="E219" s="25" t="n">
        <f aca="false">E$8-D219</f>
        <v>1426.65273689669</v>
      </c>
      <c r="F219" s="127" t="n">
        <v>0</v>
      </c>
      <c r="G219" s="24" t="n">
        <f aca="false">C219-E219-F219</f>
        <v>300362.638022465</v>
      </c>
      <c r="I219" s="25" t="n">
        <f aca="false">I218+E219</f>
        <v>199637.361977536</v>
      </c>
      <c r="J219" s="24" t="n">
        <f aca="false">J218+D219</f>
        <v>361341.23407015</v>
      </c>
    </row>
    <row r="220" customFormat="false" ht="15" hidden="true" customHeight="false" outlineLevel="1" collapsed="false">
      <c r="B220" s="125" t="n">
        <v>50557</v>
      </c>
      <c r="C220" s="21" t="n">
        <f aca="false">G219</f>
        <v>300362.638022465</v>
      </c>
      <c r="D220" s="24" t="n">
        <f aca="false">C220*E$6</f>
        <v>1251.51099176027</v>
      </c>
      <c r="E220" s="25" t="n">
        <f aca="false">E$8-D220</f>
        <v>1432.59712330043</v>
      </c>
      <c r="F220" s="126" t="n">
        <v>0</v>
      </c>
      <c r="G220" s="24" t="n">
        <f aca="false">C220-E220-F220</f>
        <v>298930.040899164</v>
      </c>
      <c r="I220" s="25" t="n">
        <f aca="false">I219+E220</f>
        <v>201069.959100836</v>
      </c>
      <c r="J220" s="24" t="n">
        <f aca="false">J219+D220</f>
        <v>362592.74506191</v>
      </c>
    </row>
    <row r="221" customFormat="false" ht="15" hidden="true" customHeight="false" outlineLevel="1" collapsed="false">
      <c r="B221" s="125" t="n">
        <v>50587</v>
      </c>
      <c r="C221" s="21" t="n">
        <f aca="false">G220</f>
        <v>298930.040899164</v>
      </c>
      <c r="D221" s="24" t="n">
        <f aca="false">C221*E$6</f>
        <v>1245.54183707985</v>
      </c>
      <c r="E221" s="25" t="n">
        <f aca="false">E$8-D221</f>
        <v>1438.56627798084</v>
      </c>
      <c r="F221" s="127" t="n">
        <v>0</v>
      </c>
      <c r="G221" s="24" t="n">
        <f aca="false">C221-E221-F221</f>
        <v>297491.474621184</v>
      </c>
      <c r="I221" s="25" t="n">
        <f aca="false">I220+E221</f>
        <v>202508.525378817</v>
      </c>
      <c r="J221" s="24" t="n">
        <f aca="false">J220+D221</f>
        <v>363838.28689899</v>
      </c>
    </row>
    <row r="222" customFormat="false" ht="15" hidden="true" customHeight="false" outlineLevel="1" collapsed="false">
      <c r="B222" s="125" t="n">
        <v>50618</v>
      </c>
      <c r="C222" s="21" t="n">
        <f aca="false">G221</f>
        <v>297491.474621184</v>
      </c>
      <c r="D222" s="24" t="n">
        <f aca="false">C222*E$6</f>
        <v>1239.5478109216</v>
      </c>
      <c r="E222" s="25" t="n">
        <f aca="false">E$8-D222</f>
        <v>1444.5603041391</v>
      </c>
      <c r="F222" s="126" t="n">
        <v>0</v>
      </c>
      <c r="G222" s="24" t="n">
        <f aca="false">C222-E222-F222</f>
        <v>296046.914317044</v>
      </c>
      <c r="I222" s="25" t="n">
        <f aca="false">I221+E222</f>
        <v>203953.085682956</v>
      </c>
      <c r="J222" s="24" t="n">
        <f aca="false">J221+D222</f>
        <v>365077.834709911</v>
      </c>
    </row>
    <row r="223" customFormat="false" ht="15" hidden="true" customHeight="false" outlineLevel="1" collapsed="false">
      <c r="B223" s="125" t="n">
        <v>50649</v>
      </c>
      <c r="C223" s="21" t="n">
        <f aca="false">G222</f>
        <v>296046.914317044</v>
      </c>
      <c r="D223" s="24" t="n">
        <f aca="false">C223*E$6</f>
        <v>1233.52880965435</v>
      </c>
      <c r="E223" s="25" t="n">
        <f aca="false">E$8-D223</f>
        <v>1450.57930540634</v>
      </c>
      <c r="F223" s="127" t="n">
        <v>0</v>
      </c>
      <c r="G223" s="24" t="n">
        <f aca="false">C223-E223-F223</f>
        <v>294596.335011638</v>
      </c>
      <c r="I223" s="25" t="n">
        <f aca="false">I222+E223</f>
        <v>205403.664988362</v>
      </c>
      <c r="J223" s="24" t="n">
        <f aca="false">J222+D223</f>
        <v>366311.363519566</v>
      </c>
    </row>
    <row r="224" customFormat="false" ht="15" hidden="true" customHeight="false" outlineLevel="1" collapsed="false">
      <c r="B224" s="125" t="n">
        <v>50679</v>
      </c>
      <c r="C224" s="21" t="n">
        <f aca="false">G223</f>
        <v>294596.335011638</v>
      </c>
      <c r="D224" s="24" t="n">
        <f aca="false">C224*E$6</f>
        <v>1227.48472921516</v>
      </c>
      <c r="E224" s="25" t="n">
        <f aca="false">E$8-D224</f>
        <v>1456.62338584554</v>
      </c>
      <c r="F224" s="126" t="n">
        <v>0</v>
      </c>
      <c r="G224" s="24" t="n">
        <f aca="false">C224-E224-F224</f>
        <v>293139.711625793</v>
      </c>
      <c r="I224" s="25" t="n">
        <f aca="false">I223+E224</f>
        <v>206860.288374208</v>
      </c>
      <c r="J224" s="24" t="n">
        <f aca="false">J223+D224</f>
        <v>367538.848248781</v>
      </c>
    </row>
    <row r="225" customFormat="false" ht="15" hidden="true" customHeight="false" outlineLevel="1" collapsed="false">
      <c r="B225" s="125" t="n">
        <v>50710</v>
      </c>
      <c r="C225" s="21" t="n">
        <f aca="false">G224</f>
        <v>293139.711625793</v>
      </c>
      <c r="D225" s="24" t="n">
        <f aca="false">C225*E$6</f>
        <v>1221.41546510747</v>
      </c>
      <c r="E225" s="25" t="n">
        <f aca="false">E$8-D225</f>
        <v>1462.69264995323</v>
      </c>
      <c r="F225" s="127" t="n">
        <v>0</v>
      </c>
      <c r="G225" s="24" t="n">
        <f aca="false">C225-E225-F225</f>
        <v>291677.018975839</v>
      </c>
      <c r="I225" s="25" t="n">
        <f aca="false">I224+E225</f>
        <v>208322.981024161</v>
      </c>
      <c r="J225" s="24" t="n">
        <f aca="false">J224+D225</f>
        <v>368760.263713888</v>
      </c>
    </row>
    <row r="226" customFormat="false" ht="15" hidden="true" customHeight="false" outlineLevel="1" collapsed="false">
      <c r="B226" s="125" t="n">
        <v>50740</v>
      </c>
      <c r="C226" s="21" t="n">
        <f aca="false">G225</f>
        <v>291677.018975839</v>
      </c>
      <c r="D226" s="24" t="n">
        <f aca="false">C226*E$6</f>
        <v>1215.32091239933</v>
      </c>
      <c r="E226" s="25" t="n">
        <f aca="false">E$8-D226</f>
        <v>1468.78720266137</v>
      </c>
      <c r="F226" s="126" t="n">
        <v>0</v>
      </c>
      <c r="G226" s="24" t="n">
        <f aca="false">C226-E226-F226</f>
        <v>290208.231773178</v>
      </c>
      <c r="I226" s="25" t="n">
        <f aca="false">I225+E226</f>
        <v>209791.768226822</v>
      </c>
      <c r="J226" s="24" t="n">
        <f aca="false">J225+D226</f>
        <v>369975.584626288</v>
      </c>
    </row>
    <row r="227" customFormat="false" ht="15" hidden="true" customHeight="false" outlineLevel="1" collapsed="false">
      <c r="B227" s="125" t="n">
        <v>50771</v>
      </c>
      <c r="C227" s="21" t="n">
        <f aca="false">G226</f>
        <v>290208.231773178</v>
      </c>
      <c r="D227" s="24" t="n">
        <f aca="false">C227*E$6</f>
        <v>1209.20096572157</v>
      </c>
      <c r="E227" s="25" t="n">
        <f aca="false">E$8-D227</f>
        <v>1474.90714933912</v>
      </c>
      <c r="F227" s="127" t="n">
        <v>0</v>
      </c>
      <c r="G227" s="24" t="n">
        <f aca="false">C227-E227-F227</f>
        <v>288733.324623839</v>
      </c>
      <c r="I227" s="25" t="n">
        <f aca="false">I226+E227</f>
        <v>211266.675376162</v>
      </c>
      <c r="J227" s="24" t="n">
        <f aca="false">J226+D227</f>
        <v>371184.785592009</v>
      </c>
    </row>
    <row r="228" customFormat="false" ht="15" hidden="true" customHeight="false" outlineLevel="1" collapsed="false">
      <c r="B228" s="125" t="n">
        <v>50802</v>
      </c>
      <c r="C228" s="21" t="n">
        <f aca="false">G227</f>
        <v>288733.324623839</v>
      </c>
      <c r="D228" s="24" t="n">
        <f aca="false">C228*E$6</f>
        <v>1203.055519266</v>
      </c>
      <c r="E228" s="25" t="n">
        <f aca="false">E$8-D228</f>
        <v>1481.0525957947</v>
      </c>
      <c r="F228" s="126" t="n">
        <v>0</v>
      </c>
      <c r="G228" s="24" t="n">
        <f aca="false">C228-E228-F228</f>
        <v>287252.272028044</v>
      </c>
      <c r="I228" s="25" t="n">
        <f aca="false">I227+E228</f>
        <v>212747.727971956</v>
      </c>
      <c r="J228" s="24" t="n">
        <f aca="false">J227+D228</f>
        <v>372387.841111275</v>
      </c>
    </row>
    <row r="229" customFormat="false" ht="15" hidden="true" customHeight="false" outlineLevel="1" collapsed="false">
      <c r="B229" s="125" t="n">
        <v>50830</v>
      </c>
      <c r="C229" s="21" t="n">
        <f aca="false">G228</f>
        <v>287252.272028044</v>
      </c>
      <c r="D229" s="24" t="n">
        <f aca="false">C229*E$6</f>
        <v>1196.88446678352</v>
      </c>
      <c r="E229" s="25" t="n">
        <f aca="false">E$8-D229</f>
        <v>1487.22364827718</v>
      </c>
      <c r="F229" s="127" t="n">
        <v>0</v>
      </c>
      <c r="G229" s="24" t="n">
        <f aca="false">C229-E229-F229</f>
        <v>285765.048379767</v>
      </c>
      <c r="I229" s="25" t="n">
        <f aca="false">I228+E229</f>
        <v>214234.951620233</v>
      </c>
      <c r="J229" s="24" t="n">
        <f aca="false">J228+D229</f>
        <v>373584.725578059</v>
      </c>
    </row>
    <row r="230" customFormat="false" ht="15" hidden="true" customHeight="false" outlineLevel="1" collapsed="false">
      <c r="B230" s="125" t="n">
        <v>50861</v>
      </c>
      <c r="C230" s="21" t="n">
        <f aca="false">G229</f>
        <v>285765.048379767</v>
      </c>
      <c r="D230" s="24" t="n">
        <f aca="false">C230*E$6</f>
        <v>1190.68770158236</v>
      </c>
      <c r="E230" s="25" t="n">
        <f aca="false">E$8-D230</f>
        <v>1493.42041347833</v>
      </c>
      <c r="F230" s="126" t="n">
        <v>0</v>
      </c>
      <c r="G230" s="24" t="n">
        <f aca="false">C230-E230-F230</f>
        <v>284271.627966289</v>
      </c>
      <c r="I230" s="25" t="n">
        <f aca="false">I229+E230</f>
        <v>215728.372033712</v>
      </c>
      <c r="J230" s="24" t="n">
        <f aca="false">J229+D230</f>
        <v>374775.413279641</v>
      </c>
    </row>
    <row r="231" customFormat="false" ht="15" hidden="true" customHeight="false" outlineLevel="1" collapsed="false">
      <c r="B231" s="125" t="n">
        <v>50891</v>
      </c>
      <c r="C231" s="21" t="n">
        <f aca="false">G230</f>
        <v>284271.627966289</v>
      </c>
      <c r="D231" s="24" t="n">
        <f aca="false">C231*E$6</f>
        <v>1184.4651165262</v>
      </c>
      <c r="E231" s="25" t="n">
        <f aca="false">E$8-D231</f>
        <v>1499.64299853449</v>
      </c>
      <c r="F231" s="127" t="n">
        <v>0</v>
      </c>
      <c r="G231" s="24" t="n">
        <f aca="false">C231-E231-F231</f>
        <v>282771.984967754</v>
      </c>
      <c r="I231" s="25" t="n">
        <f aca="false">I230+E231</f>
        <v>217228.015032246</v>
      </c>
      <c r="J231" s="24" t="n">
        <f aca="false">J230+D231</f>
        <v>375959.878396167</v>
      </c>
    </row>
    <row r="232" customFormat="false" ht="15" hidden="true" customHeight="false" outlineLevel="1" collapsed="false">
      <c r="B232" s="125" t="n">
        <v>50922</v>
      </c>
      <c r="C232" s="21" t="n">
        <f aca="false">G231</f>
        <v>282771.984967754</v>
      </c>
      <c r="D232" s="24" t="n">
        <f aca="false">C232*E$6</f>
        <v>1178.21660403231</v>
      </c>
      <c r="E232" s="25" t="n">
        <f aca="false">E$8-D232</f>
        <v>1505.89151102839</v>
      </c>
      <c r="F232" s="126" t="n">
        <v>0</v>
      </c>
      <c r="G232" s="24" t="n">
        <f aca="false">C232-E232-F232</f>
        <v>281266.093456726</v>
      </c>
      <c r="I232" s="25" t="n">
        <f aca="false">I231+E232</f>
        <v>218733.906543275</v>
      </c>
      <c r="J232" s="24" t="n">
        <f aca="false">J231+D232</f>
        <v>377138.0950002</v>
      </c>
    </row>
    <row r="233" customFormat="false" ht="15" hidden="true" customHeight="false" outlineLevel="1" collapsed="false">
      <c r="B233" s="125" t="n">
        <v>50952</v>
      </c>
      <c r="C233" s="21" t="n">
        <f aca="false">G232</f>
        <v>281266.093456726</v>
      </c>
      <c r="D233" s="24" t="n">
        <f aca="false">C233*E$6</f>
        <v>1171.94205606969</v>
      </c>
      <c r="E233" s="25" t="n">
        <f aca="false">E$8-D233</f>
        <v>1512.16605899101</v>
      </c>
      <c r="F233" s="127" t="n">
        <v>0</v>
      </c>
      <c r="G233" s="24" t="n">
        <f aca="false">C233-E233-F233</f>
        <v>279753.927397735</v>
      </c>
      <c r="I233" s="25" t="n">
        <f aca="false">I232+E233</f>
        <v>220246.072602266</v>
      </c>
      <c r="J233" s="24" t="n">
        <f aca="false">J232+D233</f>
        <v>378310.037056269</v>
      </c>
    </row>
    <row r="234" customFormat="false" ht="15" hidden="true" customHeight="false" outlineLevel="1" collapsed="false">
      <c r="B234" s="125" t="n">
        <v>50983</v>
      </c>
      <c r="C234" s="21" t="n">
        <f aca="false">G233</f>
        <v>279753.927397735</v>
      </c>
      <c r="D234" s="24" t="n">
        <f aca="false">C234*E$6</f>
        <v>1165.64136415723</v>
      </c>
      <c r="E234" s="25" t="n">
        <f aca="false">E$8-D234</f>
        <v>1518.46675090347</v>
      </c>
      <c r="F234" s="126" t="n">
        <v>0</v>
      </c>
      <c r="G234" s="24" t="n">
        <f aca="false">C234-E234-F234</f>
        <v>278235.460646831</v>
      </c>
      <c r="I234" s="25" t="n">
        <f aca="false">I233+E234</f>
        <v>221764.539353169</v>
      </c>
      <c r="J234" s="24" t="n">
        <f aca="false">J233+D234</f>
        <v>379475.678420426</v>
      </c>
    </row>
    <row r="235" customFormat="false" ht="15" hidden="true" customHeight="false" outlineLevel="1" collapsed="false">
      <c r="B235" s="125" t="n">
        <v>51014</v>
      </c>
      <c r="C235" s="21" t="n">
        <f aca="false">G234</f>
        <v>278235.460646831</v>
      </c>
      <c r="D235" s="24" t="n">
        <f aca="false">C235*E$6</f>
        <v>1159.3144193618</v>
      </c>
      <c r="E235" s="25" t="n">
        <f aca="false">E$8-D235</f>
        <v>1524.7936956989</v>
      </c>
      <c r="F235" s="127" t="n">
        <v>0</v>
      </c>
      <c r="G235" s="24" t="n">
        <f aca="false">C235-E235-F235</f>
        <v>276710.666951132</v>
      </c>
      <c r="I235" s="25" t="n">
        <f aca="false">I234+E235</f>
        <v>223289.333048868</v>
      </c>
      <c r="J235" s="24" t="n">
        <f aca="false">J234+D235</f>
        <v>380634.992839788</v>
      </c>
    </row>
    <row r="236" customFormat="false" ht="15" hidden="true" customHeight="false" outlineLevel="1" collapsed="false">
      <c r="B236" s="125" t="n">
        <v>51044</v>
      </c>
      <c r="C236" s="21" t="n">
        <f aca="false">G235</f>
        <v>276710.666951132</v>
      </c>
      <c r="D236" s="24" t="n">
        <f aca="false">C236*E$6</f>
        <v>1152.96111229638</v>
      </c>
      <c r="E236" s="25" t="n">
        <f aca="false">E$8-D236</f>
        <v>1531.14700276431</v>
      </c>
      <c r="F236" s="126" t="n">
        <v>0</v>
      </c>
      <c r="G236" s="24" t="n">
        <f aca="false">C236-E236-F236</f>
        <v>275179.519948368</v>
      </c>
      <c r="I236" s="25" t="n">
        <f aca="false">I235+E236</f>
        <v>224820.480051632</v>
      </c>
      <c r="J236" s="24" t="n">
        <f aca="false">J235+D236</f>
        <v>381787.953952085</v>
      </c>
    </row>
    <row r="237" customFormat="false" ht="15" hidden="true" customHeight="false" outlineLevel="1" collapsed="false">
      <c r="B237" s="125" t="n">
        <v>51075</v>
      </c>
      <c r="C237" s="21" t="n">
        <f aca="false">G236</f>
        <v>275179.519948368</v>
      </c>
      <c r="D237" s="24" t="n">
        <f aca="false">C237*E$6</f>
        <v>1146.5813331182</v>
      </c>
      <c r="E237" s="25" t="n">
        <f aca="false">E$8-D237</f>
        <v>1537.5267819425</v>
      </c>
      <c r="F237" s="127" t="n">
        <v>0</v>
      </c>
      <c r="G237" s="24" t="n">
        <f aca="false">C237-E237-F237</f>
        <v>273641.993166425</v>
      </c>
      <c r="I237" s="25" t="n">
        <f aca="false">I236+E237</f>
        <v>226358.006833575</v>
      </c>
      <c r="J237" s="24" t="n">
        <f aca="false">J236+D237</f>
        <v>382934.535285203</v>
      </c>
    </row>
    <row r="238" customFormat="false" ht="15" hidden="true" customHeight="false" outlineLevel="1" collapsed="false">
      <c r="B238" s="125" t="n">
        <v>51105</v>
      </c>
      <c r="C238" s="21" t="n">
        <f aca="false">G237</f>
        <v>273641.993166425</v>
      </c>
      <c r="D238" s="24" t="n">
        <f aca="false">C238*E$6</f>
        <v>1140.17497152677</v>
      </c>
      <c r="E238" s="25" t="n">
        <f aca="false">E$8-D238</f>
        <v>1543.93314353392</v>
      </c>
      <c r="F238" s="126" t="n">
        <v>0</v>
      </c>
      <c r="G238" s="24" t="n">
        <f aca="false">C238-E238-F238</f>
        <v>272098.060022892</v>
      </c>
      <c r="I238" s="25" t="n">
        <f aca="false">I237+E238</f>
        <v>227901.939977109</v>
      </c>
      <c r="J238" s="24" t="n">
        <f aca="false">J237+D238</f>
        <v>384074.71025673</v>
      </c>
    </row>
    <row r="239" customFormat="false" ht="15" hidden="true" customHeight="false" outlineLevel="1" collapsed="false">
      <c r="B239" s="125" t="n">
        <v>51136</v>
      </c>
      <c r="C239" s="21" t="n">
        <f aca="false">G238</f>
        <v>272098.060022892</v>
      </c>
      <c r="D239" s="24" t="n">
        <f aca="false">C239*E$6</f>
        <v>1133.74191676205</v>
      </c>
      <c r="E239" s="25" t="n">
        <f aca="false">E$8-D239</f>
        <v>1550.36619829865</v>
      </c>
      <c r="F239" s="127" t="n">
        <v>0</v>
      </c>
      <c r="G239" s="24" t="n">
        <f aca="false">C239-E239-F239</f>
        <v>270547.693824593</v>
      </c>
      <c r="I239" s="25" t="n">
        <f aca="false">I238+E239</f>
        <v>229452.306175407</v>
      </c>
      <c r="J239" s="24" t="n">
        <f aca="false">J238+D239</f>
        <v>385208.452173492</v>
      </c>
    </row>
    <row r="240" customFormat="false" ht="15" hidden="true" customHeight="false" outlineLevel="1" collapsed="false">
      <c r="B240" s="125" t="n">
        <v>51167</v>
      </c>
      <c r="C240" s="21" t="n">
        <f aca="false">G239</f>
        <v>270547.693824593</v>
      </c>
      <c r="D240" s="24" t="n">
        <f aca="false">C240*E$6</f>
        <v>1127.28205760247</v>
      </c>
      <c r="E240" s="25" t="n">
        <f aca="false">E$8-D240</f>
        <v>1556.82605745822</v>
      </c>
      <c r="F240" s="126" t="n">
        <v>0</v>
      </c>
      <c r="G240" s="24" t="n">
        <f aca="false">C240-E240-F240</f>
        <v>268990.867767135</v>
      </c>
      <c r="I240" s="25" t="n">
        <f aca="false">I239+E240</f>
        <v>231009.132232866</v>
      </c>
      <c r="J240" s="24" t="n">
        <f aca="false">J239+D240</f>
        <v>386335.734231094</v>
      </c>
    </row>
    <row r="241" customFormat="false" ht="15" hidden="true" customHeight="false" outlineLevel="1" collapsed="false">
      <c r="B241" s="125" t="n">
        <v>51196</v>
      </c>
      <c r="C241" s="21" t="n">
        <f aca="false">G240</f>
        <v>268990.867767135</v>
      </c>
      <c r="D241" s="24" t="n">
        <f aca="false">C241*E$6</f>
        <v>1120.79528236306</v>
      </c>
      <c r="E241" s="25" t="n">
        <f aca="false">E$8-D241</f>
        <v>1563.31283269763</v>
      </c>
      <c r="F241" s="127" t="n">
        <v>0</v>
      </c>
      <c r="G241" s="24" t="n">
        <f aca="false">C241-E241-F241</f>
        <v>267427.554934437</v>
      </c>
      <c r="I241" s="25" t="n">
        <f aca="false">I240+E241</f>
        <v>232572.445065563</v>
      </c>
      <c r="J241" s="24" t="n">
        <f aca="false">J240+D241</f>
        <v>387456.529513457</v>
      </c>
    </row>
    <row r="242" customFormat="false" ht="15" hidden="true" customHeight="false" outlineLevel="1" collapsed="false">
      <c r="B242" s="125" t="n">
        <v>51227</v>
      </c>
      <c r="C242" s="21" t="n">
        <f aca="false">G241</f>
        <v>267427.554934437</v>
      </c>
      <c r="D242" s="24" t="n">
        <f aca="false">C242*E$6</f>
        <v>1114.28147889349</v>
      </c>
      <c r="E242" s="25" t="n">
        <f aca="false">E$8-D242</f>
        <v>1569.82663616721</v>
      </c>
      <c r="F242" s="126" t="n">
        <v>0</v>
      </c>
      <c r="G242" s="24" t="n">
        <f aca="false">C242-E242-F242</f>
        <v>265857.72829827</v>
      </c>
      <c r="I242" s="25" t="n">
        <f aca="false">I241+E242</f>
        <v>234142.271701731</v>
      </c>
      <c r="J242" s="24" t="n">
        <f aca="false">J241+D242</f>
        <v>388570.810992351</v>
      </c>
    </row>
    <row r="243" customFormat="false" ht="15" hidden="true" customHeight="false" outlineLevel="1" collapsed="false">
      <c r="B243" s="125" t="n">
        <v>51257</v>
      </c>
      <c r="C243" s="21" t="n">
        <f aca="false">G242</f>
        <v>265857.72829827</v>
      </c>
      <c r="D243" s="24" t="n">
        <f aca="false">C243*E$6</f>
        <v>1107.74053457612</v>
      </c>
      <c r="E243" s="25" t="n">
        <f aca="false">E$8-D243</f>
        <v>1576.36758048457</v>
      </c>
      <c r="F243" s="127" t="n">
        <v>0</v>
      </c>
      <c r="G243" s="24" t="n">
        <f aca="false">C243-E243-F243</f>
        <v>264281.360717785</v>
      </c>
      <c r="I243" s="25" t="n">
        <f aca="false">I242+E243</f>
        <v>235718.639282215</v>
      </c>
      <c r="J243" s="24" t="n">
        <f aca="false">J242+D243</f>
        <v>389678.551526927</v>
      </c>
    </row>
    <row r="244" customFormat="false" ht="15" hidden="true" customHeight="false" outlineLevel="1" collapsed="false">
      <c r="B244" s="125" t="n">
        <v>51288</v>
      </c>
      <c r="C244" s="21" t="n">
        <f aca="false">G243</f>
        <v>264281.360717785</v>
      </c>
      <c r="D244" s="24" t="n">
        <f aca="false">C244*E$6</f>
        <v>1101.17233632411</v>
      </c>
      <c r="E244" s="25" t="n">
        <f aca="false">E$8-D244</f>
        <v>1582.93577873659</v>
      </c>
      <c r="F244" s="126" t="n">
        <v>0</v>
      </c>
      <c r="G244" s="24" t="n">
        <f aca="false">C244-E244-F244</f>
        <v>262698.424939049</v>
      </c>
      <c r="I244" s="25" t="n">
        <f aca="false">I243+E244</f>
        <v>237301.575060952</v>
      </c>
      <c r="J244" s="24" t="n">
        <f aca="false">J243+D244</f>
        <v>390779.723863251</v>
      </c>
    </row>
    <row r="245" customFormat="false" ht="15" hidden="true" customHeight="false" outlineLevel="1" collapsed="false">
      <c r="B245" s="125" t="n">
        <v>51318</v>
      </c>
      <c r="C245" s="21" t="n">
        <f aca="false">G244</f>
        <v>262698.424939049</v>
      </c>
      <c r="D245" s="24" t="n">
        <f aca="false">C245*E$6</f>
        <v>1094.57677057937</v>
      </c>
      <c r="E245" s="25" t="n">
        <f aca="false">E$8-D245</f>
        <v>1589.53134448133</v>
      </c>
      <c r="F245" s="127" t="n">
        <v>0</v>
      </c>
      <c r="G245" s="24" t="n">
        <f aca="false">C245-E245-F245</f>
        <v>261108.893594567</v>
      </c>
      <c r="I245" s="25" t="n">
        <f aca="false">I244+E245</f>
        <v>238891.106405433</v>
      </c>
      <c r="J245" s="24" t="n">
        <f aca="false">J244+D245</f>
        <v>391874.30063383</v>
      </c>
    </row>
    <row r="246" customFormat="false" ht="15" hidden="true" customHeight="false" outlineLevel="1" collapsed="false">
      <c r="B246" s="125" t="n">
        <v>51349</v>
      </c>
      <c r="C246" s="21" t="n">
        <f aca="false">G245</f>
        <v>261108.893594567</v>
      </c>
      <c r="D246" s="24" t="n">
        <f aca="false">C246*E$6</f>
        <v>1087.9537233107</v>
      </c>
      <c r="E246" s="25" t="n">
        <f aca="false">E$8-D246</f>
        <v>1596.15439175</v>
      </c>
      <c r="F246" s="126" t="n">
        <v>0</v>
      </c>
      <c r="G246" s="24" t="n">
        <f aca="false">C246-E246-F246</f>
        <v>259512.739202817</v>
      </c>
      <c r="I246" s="25" t="n">
        <f aca="false">I245+E246</f>
        <v>240487.260797183</v>
      </c>
      <c r="J246" s="24" t="n">
        <f aca="false">J245+D246</f>
        <v>392962.254357141</v>
      </c>
    </row>
    <row r="247" customFormat="false" ht="15" hidden="true" customHeight="false" outlineLevel="1" collapsed="false">
      <c r="B247" s="125" t="n">
        <v>51380</v>
      </c>
      <c r="C247" s="21" t="n">
        <f aca="false">G246</f>
        <v>259512.739202817</v>
      </c>
      <c r="D247" s="24" t="n">
        <f aca="false">C247*E$6</f>
        <v>1081.30308001174</v>
      </c>
      <c r="E247" s="25" t="n">
        <f aca="false">E$8-D247</f>
        <v>1602.80503504896</v>
      </c>
      <c r="F247" s="127" t="n">
        <v>0</v>
      </c>
      <c r="G247" s="24" t="n">
        <f aca="false">C247-E247-F247</f>
        <v>257909.934167768</v>
      </c>
      <c r="I247" s="25" t="n">
        <f aca="false">I246+E247</f>
        <v>242090.065832232</v>
      </c>
      <c r="J247" s="24" t="n">
        <f aca="false">J246+D247</f>
        <v>394043.557437153</v>
      </c>
    </row>
    <row r="248" customFormat="false" ht="15" hidden="true" customHeight="false" outlineLevel="1" collapsed="false">
      <c r="B248" s="125" t="n">
        <v>51410</v>
      </c>
      <c r="C248" s="21" t="n">
        <f aca="false">G247</f>
        <v>257909.934167768</v>
      </c>
      <c r="D248" s="24" t="n">
        <f aca="false">C248*E$6</f>
        <v>1074.62472569903</v>
      </c>
      <c r="E248" s="25" t="n">
        <f aca="false">E$8-D248</f>
        <v>1609.48338936166</v>
      </c>
      <c r="F248" s="126" t="n">
        <v>0</v>
      </c>
      <c r="G248" s="24" t="n">
        <f aca="false">C248-E248-F248</f>
        <v>256300.450778407</v>
      </c>
      <c r="I248" s="25" t="n">
        <f aca="false">I247+E248</f>
        <v>243699.549221594</v>
      </c>
      <c r="J248" s="24" t="n">
        <f aca="false">J247+D248</f>
        <v>395118.182162852</v>
      </c>
    </row>
    <row r="249" customFormat="false" ht="15" hidden="true" customHeight="false" outlineLevel="1" collapsed="false">
      <c r="B249" s="125" t="n">
        <v>51441</v>
      </c>
      <c r="C249" s="21" t="n">
        <f aca="false">G248</f>
        <v>256300.450778407</v>
      </c>
      <c r="D249" s="24" t="n">
        <f aca="false">C249*E$6</f>
        <v>1067.91854491003</v>
      </c>
      <c r="E249" s="25" t="n">
        <f aca="false">E$8-D249</f>
        <v>1616.18957015067</v>
      </c>
      <c r="F249" s="127" t="n">
        <v>0</v>
      </c>
      <c r="G249" s="24" t="n">
        <f aca="false">C249-E249-F249</f>
        <v>254684.261208256</v>
      </c>
      <c r="I249" s="25" t="n">
        <f aca="false">I248+E249</f>
        <v>245315.738791744</v>
      </c>
      <c r="J249" s="24" t="n">
        <f aca="false">J248+D249</f>
        <v>396186.100707762</v>
      </c>
    </row>
    <row r="250" customFormat="false" ht="15" hidden="true" customHeight="false" outlineLevel="1" collapsed="false">
      <c r="B250" s="125" t="n">
        <v>51471</v>
      </c>
      <c r="C250" s="21" t="n">
        <f aca="false">G249</f>
        <v>254684.261208256</v>
      </c>
      <c r="D250" s="24" t="n">
        <f aca="false">C250*E$6</f>
        <v>1061.18442170107</v>
      </c>
      <c r="E250" s="25" t="n">
        <f aca="false">E$8-D250</f>
        <v>1622.92369335963</v>
      </c>
      <c r="F250" s="126" t="n">
        <v>0</v>
      </c>
      <c r="G250" s="24" t="n">
        <f aca="false">C250-E250-F250</f>
        <v>253061.337514896</v>
      </c>
      <c r="I250" s="25" t="n">
        <f aca="false">I249+E250</f>
        <v>246938.662485104</v>
      </c>
      <c r="J250" s="24" t="n">
        <f aca="false">J249+D250</f>
        <v>397247.285129463</v>
      </c>
    </row>
    <row r="251" customFormat="false" ht="15" hidden="true" customHeight="false" outlineLevel="1" collapsed="false">
      <c r="B251" s="125" t="n">
        <v>51502</v>
      </c>
      <c r="C251" s="21" t="n">
        <f aca="false">G250</f>
        <v>253061.337514896</v>
      </c>
      <c r="D251" s="24" t="n">
        <f aca="false">C251*E$6</f>
        <v>1054.4222396454</v>
      </c>
      <c r="E251" s="25" t="n">
        <f aca="false">E$8-D251</f>
        <v>1629.68587541529</v>
      </c>
      <c r="F251" s="127" t="n">
        <v>0</v>
      </c>
      <c r="G251" s="24" t="n">
        <f aca="false">C251-E251-F251</f>
        <v>251431.651639481</v>
      </c>
      <c r="I251" s="25" t="n">
        <f aca="false">I250+E251</f>
        <v>248568.348360519</v>
      </c>
      <c r="J251" s="24" t="n">
        <f aca="false">J250+D251</f>
        <v>398301.707369108</v>
      </c>
    </row>
    <row r="252" customFormat="false" ht="15" hidden="true" customHeight="false" outlineLevel="1" collapsed="false">
      <c r="B252" s="125" t="n">
        <v>51533</v>
      </c>
      <c r="C252" s="21" t="n">
        <f aca="false">G251</f>
        <v>251431.651639481</v>
      </c>
      <c r="D252" s="24" t="n">
        <f aca="false">C252*E$6</f>
        <v>1047.63188183117</v>
      </c>
      <c r="E252" s="25" t="n">
        <f aca="false">E$8-D252</f>
        <v>1636.47623322952</v>
      </c>
      <c r="F252" s="126" t="n">
        <v>0</v>
      </c>
      <c r="G252" s="24" t="n">
        <f aca="false">C252-E252-F252</f>
        <v>249795.175406252</v>
      </c>
      <c r="I252" s="25" t="n">
        <f aca="false">I251+E252</f>
        <v>250204.824593749</v>
      </c>
      <c r="J252" s="24" t="n">
        <f aca="false">J251+D252</f>
        <v>399349.339250939</v>
      </c>
    </row>
    <row r="253" customFormat="false" ht="15" hidden="true" customHeight="false" outlineLevel="1" collapsed="false">
      <c r="B253" s="125" t="n">
        <v>51561</v>
      </c>
      <c r="C253" s="21" t="n">
        <f aca="false">G252</f>
        <v>249795.175406252</v>
      </c>
      <c r="D253" s="24" t="n">
        <f aca="false">C253*E$6</f>
        <v>1040.81323085938</v>
      </c>
      <c r="E253" s="25" t="n">
        <f aca="false">E$8-D253</f>
        <v>1643.29488420131</v>
      </c>
      <c r="F253" s="127" t="n">
        <v>0</v>
      </c>
      <c r="G253" s="24" t="n">
        <f aca="false">C253-E253-F253</f>
        <v>248151.88052205</v>
      </c>
      <c r="I253" s="25" t="n">
        <f aca="false">I252+E253</f>
        <v>251848.11947795</v>
      </c>
      <c r="J253" s="24" t="n">
        <f aca="false">J252+D253</f>
        <v>400390.152481799</v>
      </c>
    </row>
    <row r="254" customFormat="false" ht="15" hidden="true" customHeight="false" outlineLevel="1" collapsed="false">
      <c r="B254" s="125" t="n">
        <v>51592</v>
      </c>
      <c r="C254" s="21" t="n">
        <f aca="false">G253</f>
        <v>248151.88052205</v>
      </c>
      <c r="D254" s="24" t="n">
        <f aca="false">C254*E$6</f>
        <v>1033.96616884188</v>
      </c>
      <c r="E254" s="25" t="n">
        <f aca="false">E$8-D254</f>
        <v>1650.14194621882</v>
      </c>
      <c r="F254" s="126" t="n">
        <v>0</v>
      </c>
      <c r="G254" s="24" t="n">
        <f aca="false">C254-E254-F254</f>
        <v>246501.738575831</v>
      </c>
      <c r="I254" s="25" t="n">
        <f aca="false">I253+E254</f>
        <v>253498.261424169</v>
      </c>
      <c r="J254" s="24" t="n">
        <f aca="false">J253+D254</f>
        <v>401424.118650641</v>
      </c>
    </row>
    <row r="255" customFormat="false" ht="15" hidden="true" customHeight="false" outlineLevel="1" collapsed="false">
      <c r="B255" s="125" t="n">
        <v>51622</v>
      </c>
      <c r="C255" s="21" t="n">
        <f aca="false">G254</f>
        <v>246501.738575831</v>
      </c>
      <c r="D255" s="24" t="n">
        <f aca="false">C255*E$6</f>
        <v>1027.0905773993</v>
      </c>
      <c r="E255" s="25" t="n">
        <f aca="false">E$8-D255</f>
        <v>1657.0175376614</v>
      </c>
      <c r="F255" s="127" t="n">
        <v>0</v>
      </c>
      <c r="G255" s="24" t="n">
        <f aca="false">C255-E255-F255</f>
        <v>244844.72103817</v>
      </c>
      <c r="I255" s="25" t="n">
        <f aca="false">I254+E255</f>
        <v>255155.27896183</v>
      </c>
      <c r="J255" s="24" t="n">
        <f aca="false">J254+D255</f>
        <v>402451.20922804</v>
      </c>
    </row>
    <row r="256" customFormat="false" ht="15" hidden="true" customHeight="false" outlineLevel="1" collapsed="false">
      <c r="B256" s="125" t="n">
        <v>51653</v>
      </c>
      <c r="C256" s="21" t="n">
        <f aca="false">G255</f>
        <v>244844.72103817</v>
      </c>
      <c r="D256" s="24" t="n">
        <f aca="false">C256*E$6</f>
        <v>1020.18633765904</v>
      </c>
      <c r="E256" s="25" t="n">
        <f aca="false">E$8-D256</f>
        <v>1663.92177740165</v>
      </c>
      <c r="F256" s="126" t="n">
        <v>0</v>
      </c>
      <c r="G256" s="24" t="n">
        <f aca="false">C256-E256-F256</f>
        <v>243180.799260768</v>
      </c>
      <c r="I256" s="25" t="n">
        <f aca="false">I255+E256</f>
        <v>256819.200739232</v>
      </c>
      <c r="J256" s="24" t="n">
        <f aca="false">J255+D256</f>
        <v>403471.395565699</v>
      </c>
    </row>
    <row r="257" customFormat="false" ht="15" hidden="true" customHeight="false" outlineLevel="1" collapsed="false">
      <c r="B257" s="125" t="n">
        <v>51683</v>
      </c>
      <c r="C257" s="21" t="n">
        <f aca="false">G256</f>
        <v>243180.799260768</v>
      </c>
      <c r="D257" s="24" t="n">
        <f aca="false">C257*E$6</f>
        <v>1013.2533302532</v>
      </c>
      <c r="E257" s="25" t="n">
        <f aca="false">E$8-D257</f>
        <v>1670.85478480749</v>
      </c>
      <c r="F257" s="127" t="n">
        <v>0</v>
      </c>
      <c r="G257" s="24" t="n">
        <f aca="false">C257-E257-F257</f>
        <v>241509.944475961</v>
      </c>
      <c r="I257" s="25" t="n">
        <f aca="false">I256+E257</f>
        <v>258490.055524039</v>
      </c>
      <c r="J257" s="24" t="n">
        <f aca="false">J256+D257</f>
        <v>404484.648895952</v>
      </c>
    </row>
    <row r="258" customFormat="false" ht="15" hidden="true" customHeight="false" outlineLevel="1" collapsed="false">
      <c r="B258" s="125" t="n">
        <v>51714</v>
      </c>
      <c r="C258" s="21" t="n">
        <f aca="false">G257</f>
        <v>241509.944475961</v>
      </c>
      <c r="D258" s="24" t="n">
        <f aca="false">C258*E$6</f>
        <v>1006.2914353165</v>
      </c>
      <c r="E258" s="25" t="n">
        <f aca="false">E$8-D258</f>
        <v>1677.81667974419</v>
      </c>
      <c r="F258" s="126" t="n">
        <v>0</v>
      </c>
      <c r="G258" s="24" t="n">
        <f aca="false">C258-E258-F258</f>
        <v>239832.127796217</v>
      </c>
      <c r="I258" s="25" t="n">
        <f aca="false">I257+E258</f>
        <v>260167.872203784</v>
      </c>
      <c r="J258" s="24" t="n">
        <f aca="false">J257+D258</f>
        <v>405490.940331269</v>
      </c>
    </row>
    <row r="259" customFormat="false" ht="15" hidden="true" customHeight="false" outlineLevel="1" collapsed="false">
      <c r="B259" s="125" t="n">
        <v>51745</v>
      </c>
      <c r="C259" s="21" t="n">
        <f aca="false">G258</f>
        <v>239832.127796217</v>
      </c>
      <c r="D259" s="24" t="n">
        <f aca="false">C259*E$6</f>
        <v>999.300532484236</v>
      </c>
      <c r="E259" s="25" t="n">
        <f aca="false">E$8-D259</f>
        <v>1684.80758257646</v>
      </c>
      <c r="F259" s="127" t="n">
        <v>0</v>
      </c>
      <c r="G259" s="24" t="n">
        <f aca="false">C259-E259-F259</f>
        <v>238147.32021364</v>
      </c>
      <c r="I259" s="25" t="n">
        <f aca="false">I258+E259</f>
        <v>261852.67978636</v>
      </c>
      <c r="J259" s="24" t="n">
        <f aca="false">J258+D259</f>
        <v>406490.240863753</v>
      </c>
    </row>
    <row r="260" customFormat="false" ht="15" hidden="true" customHeight="false" outlineLevel="1" collapsed="false">
      <c r="B260" s="125" t="n">
        <v>51775</v>
      </c>
      <c r="C260" s="21" t="n">
        <f aca="false">G259</f>
        <v>238147.32021364</v>
      </c>
      <c r="D260" s="24" t="n">
        <f aca="false">C260*E$6</f>
        <v>992.280500890167</v>
      </c>
      <c r="E260" s="25" t="n">
        <f aca="false">E$8-D260</f>
        <v>1691.82761417053</v>
      </c>
      <c r="F260" s="126" t="n">
        <v>0</v>
      </c>
      <c r="G260" s="24" t="n">
        <f aca="false">C260-E260-F260</f>
        <v>236455.49259947</v>
      </c>
      <c r="I260" s="25" t="n">
        <f aca="false">I259+E260</f>
        <v>263544.507400531</v>
      </c>
      <c r="J260" s="24" t="n">
        <f aca="false">J259+D260</f>
        <v>407482.521364643</v>
      </c>
    </row>
    <row r="261" customFormat="false" ht="15" hidden="true" customHeight="false" outlineLevel="1" collapsed="false">
      <c r="B261" s="125" t="n">
        <v>51806</v>
      </c>
      <c r="C261" s="21" t="n">
        <f aca="false">G260</f>
        <v>236455.49259947</v>
      </c>
      <c r="D261" s="24" t="n">
        <f aca="false">C261*E$6</f>
        <v>985.231219164457</v>
      </c>
      <c r="E261" s="25" t="n">
        <f aca="false">E$8-D261</f>
        <v>1698.87689589624</v>
      </c>
      <c r="F261" s="127" t="n">
        <v>0</v>
      </c>
      <c r="G261" s="24" t="n">
        <f aca="false">C261-E261-F261</f>
        <v>234756.615703573</v>
      </c>
      <c r="I261" s="25" t="n">
        <f aca="false">I260+E261</f>
        <v>265243.384296427</v>
      </c>
      <c r="J261" s="24" t="n">
        <f aca="false">J260+D261</f>
        <v>408467.752583808</v>
      </c>
    </row>
    <row r="262" customFormat="false" ht="15" hidden="true" customHeight="false" outlineLevel="1" collapsed="false">
      <c r="B262" s="125" t="n">
        <v>51836</v>
      </c>
      <c r="C262" s="21" t="n">
        <f aca="false">G261</f>
        <v>234756.615703573</v>
      </c>
      <c r="D262" s="24" t="n">
        <f aca="false">C262*E$6</f>
        <v>978.152565431556</v>
      </c>
      <c r="E262" s="25" t="n">
        <f aca="false">E$8-D262</f>
        <v>1705.95554962914</v>
      </c>
      <c r="F262" s="126" t="n">
        <v>0</v>
      </c>
      <c r="G262" s="24" t="n">
        <f aca="false">C262-E262-F262</f>
        <v>233050.660153944</v>
      </c>
      <c r="I262" s="25" t="n">
        <f aca="false">I261+E262</f>
        <v>266949.339846056</v>
      </c>
      <c r="J262" s="24" t="n">
        <f aca="false">J261+D262</f>
        <v>409445.905149239</v>
      </c>
    </row>
    <row r="263" customFormat="false" ht="15" hidden="true" customHeight="false" outlineLevel="1" collapsed="false">
      <c r="B263" s="125" t="n">
        <v>51867</v>
      </c>
      <c r="C263" s="21" t="n">
        <f aca="false">G262</f>
        <v>233050.660153944</v>
      </c>
      <c r="D263" s="24" t="n">
        <f aca="false">C263*E$6</f>
        <v>971.044417308101</v>
      </c>
      <c r="E263" s="25" t="n">
        <f aca="false">E$8-D263</f>
        <v>1713.06369775259</v>
      </c>
      <c r="F263" s="127" t="n">
        <v>0</v>
      </c>
      <c r="G263" s="24" t="n">
        <f aca="false">C263-E263-F263</f>
        <v>231337.596456192</v>
      </c>
      <c r="I263" s="25" t="n">
        <f aca="false">I262+E263</f>
        <v>268662.403543809</v>
      </c>
      <c r="J263" s="24" t="n">
        <f aca="false">J262+D263</f>
        <v>410416.949566547</v>
      </c>
    </row>
    <row r="264" customFormat="false" ht="15" hidden="true" customHeight="false" outlineLevel="1" collapsed="false">
      <c r="B264" s="125" t="n">
        <v>51898</v>
      </c>
      <c r="C264" s="21" t="n">
        <f aca="false">G263</f>
        <v>231337.596456192</v>
      </c>
      <c r="D264" s="24" t="n">
        <f aca="false">C264*E$6</f>
        <v>963.906651900799</v>
      </c>
      <c r="E264" s="25" t="n">
        <f aca="false">E$8-D264</f>
        <v>1720.2014631599</v>
      </c>
      <c r="F264" s="126" t="n">
        <v>0</v>
      </c>
      <c r="G264" s="24" t="n">
        <f aca="false">C264-E264-F264</f>
        <v>229617.394993032</v>
      </c>
      <c r="I264" s="25" t="n">
        <f aca="false">I263+E264</f>
        <v>270382.605006968</v>
      </c>
      <c r="J264" s="24" t="n">
        <f aca="false">J263+D264</f>
        <v>411380.856218448</v>
      </c>
    </row>
    <row r="265" customFormat="false" ht="15" hidden="true" customHeight="false" outlineLevel="1" collapsed="false">
      <c r="B265" s="125" t="n">
        <v>51926</v>
      </c>
      <c r="C265" s="21" t="n">
        <f aca="false">G264</f>
        <v>229617.394993032</v>
      </c>
      <c r="D265" s="24" t="n">
        <f aca="false">C265*E$6</f>
        <v>956.739145804299</v>
      </c>
      <c r="E265" s="25" t="n">
        <f aca="false">E$8-D265</f>
        <v>1727.3689692564</v>
      </c>
      <c r="F265" s="127" t="n">
        <v>0</v>
      </c>
      <c r="G265" s="24" t="n">
        <f aca="false">C265-E265-F265</f>
        <v>227890.026023775</v>
      </c>
      <c r="I265" s="25" t="n">
        <f aca="false">I264+E265</f>
        <v>272109.973976225</v>
      </c>
      <c r="J265" s="24" t="n">
        <f aca="false">J264+D265</f>
        <v>412337.595364252</v>
      </c>
    </row>
    <row r="266" customFormat="false" ht="15" hidden="true" customHeight="false" outlineLevel="1" collapsed="false">
      <c r="B266" s="125" t="n">
        <v>51957</v>
      </c>
      <c r="C266" s="21" t="n">
        <f aca="false">G265</f>
        <v>227890.026023775</v>
      </c>
      <c r="D266" s="24" t="n">
        <f aca="false">C266*E$6</f>
        <v>949.541775099064</v>
      </c>
      <c r="E266" s="25" t="n">
        <f aca="false">E$8-D266</f>
        <v>1734.56633996163</v>
      </c>
      <c r="F266" s="126" t="n">
        <v>0</v>
      </c>
      <c r="G266" s="24" t="n">
        <f aca="false">C266-E266-F266</f>
        <v>226155.459683814</v>
      </c>
      <c r="I266" s="25" t="n">
        <f aca="false">I265+E266</f>
        <v>273844.540316186</v>
      </c>
      <c r="J266" s="24" t="n">
        <f aca="false">J265+D266</f>
        <v>413287.137139351</v>
      </c>
    </row>
    <row r="267" customFormat="false" ht="15" hidden="true" customHeight="false" outlineLevel="1" collapsed="false">
      <c r="B267" s="125" t="n">
        <v>51987</v>
      </c>
      <c r="C267" s="21" t="n">
        <f aca="false">G266</f>
        <v>226155.459683814</v>
      </c>
      <c r="D267" s="24" t="n">
        <f aca="false">C267*E$6</f>
        <v>942.314415349224</v>
      </c>
      <c r="E267" s="25" t="n">
        <f aca="false">E$8-D267</f>
        <v>1741.79369971147</v>
      </c>
      <c r="F267" s="127" t="n">
        <v>0</v>
      </c>
      <c r="G267" s="24" t="n">
        <f aca="false">C267-E267-F267</f>
        <v>224413.665984102</v>
      </c>
      <c r="I267" s="25" t="n">
        <f aca="false">I266+E267</f>
        <v>275586.334015898</v>
      </c>
      <c r="J267" s="24" t="n">
        <f aca="false">J266+D267</f>
        <v>414229.451554701</v>
      </c>
    </row>
    <row r="268" customFormat="false" ht="15" hidden="true" customHeight="false" outlineLevel="1" collapsed="false">
      <c r="B268" s="125" t="n">
        <v>52018</v>
      </c>
      <c r="C268" s="21" t="n">
        <f aca="false">G267</f>
        <v>224413.665984102</v>
      </c>
      <c r="D268" s="24" t="n">
        <f aca="false">C268*E$6</f>
        <v>935.056941600426</v>
      </c>
      <c r="E268" s="25" t="n">
        <f aca="false">E$8-D268</f>
        <v>1749.05117346027</v>
      </c>
      <c r="F268" s="126" t="n">
        <v>0</v>
      </c>
      <c r="G268" s="24" t="n">
        <f aca="false">C268-E268-F268</f>
        <v>222664.614810642</v>
      </c>
      <c r="I268" s="25" t="n">
        <f aca="false">I267+E268</f>
        <v>277335.385189358</v>
      </c>
      <c r="J268" s="24" t="n">
        <f aca="false">J267+D268</f>
        <v>415164.508496301</v>
      </c>
    </row>
    <row r="269" customFormat="false" ht="15" hidden="true" customHeight="false" outlineLevel="1" collapsed="false">
      <c r="B269" s="125" t="n">
        <v>52048</v>
      </c>
      <c r="C269" s="21" t="n">
        <f aca="false">G268</f>
        <v>222664.614810642</v>
      </c>
      <c r="D269" s="24" t="n">
        <f aca="false">C269*E$6</f>
        <v>927.769228377675</v>
      </c>
      <c r="E269" s="25" t="n">
        <f aca="false">E$8-D269</f>
        <v>1756.33888668302</v>
      </c>
      <c r="F269" s="127" t="n">
        <v>0</v>
      </c>
      <c r="G269" s="24" t="n">
        <f aca="false">C269-E269-F269</f>
        <v>220908.275923959</v>
      </c>
      <c r="I269" s="25" t="n">
        <f aca="false">I268+E269</f>
        <v>279091.724076041</v>
      </c>
      <c r="J269" s="24" t="n">
        <f aca="false">J268+D269</f>
        <v>416092.277724679</v>
      </c>
    </row>
    <row r="270" customFormat="false" ht="15" hidden="true" customHeight="false" outlineLevel="1" collapsed="false">
      <c r="B270" s="125" t="n">
        <v>52079</v>
      </c>
      <c r="C270" s="21" t="n">
        <f aca="false">G269</f>
        <v>220908.275923959</v>
      </c>
      <c r="D270" s="24" t="n">
        <f aca="false">C270*E$6</f>
        <v>920.451149683162</v>
      </c>
      <c r="E270" s="25" t="n">
        <f aca="false">E$8-D270</f>
        <v>1763.65696537753</v>
      </c>
      <c r="F270" s="126" t="n">
        <v>0</v>
      </c>
      <c r="G270" s="24" t="n">
        <f aca="false">C270-E270-F270</f>
        <v>219144.618958581</v>
      </c>
      <c r="I270" s="25" t="n">
        <f aca="false">I269+E270</f>
        <v>280855.381041419</v>
      </c>
      <c r="J270" s="24" t="n">
        <f aca="false">J269+D270</f>
        <v>417012.728874362</v>
      </c>
    </row>
    <row r="271" customFormat="false" ht="15" hidden="true" customHeight="false" outlineLevel="1" collapsed="false">
      <c r="B271" s="125" t="n">
        <v>52110</v>
      </c>
      <c r="C271" s="21" t="n">
        <f aca="false">G270</f>
        <v>219144.618958581</v>
      </c>
      <c r="D271" s="24" t="n">
        <f aca="false">C271*E$6</f>
        <v>913.102578994089</v>
      </c>
      <c r="E271" s="25" t="n">
        <f aca="false">E$8-D271</f>
        <v>1771.00553606661</v>
      </c>
      <c r="F271" s="127" t="n">
        <v>0</v>
      </c>
      <c r="G271" s="24" t="n">
        <f aca="false">C271-E271-F271</f>
        <v>217373.613422515</v>
      </c>
      <c r="I271" s="25" t="n">
        <f aca="false">I270+E271</f>
        <v>282626.386577485</v>
      </c>
      <c r="J271" s="24" t="n">
        <f aca="false">J270+D271</f>
        <v>417925.831453356</v>
      </c>
    </row>
    <row r="272" customFormat="false" ht="15" hidden="true" customHeight="false" outlineLevel="1" collapsed="false">
      <c r="B272" s="125" t="n">
        <v>52140</v>
      </c>
      <c r="C272" s="21" t="n">
        <f aca="false">G271</f>
        <v>217373.613422515</v>
      </c>
      <c r="D272" s="24" t="n">
        <f aca="false">C272*E$6</f>
        <v>905.723389260479</v>
      </c>
      <c r="E272" s="25" t="n">
        <f aca="false">E$8-D272</f>
        <v>1778.38472580022</v>
      </c>
      <c r="F272" s="126" t="n">
        <v>0</v>
      </c>
      <c r="G272" s="24" t="n">
        <f aca="false">C272-E272-F272</f>
        <v>215595.228696715</v>
      </c>
      <c r="I272" s="25" t="n">
        <f aca="false">I271+E272</f>
        <v>284404.771303285</v>
      </c>
      <c r="J272" s="24" t="n">
        <f aca="false">J271+D272</f>
        <v>418831.554842616</v>
      </c>
    </row>
    <row r="273" customFormat="false" ht="15" hidden="true" customHeight="false" outlineLevel="1" collapsed="false">
      <c r="B273" s="125" t="n">
        <v>52171</v>
      </c>
      <c r="C273" s="21" t="n">
        <f aca="false">G272</f>
        <v>215595.228696715</v>
      </c>
      <c r="D273" s="24" t="n">
        <f aca="false">C273*E$6</f>
        <v>898.313452902978</v>
      </c>
      <c r="E273" s="25" t="n">
        <f aca="false">E$8-D273</f>
        <v>1785.79466215772</v>
      </c>
      <c r="F273" s="127" t="n">
        <v>0</v>
      </c>
      <c r="G273" s="24" t="n">
        <f aca="false">C273-E273-F273</f>
        <v>213809.434034557</v>
      </c>
      <c r="I273" s="25" t="n">
        <f aca="false">I272+E273</f>
        <v>286190.565965443</v>
      </c>
      <c r="J273" s="24" t="n">
        <f aca="false">J272+D273</f>
        <v>419729.868295519</v>
      </c>
    </row>
    <row r="274" customFormat="false" ht="15" hidden="true" customHeight="false" outlineLevel="1" collapsed="false">
      <c r="B274" s="125" t="n">
        <v>52201</v>
      </c>
      <c r="C274" s="21" t="n">
        <f aca="false">G273</f>
        <v>213809.434034557</v>
      </c>
      <c r="D274" s="24" t="n">
        <f aca="false">C274*E$6</f>
        <v>890.872641810654</v>
      </c>
      <c r="E274" s="25" t="n">
        <f aca="false">E$8-D274</f>
        <v>1793.23547325004</v>
      </c>
      <c r="F274" s="126" t="n">
        <v>0</v>
      </c>
      <c r="G274" s="24" t="n">
        <f aca="false">C274-E274-F274</f>
        <v>212016.198561307</v>
      </c>
      <c r="I274" s="25" t="n">
        <f aca="false">I273+E274</f>
        <v>287983.801438693</v>
      </c>
      <c r="J274" s="24" t="n">
        <f aca="false">J273+D274</f>
        <v>420620.74093733</v>
      </c>
    </row>
    <row r="275" customFormat="false" ht="15" hidden="true" customHeight="false" outlineLevel="1" collapsed="false">
      <c r="B275" s="125" t="n">
        <v>52232</v>
      </c>
      <c r="C275" s="21" t="n">
        <f aca="false">G274</f>
        <v>212016.198561307</v>
      </c>
      <c r="D275" s="24" t="n">
        <f aca="false">C275*E$6</f>
        <v>883.400827338779</v>
      </c>
      <c r="E275" s="25" t="n">
        <f aca="false">E$8-D275</f>
        <v>1800.70728772192</v>
      </c>
      <c r="F275" s="127" t="n">
        <v>0</v>
      </c>
      <c r="G275" s="24" t="n">
        <f aca="false">C275-E275-F275</f>
        <v>210215.491273585</v>
      </c>
      <c r="I275" s="25" t="n">
        <f aca="false">I274+E275</f>
        <v>289784.508726415</v>
      </c>
      <c r="J275" s="24" t="n">
        <f aca="false">J274+D275</f>
        <v>421504.141764669</v>
      </c>
    </row>
    <row r="276" customFormat="false" ht="15" hidden="true" customHeight="false" outlineLevel="1" collapsed="false">
      <c r="B276" s="125" t="n">
        <v>52263</v>
      </c>
      <c r="C276" s="21" t="n">
        <f aca="false">G275</f>
        <v>210215.491273585</v>
      </c>
      <c r="D276" s="24" t="n">
        <f aca="false">C276*E$6</f>
        <v>875.897880306604</v>
      </c>
      <c r="E276" s="25" t="n">
        <f aca="false">E$8-D276</f>
        <v>1808.21023475409</v>
      </c>
      <c r="F276" s="126" t="n">
        <v>0</v>
      </c>
      <c r="G276" s="24" t="n">
        <f aca="false">C276-E276-F276</f>
        <v>208407.281038831</v>
      </c>
      <c r="I276" s="25" t="n">
        <f aca="false">I275+E276</f>
        <v>291592.718961169</v>
      </c>
      <c r="J276" s="24" t="n">
        <f aca="false">J275+D276</f>
        <v>422380.039644975</v>
      </c>
    </row>
    <row r="277" customFormat="false" ht="15" hidden="true" customHeight="false" outlineLevel="1" collapsed="false">
      <c r="B277" s="125" t="n">
        <v>52291</v>
      </c>
      <c r="C277" s="21" t="n">
        <f aca="false">G276</f>
        <v>208407.281038831</v>
      </c>
      <c r="D277" s="24" t="n">
        <f aca="false">C277*E$6</f>
        <v>868.363670995129</v>
      </c>
      <c r="E277" s="25" t="n">
        <f aca="false">E$8-D277</f>
        <v>1815.74444406557</v>
      </c>
      <c r="F277" s="127" t="n">
        <v>0</v>
      </c>
      <c r="G277" s="24" t="n">
        <f aca="false">C277-E277-F277</f>
        <v>206591.536594765</v>
      </c>
      <c r="I277" s="25" t="n">
        <f aca="false">I276+E277</f>
        <v>293408.463405235</v>
      </c>
      <c r="J277" s="24" t="n">
        <f aca="false">J276+D277</f>
        <v>423248.403315971</v>
      </c>
    </row>
    <row r="278" customFormat="false" ht="15" hidden="true" customHeight="false" outlineLevel="1" collapsed="false">
      <c r="B278" s="125" t="n">
        <v>52322</v>
      </c>
      <c r="C278" s="21" t="n">
        <f aca="false">G277</f>
        <v>206591.536594765</v>
      </c>
      <c r="D278" s="24" t="n">
        <f aca="false">C278*E$6</f>
        <v>860.798069144856</v>
      </c>
      <c r="E278" s="25" t="n">
        <f aca="false">E$8-D278</f>
        <v>1823.31004591584</v>
      </c>
      <c r="F278" s="126" t="n">
        <v>0</v>
      </c>
      <c r="G278" s="24" t="n">
        <f aca="false">C278-E278-F278</f>
        <v>204768.22654885</v>
      </c>
      <c r="I278" s="25" t="n">
        <f aca="false">I277+E278</f>
        <v>295231.773451151</v>
      </c>
      <c r="J278" s="24" t="n">
        <f aca="false">J277+D278</f>
        <v>424109.201385115</v>
      </c>
    </row>
    <row r="279" customFormat="false" ht="15" hidden="true" customHeight="false" outlineLevel="1" collapsed="false">
      <c r="B279" s="125" t="n">
        <v>52352</v>
      </c>
      <c r="C279" s="21" t="n">
        <f aca="false">G278</f>
        <v>204768.22654885</v>
      </c>
      <c r="D279" s="24" t="n">
        <f aca="false">C279*E$6</f>
        <v>853.20094395354</v>
      </c>
      <c r="E279" s="25" t="n">
        <f aca="false">E$8-D279</f>
        <v>1830.90717110716</v>
      </c>
      <c r="F279" s="127" t="n">
        <v>0</v>
      </c>
      <c r="G279" s="24" t="n">
        <f aca="false">C279-E279-F279</f>
        <v>202937.319377742</v>
      </c>
      <c r="I279" s="25" t="n">
        <f aca="false">I278+E279</f>
        <v>297062.680622258</v>
      </c>
      <c r="J279" s="24" t="n">
        <f aca="false">J278+D279</f>
        <v>424962.402329069</v>
      </c>
    </row>
    <row r="280" customFormat="false" ht="15" hidden="true" customHeight="false" outlineLevel="1" collapsed="false">
      <c r="B280" s="125" t="n">
        <v>52383</v>
      </c>
      <c r="C280" s="21" t="n">
        <f aca="false">G279</f>
        <v>202937.319377742</v>
      </c>
      <c r="D280" s="24" t="n">
        <f aca="false">C280*E$6</f>
        <v>845.572164073926</v>
      </c>
      <c r="E280" s="25" t="n">
        <f aca="false">E$8-D280</f>
        <v>1838.53595098677</v>
      </c>
      <c r="F280" s="126" t="n">
        <v>0</v>
      </c>
      <c r="G280" s="24" t="n">
        <f aca="false">C280-E280-F280</f>
        <v>201098.783426756</v>
      </c>
      <c r="I280" s="25" t="n">
        <f aca="false">I279+E280</f>
        <v>298901.216573244</v>
      </c>
      <c r="J280" s="24" t="n">
        <f aca="false">J279+D280</f>
        <v>425807.974493143</v>
      </c>
    </row>
    <row r="281" customFormat="false" ht="15" hidden="true" customHeight="false" outlineLevel="1" collapsed="false">
      <c r="B281" s="125" t="n">
        <v>52413</v>
      </c>
      <c r="C281" s="21" t="n">
        <f aca="false">G280</f>
        <v>201098.783426756</v>
      </c>
      <c r="D281" s="24" t="n">
        <f aca="false">C281*E$6</f>
        <v>837.911597611482</v>
      </c>
      <c r="E281" s="25" t="n">
        <f aca="false">E$8-D281</f>
        <v>1846.19651744921</v>
      </c>
      <c r="F281" s="127" t="n">
        <v>0</v>
      </c>
      <c r="G281" s="24" t="n">
        <f aca="false">C281-E281-F281</f>
        <v>199252.586909306</v>
      </c>
      <c r="I281" s="25" t="n">
        <f aca="false">I280+E281</f>
        <v>300747.413090694</v>
      </c>
      <c r="J281" s="24" t="n">
        <f aca="false">J280+D281</f>
        <v>426645.886090754</v>
      </c>
    </row>
    <row r="282" customFormat="false" ht="15" hidden="true" customHeight="false" outlineLevel="1" collapsed="false">
      <c r="B282" s="125" t="n">
        <v>52444</v>
      </c>
      <c r="C282" s="21" t="n">
        <f aca="false">G281</f>
        <v>199252.586909306</v>
      </c>
      <c r="D282" s="24" t="n">
        <f aca="false">C282*E$6</f>
        <v>830.21911212211</v>
      </c>
      <c r="E282" s="25" t="n">
        <f aca="false">E$8-D282</f>
        <v>1853.88900293859</v>
      </c>
      <c r="F282" s="126" t="n">
        <v>0</v>
      </c>
      <c r="G282" s="24" t="n">
        <f aca="false">C282-E282-F282</f>
        <v>197398.697906368</v>
      </c>
      <c r="I282" s="25" t="n">
        <f aca="false">I281+E282</f>
        <v>302601.302093632</v>
      </c>
      <c r="J282" s="24" t="n">
        <f aca="false">J281+D282</f>
        <v>427476.105202876</v>
      </c>
    </row>
    <row r="283" customFormat="false" ht="15" hidden="true" customHeight="false" outlineLevel="1" collapsed="false">
      <c r="B283" s="125" t="n">
        <v>52475</v>
      </c>
      <c r="C283" s="21" t="n">
        <f aca="false">G282</f>
        <v>197398.697906368</v>
      </c>
      <c r="D283" s="24" t="n">
        <f aca="false">C283*E$6</f>
        <v>822.494574609866</v>
      </c>
      <c r="E283" s="25" t="n">
        <f aca="false">E$8-D283</f>
        <v>1861.61354045083</v>
      </c>
      <c r="F283" s="127" t="n">
        <v>0</v>
      </c>
      <c r="G283" s="24" t="n">
        <f aca="false">C283-E283-F283</f>
        <v>195537.084365917</v>
      </c>
      <c r="I283" s="25" t="n">
        <f aca="false">I282+E283</f>
        <v>304462.915634083</v>
      </c>
      <c r="J283" s="24" t="n">
        <f aca="false">J282+D283</f>
        <v>428298.599777486</v>
      </c>
    </row>
    <row r="284" customFormat="false" ht="15" hidden="true" customHeight="false" outlineLevel="1" collapsed="false">
      <c r="B284" s="125" t="n">
        <v>52505</v>
      </c>
      <c r="C284" s="21" t="n">
        <f aca="false">G283</f>
        <v>195537.084365917</v>
      </c>
      <c r="D284" s="24" t="n">
        <f aca="false">C284*E$6</f>
        <v>814.737851524654</v>
      </c>
      <c r="E284" s="25" t="n">
        <f aca="false">E$8-D284</f>
        <v>1869.37026353604</v>
      </c>
      <c r="F284" s="126" t="n">
        <v>0</v>
      </c>
      <c r="G284" s="24" t="n">
        <f aca="false">C284-E284-F284</f>
        <v>193667.714102381</v>
      </c>
      <c r="I284" s="25" t="n">
        <f aca="false">I283+E284</f>
        <v>306332.285897619</v>
      </c>
      <c r="J284" s="24" t="n">
        <f aca="false">J283+D284</f>
        <v>429113.337629011</v>
      </c>
    </row>
    <row r="285" customFormat="false" ht="15" hidden="true" customHeight="false" outlineLevel="1" collapsed="false">
      <c r="B285" s="125" t="n">
        <v>52536</v>
      </c>
      <c r="C285" s="21" t="n">
        <f aca="false">G284</f>
        <v>193667.714102381</v>
      </c>
      <c r="D285" s="24" t="n">
        <f aca="false">C285*E$6</f>
        <v>806.94880875992</v>
      </c>
      <c r="E285" s="25" t="n">
        <f aca="false">E$8-D285</f>
        <v>1877.15930630078</v>
      </c>
      <c r="F285" s="127" t="n">
        <v>0</v>
      </c>
      <c r="G285" s="24" t="n">
        <f aca="false">C285-E285-F285</f>
        <v>191790.55479608</v>
      </c>
      <c r="I285" s="25" t="n">
        <f aca="false">I284+E285</f>
        <v>308209.44520392</v>
      </c>
      <c r="J285" s="24" t="n">
        <f aca="false">J284+D285</f>
        <v>429920.286437771</v>
      </c>
    </row>
    <row r="286" customFormat="false" ht="15" hidden="true" customHeight="false" outlineLevel="1" collapsed="false">
      <c r="B286" s="125" t="n">
        <v>52566</v>
      </c>
      <c r="C286" s="21" t="n">
        <f aca="false">G285</f>
        <v>191790.55479608</v>
      </c>
      <c r="D286" s="24" t="n">
        <f aca="false">C286*E$6</f>
        <v>799.127311650334</v>
      </c>
      <c r="E286" s="25" t="n">
        <f aca="false">E$8-D286</f>
        <v>1884.98080341036</v>
      </c>
      <c r="F286" s="126" t="n">
        <v>0</v>
      </c>
      <c r="G286" s="24" t="n">
        <f aca="false">C286-E286-F286</f>
        <v>189905.57399267</v>
      </c>
      <c r="I286" s="25" t="n">
        <f aca="false">I285+E286</f>
        <v>310094.42600733</v>
      </c>
      <c r="J286" s="24" t="n">
        <f aca="false">J285+D286</f>
        <v>430719.413749421</v>
      </c>
    </row>
    <row r="287" customFormat="false" ht="15" hidden="true" customHeight="false" outlineLevel="1" collapsed="false">
      <c r="B287" s="125" t="n">
        <v>52597</v>
      </c>
      <c r="C287" s="21" t="n">
        <f aca="false">G286</f>
        <v>189905.57399267</v>
      </c>
      <c r="D287" s="24" t="n">
        <f aca="false">C287*E$6</f>
        <v>791.273224969457</v>
      </c>
      <c r="E287" s="25" t="n">
        <f aca="false">E$8-D287</f>
        <v>1892.83489009124</v>
      </c>
      <c r="F287" s="127" t="n">
        <v>0</v>
      </c>
      <c r="G287" s="24" t="n">
        <f aca="false">C287-E287-F287</f>
        <v>188012.739102579</v>
      </c>
      <c r="I287" s="25" t="n">
        <f aca="false">I286+E287</f>
        <v>311987.260897421</v>
      </c>
      <c r="J287" s="24" t="n">
        <f aca="false">J286+D287</f>
        <v>431510.686974391</v>
      </c>
    </row>
    <row r="288" customFormat="false" ht="15" hidden="true" customHeight="false" outlineLevel="1" collapsed="false">
      <c r="B288" s="125" t="n">
        <v>52628</v>
      </c>
      <c r="C288" s="21" t="n">
        <f aca="false">G287</f>
        <v>188012.739102579</v>
      </c>
      <c r="D288" s="24" t="n">
        <f aca="false">C288*E$6</f>
        <v>783.38641292741</v>
      </c>
      <c r="E288" s="25" t="n">
        <f aca="false">E$8-D288</f>
        <v>1900.72170213328</v>
      </c>
      <c r="F288" s="126" t="n">
        <v>0</v>
      </c>
      <c r="G288" s="24" t="n">
        <f aca="false">C288-E288-F288</f>
        <v>186112.017400445</v>
      </c>
      <c r="I288" s="25" t="n">
        <f aca="false">I287+E288</f>
        <v>313887.982599555</v>
      </c>
      <c r="J288" s="24" t="n">
        <f aca="false">J287+D288</f>
        <v>432294.073387318</v>
      </c>
    </row>
    <row r="289" customFormat="false" ht="15" hidden="true" customHeight="false" outlineLevel="1" collapsed="false">
      <c r="B289" s="125" t="n">
        <v>52657</v>
      </c>
      <c r="C289" s="21" t="n">
        <f aca="false">G288</f>
        <v>186112.017400445</v>
      </c>
      <c r="D289" s="24" t="n">
        <f aca="false">C289*E$6</f>
        <v>775.466739168522</v>
      </c>
      <c r="E289" s="25" t="n">
        <f aca="false">E$8-D289</f>
        <v>1908.64137589217</v>
      </c>
      <c r="F289" s="127" t="n">
        <v>0</v>
      </c>
      <c r="G289" s="24" t="n">
        <f aca="false">C289-E289-F289</f>
        <v>184203.376024553</v>
      </c>
      <c r="I289" s="25" t="n">
        <f aca="false">I288+E289</f>
        <v>315796.623975447</v>
      </c>
      <c r="J289" s="24" t="n">
        <f aca="false">J288+D289</f>
        <v>433069.540126487</v>
      </c>
    </row>
    <row r="290" customFormat="false" ht="15" hidden="true" customHeight="false" outlineLevel="1" collapsed="false">
      <c r="B290" s="125" t="n">
        <v>52688</v>
      </c>
      <c r="C290" s="21" t="n">
        <f aca="false">G289</f>
        <v>184203.376024553</v>
      </c>
      <c r="D290" s="24" t="n">
        <f aca="false">C290*E$6</f>
        <v>767.514066768971</v>
      </c>
      <c r="E290" s="25" t="n">
        <f aca="false">E$8-D290</f>
        <v>1916.59404829172</v>
      </c>
      <c r="F290" s="126" t="n">
        <v>0</v>
      </c>
      <c r="G290" s="24" t="n">
        <f aca="false">C290-E290-F290</f>
        <v>182286.781976261</v>
      </c>
      <c r="I290" s="25" t="n">
        <f aca="false">I289+E290</f>
        <v>317713.218023739</v>
      </c>
      <c r="J290" s="24" t="n">
        <f aca="false">J289+D290</f>
        <v>433837.054193256</v>
      </c>
    </row>
    <row r="291" customFormat="false" ht="15" hidden="true" customHeight="false" outlineLevel="1" collapsed="false">
      <c r="B291" s="125" t="n">
        <v>52718</v>
      </c>
      <c r="C291" s="21" t="n">
        <f aca="false">G290</f>
        <v>182286.781976261</v>
      </c>
      <c r="D291" s="24" t="n">
        <f aca="false">C291*E$6</f>
        <v>759.528258234422</v>
      </c>
      <c r="E291" s="25" t="n">
        <f aca="false">E$8-D291</f>
        <v>1924.57985682627</v>
      </c>
      <c r="F291" s="127" t="n">
        <v>0</v>
      </c>
      <c r="G291" s="24" t="n">
        <f aca="false">C291-E291-F291</f>
        <v>180362.202119435</v>
      </c>
      <c r="I291" s="25" t="n">
        <f aca="false">I290+E291</f>
        <v>319637.797880565</v>
      </c>
      <c r="J291" s="24" t="n">
        <f aca="false">J290+D291</f>
        <v>434596.58245149</v>
      </c>
    </row>
    <row r="292" customFormat="false" ht="15" hidden="true" customHeight="false" outlineLevel="1" collapsed="false">
      <c r="B292" s="125" t="n">
        <v>52749</v>
      </c>
      <c r="C292" s="21" t="n">
        <f aca="false">G291</f>
        <v>180362.202119435</v>
      </c>
      <c r="D292" s="24" t="n">
        <f aca="false">C292*E$6</f>
        <v>751.509175497646</v>
      </c>
      <c r="E292" s="25" t="n">
        <f aca="false">E$8-D292</f>
        <v>1932.59893956305</v>
      </c>
      <c r="F292" s="126" t="n">
        <v>0</v>
      </c>
      <c r="G292" s="24" t="n">
        <f aca="false">C292-E292-F292</f>
        <v>178429.603179872</v>
      </c>
      <c r="I292" s="25" t="n">
        <f aca="false">I291+E292</f>
        <v>321570.396820128</v>
      </c>
      <c r="J292" s="24" t="n">
        <f aca="false">J291+D292</f>
        <v>435348.091626988</v>
      </c>
    </row>
    <row r="293" customFormat="false" ht="15" hidden="true" customHeight="false" outlineLevel="1" collapsed="false">
      <c r="B293" s="125" t="n">
        <v>52779</v>
      </c>
      <c r="C293" s="21" t="n">
        <f aca="false">G292</f>
        <v>178429.603179872</v>
      </c>
      <c r="D293" s="24" t="n">
        <f aca="false">C293*E$6</f>
        <v>743.456679916133</v>
      </c>
      <c r="E293" s="25" t="n">
        <f aca="false">E$8-D293</f>
        <v>1940.65143514456</v>
      </c>
      <c r="F293" s="127" t="n">
        <v>0</v>
      </c>
      <c r="G293" s="24" t="n">
        <f aca="false">C293-E293-F293</f>
        <v>176488.951744727</v>
      </c>
      <c r="I293" s="25" t="n">
        <f aca="false">I292+E293</f>
        <v>323511.048255273</v>
      </c>
      <c r="J293" s="24" t="n">
        <f aca="false">J292+D293</f>
        <v>436091.548306904</v>
      </c>
    </row>
    <row r="294" customFormat="false" ht="15" hidden="true" customHeight="false" outlineLevel="1" collapsed="false">
      <c r="B294" s="125" t="n">
        <v>52810</v>
      </c>
      <c r="C294" s="21" t="n">
        <f aca="false">G293</f>
        <v>176488.951744727</v>
      </c>
      <c r="D294" s="24" t="n">
        <f aca="false">C294*E$6</f>
        <v>735.370632269698</v>
      </c>
      <c r="E294" s="25" t="n">
        <f aca="false">E$8-D294</f>
        <v>1948.737482791</v>
      </c>
      <c r="F294" s="126" t="n">
        <v>0</v>
      </c>
      <c r="G294" s="24" t="n">
        <f aca="false">C294-E294-F294</f>
        <v>174540.214261936</v>
      </c>
      <c r="I294" s="25" t="n">
        <f aca="false">I293+E294</f>
        <v>325459.785738064</v>
      </c>
      <c r="J294" s="24" t="n">
        <f aca="false">J293+D294</f>
        <v>436826.918939173</v>
      </c>
    </row>
    <row r="295" customFormat="false" ht="15" hidden="true" customHeight="false" outlineLevel="1" collapsed="false">
      <c r="B295" s="125" t="n">
        <v>52841</v>
      </c>
      <c r="C295" s="21" t="n">
        <f aca="false">G294</f>
        <v>174540.214261936</v>
      </c>
      <c r="D295" s="24" t="n">
        <f aca="false">C295*E$6</f>
        <v>727.250892758068</v>
      </c>
      <c r="E295" s="25" t="n">
        <f aca="false">E$8-D295</f>
        <v>1956.85722230263</v>
      </c>
      <c r="F295" s="127" t="n">
        <v>0</v>
      </c>
      <c r="G295" s="24" t="n">
        <f aca="false">C295-E295-F295</f>
        <v>172583.357039634</v>
      </c>
      <c r="I295" s="25" t="n">
        <f aca="false">I294+E295</f>
        <v>327416.642960366</v>
      </c>
      <c r="J295" s="24" t="n">
        <f aca="false">J294+D295</f>
        <v>437554.169831932</v>
      </c>
    </row>
    <row r="296" customFormat="false" ht="15" hidden="true" customHeight="false" outlineLevel="1" collapsed="false">
      <c r="B296" s="125" t="n">
        <v>52871</v>
      </c>
      <c r="C296" s="21" t="n">
        <f aca="false">G295</f>
        <v>172583.357039634</v>
      </c>
      <c r="D296" s="24" t="n">
        <f aca="false">C296*E$6</f>
        <v>719.097320998474</v>
      </c>
      <c r="E296" s="25" t="n">
        <f aca="false">E$8-D296</f>
        <v>1965.01079406222</v>
      </c>
      <c r="F296" s="126" t="n">
        <v>0</v>
      </c>
      <c r="G296" s="24" t="n">
        <f aca="false">C296-E296-F296</f>
        <v>170618.346245572</v>
      </c>
      <c r="I296" s="25" t="n">
        <f aca="false">I295+E296</f>
        <v>329381.653754428</v>
      </c>
      <c r="J296" s="24" t="n">
        <f aca="false">J295+D296</f>
        <v>438273.26715293</v>
      </c>
    </row>
    <row r="297" customFormat="false" ht="15" hidden="true" customHeight="false" outlineLevel="1" collapsed="false">
      <c r="B297" s="125" t="n">
        <v>52902</v>
      </c>
      <c r="C297" s="21" t="n">
        <f aca="false">G296</f>
        <v>170618.346245572</v>
      </c>
      <c r="D297" s="24" t="n">
        <f aca="false">C297*E$6</f>
        <v>710.909776023215</v>
      </c>
      <c r="E297" s="25" t="n">
        <f aca="false">E$8-D297</f>
        <v>1973.19833903748</v>
      </c>
      <c r="F297" s="127" t="n">
        <v>0</v>
      </c>
      <c r="G297" s="24" t="n">
        <f aca="false">C297-E297-F297</f>
        <v>168645.147906534</v>
      </c>
      <c r="I297" s="25" t="n">
        <f aca="false">I296+E297</f>
        <v>331354.852093466</v>
      </c>
      <c r="J297" s="24" t="n">
        <f aca="false">J296+D297</f>
        <v>438984.176928953</v>
      </c>
    </row>
    <row r="298" customFormat="false" ht="15" hidden="true" customHeight="false" outlineLevel="1" collapsed="false">
      <c r="B298" s="125" t="n">
        <v>52932</v>
      </c>
      <c r="C298" s="21" t="n">
        <f aca="false">G297</f>
        <v>168645.147906534</v>
      </c>
      <c r="D298" s="24" t="n">
        <f aca="false">C298*E$6</f>
        <v>702.688116277225</v>
      </c>
      <c r="E298" s="25" t="n">
        <f aca="false">E$8-D298</f>
        <v>1981.41999878347</v>
      </c>
      <c r="F298" s="126" t="n">
        <v>0</v>
      </c>
      <c r="G298" s="24" t="n">
        <f aca="false">C298-E298-F298</f>
        <v>166663.727907751</v>
      </c>
      <c r="I298" s="25" t="n">
        <f aca="false">I297+E298</f>
        <v>333336.272092249</v>
      </c>
      <c r="J298" s="24" t="n">
        <f aca="false">J297+D298</f>
        <v>439686.865045231</v>
      </c>
    </row>
    <row r="299" customFormat="false" ht="15" hidden="true" customHeight="false" outlineLevel="1" collapsed="false">
      <c r="B299" s="125" t="n">
        <v>52963</v>
      </c>
      <c r="C299" s="21" t="n">
        <f aca="false">G298</f>
        <v>166663.727907751</v>
      </c>
      <c r="D299" s="24" t="n">
        <f aca="false">C299*E$6</f>
        <v>694.432199615628</v>
      </c>
      <c r="E299" s="25" t="n">
        <f aca="false">E$8-D299</f>
        <v>1989.67591544507</v>
      </c>
      <c r="F299" s="127" t="n">
        <v>0</v>
      </c>
      <c r="G299" s="24" t="n">
        <f aca="false">C299-E299-F299</f>
        <v>164674.051992306</v>
      </c>
      <c r="I299" s="25" t="n">
        <f aca="false">I298+E299</f>
        <v>335325.948007694</v>
      </c>
      <c r="J299" s="24" t="n">
        <f aca="false">J298+D299</f>
        <v>440381.297244846</v>
      </c>
    </row>
    <row r="300" customFormat="false" ht="15" hidden="true" customHeight="false" outlineLevel="1" collapsed="false">
      <c r="B300" s="125" t="n">
        <v>52994</v>
      </c>
      <c r="C300" s="21" t="n">
        <f aca="false">G299</f>
        <v>164674.051992306</v>
      </c>
      <c r="D300" s="24" t="n">
        <f aca="false">C300*E$6</f>
        <v>686.141883301273</v>
      </c>
      <c r="E300" s="25" t="n">
        <f aca="false">E$8-D300</f>
        <v>1997.96623175942</v>
      </c>
      <c r="F300" s="126" t="n">
        <v>0</v>
      </c>
      <c r="G300" s="24" t="n">
        <f aca="false">C300-E300-F300</f>
        <v>162676.085760546</v>
      </c>
      <c r="I300" s="25" t="n">
        <f aca="false">I299+E300</f>
        <v>337323.914239454</v>
      </c>
      <c r="J300" s="24" t="n">
        <f aca="false">J299+D300</f>
        <v>441067.439128147</v>
      </c>
    </row>
    <row r="301" customFormat="false" ht="15" hidden="true" customHeight="false" outlineLevel="1" collapsed="false">
      <c r="B301" s="125" t="n">
        <v>53022</v>
      </c>
      <c r="C301" s="21" t="n">
        <f aca="false">G300</f>
        <v>162676.085760546</v>
      </c>
      <c r="D301" s="24" t="n">
        <f aca="false">C301*E$6</f>
        <v>677.817024002276</v>
      </c>
      <c r="E301" s="25" t="n">
        <f aca="false">E$8-D301</f>
        <v>2006.29109105842</v>
      </c>
      <c r="F301" s="127" t="n">
        <v>0</v>
      </c>
      <c r="G301" s="24" t="n">
        <f aca="false">C301-E301-F301</f>
        <v>160669.794669488</v>
      </c>
      <c r="I301" s="25" t="n">
        <f aca="false">I300+E301</f>
        <v>339330.205330512</v>
      </c>
      <c r="J301" s="24" t="n">
        <f aca="false">J300+D301</f>
        <v>441745.25615215</v>
      </c>
    </row>
    <row r="302" customFormat="false" ht="15" hidden="true" customHeight="false" outlineLevel="1" collapsed="false">
      <c r="B302" s="125" t="n">
        <v>53053</v>
      </c>
      <c r="C302" s="21" t="n">
        <f aca="false">G301</f>
        <v>160669.794669488</v>
      </c>
      <c r="D302" s="24" t="n">
        <f aca="false">C302*E$6</f>
        <v>669.457477789532</v>
      </c>
      <c r="E302" s="25" t="n">
        <f aca="false">E$8-D302</f>
        <v>2014.65063727116</v>
      </c>
      <c r="F302" s="126" t="n">
        <v>0</v>
      </c>
      <c r="G302" s="24" t="n">
        <f aca="false">C302-E302-F302</f>
        <v>158655.144032217</v>
      </c>
      <c r="I302" s="25" t="n">
        <f aca="false">I301+E302</f>
        <v>341344.855967783</v>
      </c>
      <c r="J302" s="24" t="n">
        <f aca="false">J301+D302</f>
        <v>442414.713629939</v>
      </c>
    </row>
    <row r="303" customFormat="false" ht="15" hidden="true" customHeight="false" outlineLevel="1" collapsed="false">
      <c r="B303" s="125" t="n">
        <v>53083</v>
      </c>
      <c r="C303" s="21" t="n">
        <f aca="false">G302</f>
        <v>158655.144032217</v>
      </c>
      <c r="D303" s="24" t="n">
        <f aca="false">C303*E$6</f>
        <v>661.063100134236</v>
      </c>
      <c r="E303" s="25" t="n">
        <f aca="false">E$8-D303</f>
        <v>2023.04501492646</v>
      </c>
      <c r="F303" s="127" t="n">
        <v>0</v>
      </c>
      <c r="G303" s="24" t="n">
        <f aca="false">C303-E303-F303</f>
        <v>156632.09901729</v>
      </c>
      <c r="I303" s="25" t="n">
        <f aca="false">I302+E303</f>
        <v>343367.90098271</v>
      </c>
      <c r="J303" s="24" t="n">
        <f aca="false">J302+D303</f>
        <v>443075.776730073</v>
      </c>
    </row>
    <row r="304" customFormat="false" ht="15" hidden="true" customHeight="false" outlineLevel="1" collapsed="false">
      <c r="B304" s="125" t="n">
        <v>53114</v>
      </c>
      <c r="C304" s="21" t="n">
        <f aca="false">G303</f>
        <v>156632.09901729</v>
      </c>
      <c r="D304" s="24" t="n">
        <f aca="false">C304*E$6</f>
        <v>652.633745905375</v>
      </c>
      <c r="E304" s="25" t="n">
        <f aca="false">E$8-D304</f>
        <v>2031.47436915532</v>
      </c>
      <c r="F304" s="126" t="n">
        <v>0</v>
      </c>
      <c r="G304" s="24" t="n">
        <f aca="false">C304-E304-F304</f>
        <v>154600.624648135</v>
      </c>
      <c r="I304" s="25" t="n">
        <f aca="false">I303+E304</f>
        <v>345399.375351865</v>
      </c>
      <c r="J304" s="24" t="n">
        <f aca="false">J303+D304</f>
        <v>443728.410475979</v>
      </c>
    </row>
    <row r="305" customFormat="false" ht="15" hidden="true" customHeight="false" outlineLevel="1" collapsed="false">
      <c r="B305" s="125" t="n">
        <v>53144</v>
      </c>
      <c r="C305" s="21" t="n">
        <f aca="false">G304</f>
        <v>154600.624648135</v>
      </c>
      <c r="D305" s="24" t="n">
        <f aca="false">C305*E$6</f>
        <v>644.169269367228</v>
      </c>
      <c r="E305" s="25" t="n">
        <f aca="false">E$8-D305</f>
        <v>2039.93884569347</v>
      </c>
      <c r="F305" s="127" t="n">
        <v>0</v>
      </c>
      <c r="G305" s="24" t="n">
        <f aca="false">C305-E305-F305</f>
        <v>152560.685802441</v>
      </c>
      <c r="I305" s="25" t="n">
        <f aca="false">I304+E305</f>
        <v>347439.314197559</v>
      </c>
      <c r="J305" s="24" t="n">
        <f aca="false">J304+D305</f>
        <v>444372.579745346</v>
      </c>
    </row>
    <row r="306" customFormat="false" ht="15" hidden="true" customHeight="false" outlineLevel="1" collapsed="false">
      <c r="B306" s="125" t="n">
        <v>53175</v>
      </c>
      <c r="C306" s="21" t="n">
        <f aca="false">G305</f>
        <v>152560.685802441</v>
      </c>
      <c r="D306" s="24" t="n">
        <f aca="false">C306*E$6</f>
        <v>635.669524176839</v>
      </c>
      <c r="E306" s="25" t="n">
        <f aca="false">E$8-D306</f>
        <v>2048.43859088386</v>
      </c>
      <c r="F306" s="126" t="n">
        <v>0</v>
      </c>
      <c r="G306" s="24" t="n">
        <f aca="false">C306-E306-F306</f>
        <v>150512.247211557</v>
      </c>
      <c r="I306" s="25" t="n">
        <f aca="false">I305+E306</f>
        <v>349487.752788443</v>
      </c>
      <c r="J306" s="24" t="n">
        <f aca="false">J305+D306</f>
        <v>445008.249269523</v>
      </c>
    </row>
    <row r="307" customFormat="false" ht="15" hidden="true" customHeight="false" outlineLevel="1" collapsed="false">
      <c r="B307" s="125" t="n">
        <v>53206</v>
      </c>
      <c r="C307" s="21" t="n">
        <f aca="false">G306</f>
        <v>150512.247211557</v>
      </c>
      <c r="D307" s="24" t="n">
        <f aca="false">C307*E$6</f>
        <v>627.134363381489</v>
      </c>
      <c r="E307" s="25" t="n">
        <f aca="false">E$8-D307</f>
        <v>2056.97375167921</v>
      </c>
      <c r="F307" s="127" t="n">
        <v>0</v>
      </c>
      <c r="G307" s="24" t="n">
        <f aca="false">C307-E307-F307</f>
        <v>148455.273459878</v>
      </c>
      <c r="I307" s="25" t="n">
        <f aca="false">I306+E307</f>
        <v>351544.726540122</v>
      </c>
      <c r="J307" s="24" t="n">
        <f aca="false">J306+D307</f>
        <v>445635.383632904</v>
      </c>
    </row>
    <row r="308" customFormat="false" ht="15" hidden="true" customHeight="false" outlineLevel="1" collapsed="false">
      <c r="B308" s="125" t="n">
        <v>53236</v>
      </c>
      <c r="C308" s="21" t="n">
        <f aca="false">G307</f>
        <v>148455.273459878</v>
      </c>
      <c r="D308" s="24" t="n">
        <f aca="false">C308*E$6</f>
        <v>618.563639416159</v>
      </c>
      <c r="E308" s="25" t="n">
        <f aca="false">E$8-D308</f>
        <v>2065.54447564454</v>
      </c>
      <c r="F308" s="126" t="n">
        <v>0</v>
      </c>
      <c r="G308" s="24" t="n">
        <f aca="false">C308-E308-F308</f>
        <v>146389.728984234</v>
      </c>
      <c r="I308" s="25" t="n">
        <f aca="false">I307+E308</f>
        <v>353610.271015766</v>
      </c>
      <c r="J308" s="24" t="n">
        <f aca="false">J307+D308</f>
        <v>446253.947272321</v>
      </c>
    </row>
    <row r="309" customFormat="false" ht="15" hidden="true" customHeight="false" outlineLevel="1" collapsed="false">
      <c r="B309" s="125" t="n">
        <v>53267</v>
      </c>
      <c r="C309" s="21" t="n">
        <f aca="false">G308</f>
        <v>146389.728984234</v>
      </c>
      <c r="D309" s="24" t="n">
        <f aca="false">C309*E$6</f>
        <v>609.957204100974</v>
      </c>
      <c r="E309" s="25" t="n">
        <f aca="false">E$8-D309</f>
        <v>2074.15091095972</v>
      </c>
      <c r="F309" s="127" t="n">
        <v>0</v>
      </c>
      <c r="G309" s="24" t="n">
        <f aca="false">C309-E309-F309</f>
        <v>144315.578073274</v>
      </c>
      <c r="I309" s="25" t="n">
        <f aca="false">I308+E309</f>
        <v>355684.421926726</v>
      </c>
      <c r="J309" s="24" t="n">
        <f aca="false">J308+D309</f>
        <v>446863.904476422</v>
      </c>
    </row>
    <row r="310" customFormat="false" ht="15" hidden="true" customHeight="false" outlineLevel="1" collapsed="false">
      <c r="B310" s="125" t="n">
        <v>53297</v>
      </c>
      <c r="C310" s="21" t="n">
        <f aca="false">G309</f>
        <v>144315.578073274</v>
      </c>
      <c r="D310" s="24" t="n">
        <f aca="false">C310*E$6</f>
        <v>601.314908638641</v>
      </c>
      <c r="E310" s="25" t="n">
        <f aca="false">E$8-D310</f>
        <v>2082.79320642205</v>
      </c>
      <c r="F310" s="126" t="n">
        <v>0</v>
      </c>
      <c r="G310" s="24" t="n">
        <f aca="false">C310-E310-F310</f>
        <v>142232.784866852</v>
      </c>
      <c r="I310" s="25" t="n">
        <f aca="false">I309+E310</f>
        <v>357767.215133148</v>
      </c>
      <c r="J310" s="24" t="n">
        <f aca="false">J309+D310</f>
        <v>447465.21938506</v>
      </c>
    </row>
    <row r="311" customFormat="false" ht="15" hidden="true" customHeight="false" outlineLevel="1" collapsed="false">
      <c r="B311" s="125" t="n">
        <v>53328</v>
      </c>
      <c r="C311" s="21" t="n">
        <f aca="false">G310</f>
        <v>142232.784866852</v>
      </c>
      <c r="D311" s="24" t="n">
        <f aca="false">C311*E$6</f>
        <v>592.636603611883</v>
      </c>
      <c r="E311" s="25" t="n">
        <f aca="false">E$8-D311</f>
        <v>2091.47151144881</v>
      </c>
      <c r="F311" s="127" t="n">
        <v>0</v>
      </c>
      <c r="G311" s="24" t="n">
        <f aca="false">C311-E311-F311</f>
        <v>140141.313355403</v>
      </c>
      <c r="I311" s="25" t="n">
        <f aca="false">I310+E311</f>
        <v>359858.686644597</v>
      </c>
      <c r="J311" s="24" t="n">
        <f aca="false">J310+D311</f>
        <v>448057.855988672</v>
      </c>
    </row>
    <row r="312" customFormat="false" ht="15" hidden="true" customHeight="false" outlineLevel="1" collapsed="false">
      <c r="B312" s="125" t="n">
        <v>53359</v>
      </c>
      <c r="C312" s="21" t="n">
        <f aca="false">G311</f>
        <v>140141.313355403</v>
      </c>
      <c r="D312" s="24" t="n">
        <f aca="false">C312*E$6</f>
        <v>583.922138980846</v>
      </c>
      <c r="E312" s="25" t="n">
        <f aca="false">E$8-D312</f>
        <v>2100.18597607985</v>
      </c>
      <c r="F312" s="126" t="n">
        <v>0</v>
      </c>
      <c r="G312" s="24" t="n">
        <f aca="false">C312-E312-F312</f>
        <v>138041.127379323</v>
      </c>
      <c r="I312" s="25" t="n">
        <f aca="false">I311+E312</f>
        <v>361958.872620677</v>
      </c>
      <c r="J312" s="24" t="n">
        <f aca="false">J311+D312</f>
        <v>448641.778127653</v>
      </c>
    </row>
    <row r="313" customFormat="false" ht="15" hidden="true" customHeight="false" outlineLevel="1" collapsed="false">
      <c r="B313" s="125" t="n">
        <v>53387</v>
      </c>
      <c r="C313" s="21" t="n">
        <f aca="false">G312</f>
        <v>138041.127379323</v>
      </c>
      <c r="D313" s="24" t="n">
        <f aca="false">C313*E$6</f>
        <v>575.171364080513</v>
      </c>
      <c r="E313" s="25" t="n">
        <f aca="false">E$8-D313</f>
        <v>2108.93675098018</v>
      </c>
      <c r="F313" s="127" t="n">
        <v>0</v>
      </c>
      <c r="G313" s="24" t="n">
        <f aca="false">C313-E313-F313</f>
        <v>135932.190628343</v>
      </c>
      <c r="I313" s="25" t="n">
        <f aca="false">I312+E313</f>
        <v>364067.809371657</v>
      </c>
      <c r="J313" s="24" t="n">
        <f aca="false">J312+D313</f>
        <v>449216.949491733</v>
      </c>
    </row>
    <row r="314" customFormat="false" ht="15" hidden="true" customHeight="false" outlineLevel="1" collapsed="false">
      <c r="B314" s="125" t="n">
        <v>53418</v>
      </c>
      <c r="C314" s="21" t="n">
        <f aca="false">G313</f>
        <v>135932.190628343</v>
      </c>
      <c r="D314" s="24" t="n">
        <f aca="false">C314*E$6</f>
        <v>566.384127618096</v>
      </c>
      <c r="E314" s="25" t="n">
        <f aca="false">E$8-D314</f>
        <v>2117.7239874426</v>
      </c>
      <c r="F314" s="126" t="n">
        <v>0</v>
      </c>
      <c r="G314" s="24" t="n">
        <f aca="false">C314-E314-F314</f>
        <v>133814.4666409</v>
      </c>
      <c r="I314" s="25" t="n">
        <f aca="false">I313+E314</f>
        <v>366185.533359099</v>
      </c>
      <c r="J314" s="24" t="n">
        <f aca="false">J313+D314</f>
        <v>449783.333619352</v>
      </c>
    </row>
    <row r="315" customFormat="false" ht="15" hidden="true" customHeight="false" outlineLevel="1" collapsed="false">
      <c r="B315" s="125" t="n">
        <v>53448</v>
      </c>
      <c r="C315" s="21" t="n">
        <f aca="false">G314</f>
        <v>133814.4666409</v>
      </c>
      <c r="D315" s="24" t="n">
        <f aca="false">C315*E$6</f>
        <v>557.560277670419</v>
      </c>
      <c r="E315" s="25" t="n">
        <f aca="false">E$8-D315</f>
        <v>2126.54783739028</v>
      </c>
      <c r="F315" s="127" t="n">
        <v>0</v>
      </c>
      <c r="G315" s="24" t="n">
        <f aca="false">C315-E315-F315</f>
        <v>131687.91880351</v>
      </c>
      <c r="I315" s="25" t="n">
        <f aca="false">I314+E315</f>
        <v>368312.08119649</v>
      </c>
      <c r="J315" s="24" t="n">
        <f aca="false">J314+D315</f>
        <v>450340.893897022</v>
      </c>
    </row>
    <row r="316" customFormat="false" ht="15" hidden="true" customHeight="false" outlineLevel="1" collapsed="false">
      <c r="B316" s="125" t="n">
        <v>53479</v>
      </c>
      <c r="C316" s="21" t="n">
        <f aca="false">G315</f>
        <v>131687.91880351</v>
      </c>
      <c r="D316" s="24" t="n">
        <f aca="false">C316*E$6</f>
        <v>548.699661681292</v>
      </c>
      <c r="E316" s="25" t="n">
        <f aca="false">E$8-D316</f>
        <v>2135.4084533794</v>
      </c>
      <c r="F316" s="126" t="n">
        <v>0</v>
      </c>
      <c r="G316" s="24" t="n">
        <f aca="false">C316-E316-F316</f>
        <v>129552.510350131</v>
      </c>
      <c r="I316" s="25" t="n">
        <f aca="false">I315+E316</f>
        <v>370447.489649869</v>
      </c>
      <c r="J316" s="24" t="n">
        <f aca="false">J315+D316</f>
        <v>450889.593558703</v>
      </c>
    </row>
    <row r="317" customFormat="false" ht="15" hidden="true" customHeight="false" outlineLevel="1" collapsed="false">
      <c r="B317" s="125" t="n">
        <v>53509</v>
      </c>
      <c r="C317" s="21" t="n">
        <f aca="false">G316</f>
        <v>129552.510350131</v>
      </c>
      <c r="D317" s="24" t="n">
        <f aca="false">C317*E$6</f>
        <v>539.802126458878</v>
      </c>
      <c r="E317" s="25" t="n">
        <f aca="false">E$8-D317</f>
        <v>2144.30598860182</v>
      </c>
      <c r="F317" s="127" t="n">
        <v>0</v>
      </c>
      <c r="G317" s="24" t="n">
        <f aca="false">C317-E317-F317</f>
        <v>127408.204361529</v>
      </c>
      <c r="I317" s="25" t="n">
        <f aca="false">I316+E317</f>
        <v>372591.795638471</v>
      </c>
      <c r="J317" s="24" t="n">
        <f aca="false">J316+D317</f>
        <v>451429.395685162</v>
      </c>
    </row>
    <row r="318" customFormat="false" ht="15" hidden="true" customHeight="false" outlineLevel="1" collapsed="false">
      <c r="B318" s="125" t="n">
        <v>53540</v>
      </c>
      <c r="C318" s="21" t="n">
        <f aca="false">G317</f>
        <v>127408.204361529</v>
      </c>
      <c r="D318" s="24" t="n">
        <f aca="false">C318*E$6</f>
        <v>530.867518173037</v>
      </c>
      <c r="E318" s="25" t="n">
        <f aca="false">E$8-D318</f>
        <v>2153.24059688766</v>
      </c>
      <c r="F318" s="126" t="n">
        <v>0</v>
      </c>
      <c r="G318" s="24" t="n">
        <f aca="false">C318-E318-F318</f>
        <v>125254.963764641</v>
      </c>
      <c r="I318" s="25" t="n">
        <f aca="false">I317+E318</f>
        <v>374745.036235359</v>
      </c>
      <c r="J318" s="24" t="n">
        <f aca="false">J317+D318</f>
        <v>451960.263203335</v>
      </c>
    </row>
    <row r="319" customFormat="false" ht="15" hidden="true" customHeight="false" outlineLevel="1" collapsed="false">
      <c r="B319" s="125" t="n">
        <v>53571</v>
      </c>
      <c r="C319" s="21" t="n">
        <f aca="false">G318</f>
        <v>125254.963764641</v>
      </c>
      <c r="D319" s="24" t="n">
        <f aca="false">C319*E$6</f>
        <v>521.895682352672</v>
      </c>
      <c r="E319" s="25" t="n">
        <f aca="false">E$8-D319</f>
        <v>2162.21243270802</v>
      </c>
      <c r="F319" s="127" t="n">
        <v>0</v>
      </c>
      <c r="G319" s="24" t="n">
        <f aca="false">C319-E319-F319</f>
        <v>123092.751331933</v>
      </c>
      <c r="I319" s="25" t="n">
        <f aca="false">I318+E319</f>
        <v>376907.248668067</v>
      </c>
      <c r="J319" s="24" t="n">
        <f aca="false">J318+D319</f>
        <v>452482.158885688</v>
      </c>
    </row>
    <row r="320" customFormat="false" ht="15" hidden="true" customHeight="false" outlineLevel="1" collapsed="false">
      <c r="B320" s="125" t="n">
        <v>53601</v>
      </c>
      <c r="C320" s="21" t="n">
        <f aca="false">G319</f>
        <v>123092.751331933</v>
      </c>
      <c r="D320" s="24" t="n">
        <f aca="false">C320*E$6</f>
        <v>512.886463883055</v>
      </c>
      <c r="E320" s="25" t="n">
        <f aca="false">E$8-D320</f>
        <v>2171.22165117764</v>
      </c>
      <c r="F320" s="126" t="n">
        <v>0</v>
      </c>
      <c r="G320" s="24" t="n">
        <f aca="false">C320-E320-F320</f>
        <v>120921.529680756</v>
      </c>
      <c r="I320" s="25" t="n">
        <f aca="false">I319+E320</f>
        <v>379078.470319244</v>
      </c>
      <c r="J320" s="24" t="n">
        <f aca="false">J319+D320</f>
        <v>452995.045349571</v>
      </c>
    </row>
    <row r="321" customFormat="false" ht="15" hidden="true" customHeight="false" outlineLevel="1" collapsed="false">
      <c r="B321" s="125" t="n">
        <v>53632</v>
      </c>
      <c r="C321" s="21" t="n">
        <f aca="false">G320</f>
        <v>120921.529680756</v>
      </c>
      <c r="D321" s="24" t="n">
        <f aca="false">C321*E$6</f>
        <v>503.839707003149</v>
      </c>
      <c r="E321" s="25" t="n">
        <f aca="false">E$8-D321</f>
        <v>2180.26840805755</v>
      </c>
      <c r="F321" s="127" t="n">
        <v>0</v>
      </c>
      <c r="G321" s="24" t="n">
        <f aca="false">C321-E321-F321</f>
        <v>118741.261272698</v>
      </c>
      <c r="I321" s="25" t="n">
        <f aca="false">I320+E321</f>
        <v>381258.738727302</v>
      </c>
      <c r="J321" s="24" t="n">
        <f aca="false">J320+D321</f>
        <v>453498.885056574</v>
      </c>
    </row>
    <row r="322" customFormat="false" ht="15" hidden="true" customHeight="false" outlineLevel="1" collapsed="false">
      <c r="B322" s="125" t="n">
        <v>53662</v>
      </c>
      <c r="C322" s="21" t="n">
        <f aca="false">G321</f>
        <v>118741.261272698</v>
      </c>
      <c r="D322" s="24" t="n">
        <f aca="false">C322*E$6</f>
        <v>494.755255302909</v>
      </c>
      <c r="E322" s="25" t="n">
        <f aca="false">E$8-D322</f>
        <v>2189.35285975779</v>
      </c>
      <c r="F322" s="126" t="n">
        <v>0</v>
      </c>
      <c r="G322" s="24" t="n">
        <f aca="false">C322-E322-F322</f>
        <v>116551.90841294</v>
      </c>
      <c r="I322" s="25" t="n">
        <f aca="false">I321+E322</f>
        <v>383448.09158706</v>
      </c>
      <c r="J322" s="24" t="n">
        <f aca="false">J321+D322</f>
        <v>453993.640311877</v>
      </c>
    </row>
    <row r="323" customFormat="false" ht="15" hidden="true" customHeight="false" outlineLevel="1" collapsed="false">
      <c r="B323" s="125" t="n">
        <v>53693</v>
      </c>
      <c r="C323" s="21" t="n">
        <f aca="false">G322</f>
        <v>116551.90841294</v>
      </c>
      <c r="D323" s="24" t="n">
        <f aca="false">C323*E$6</f>
        <v>485.632951720585</v>
      </c>
      <c r="E323" s="25" t="n">
        <f aca="false">E$8-D323</f>
        <v>2198.47516334011</v>
      </c>
      <c r="F323" s="127" t="n">
        <v>0</v>
      </c>
      <c r="G323" s="24" t="n">
        <f aca="false">C323-E323-F323</f>
        <v>114353.4332496</v>
      </c>
      <c r="I323" s="25" t="n">
        <f aca="false">I322+E323</f>
        <v>385646.5667504</v>
      </c>
      <c r="J323" s="24" t="n">
        <f aca="false">J322+D323</f>
        <v>454479.273263598</v>
      </c>
    </row>
    <row r="324" customFormat="false" ht="15" hidden="true" customHeight="false" outlineLevel="1" collapsed="false">
      <c r="B324" s="125" t="n">
        <v>53724</v>
      </c>
      <c r="C324" s="21" t="n">
        <f aca="false">G323</f>
        <v>114353.4332496</v>
      </c>
      <c r="D324" s="24" t="n">
        <f aca="false">C324*E$6</f>
        <v>476.472638540001</v>
      </c>
      <c r="E324" s="25" t="n">
        <f aca="false">E$8-D324</f>
        <v>2207.63547652069</v>
      </c>
      <c r="F324" s="126" t="n">
        <v>0</v>
      </c>
      <c r="G324" s="24" t="n">
        <f aca="false">C324-E324-F324</f>
        <v>112145.79777308</v>
      </c>
      <c r="I324" s="25" t="n">
        <f aca="false">I323+E324</f>
        <v>387854.20222692</v>
      </c>
      <c r="J324" s="24" t="n">
        <f aca="false">J323+D324</f>
        <v>454955.745902138</v>
      </c>
    </row>
    <row r="325" customFormat="false" ht="15" hidden="true" customHeight="false" outlineLevel="1" collapsed="false">
      <c r="B325" s="125" t="n">
        <v>53752</v>
      </c>
      <c r="C325" s="21" t="n">
        <f aca="false">G324</f>
        <v>112145.79777308</v>
      </c>
      <c r="D325" s="24" t="n">
        <f aca="false">C325*E$6</f>
        <v>467.274157387831</v>
      </c>
      <c r="E325" s="25" t="n">
        <f aca="false">E$8-D325</f>
        <v>2216.83395767286</v>
      </c>
      <c r="F325" s="127" t="n">
        <v>0</v>
      </c>
      <c r="G325" s="24" t="n">
        <f aca="false">C325-E325-F325</f>
        <v>109928.963815407</v>
      </c>
      <c r="I325" s="25" t="n">
        <f aca="false">I324+E325</f>
        <v>390071.036184593</v>
      </c>
      <c r="J325" s="24" t="n">
        <f aca="false">J324+D325</f>
        <v>455423.020059525</v>
      </c>
    </row>
    <row r="326" customFormat="false" ht="15" hidden="true" customHeight="false" outlineLevel="1" collapsed="false">
      <c r="B326" s="125" t="n">
        <v>53783</v>
      </c>
      <c r="C326" s="21" t="n">
        <f aca="false">G325</f>
        <v>109928.963815407</v>
      </c>
      <c r="D326" s="24" t="n">
        <f aca="false">C326*E$6</f>
        <v>458.037349230861</v>
      </c>
      <c r="E326" s="25" t="n">
        <f aca="false">E$8-D326</f>
        <v>2226.07076582983</v>
      </c>
      <c r="F326" s="126" t="n">
        <v>0</v>
      </c>
      <c r="G326" s="24" t="n">
        <f aca="false">C326-E326-F326</f>
        <v>107702.893049577</v>
      </c>
      <c r="I326" s="25" t="n">
        <f aca="false">I325+E326</f>
        <v>392297.106950423</v>
      </c>
      <c r="J326" s="24" t="n">
        <f aca="false">J325+D326</f>
        <v>455881.057408756</v>
      </c>
    </row>
    <row r="327" customFormat="false" ht="15" hidden="true" customHeight="false" outlineLevel="1" collapsed="false">
      <c r="B327" s="125" t="n">
        <v>53813</v>
      </c>
      <c r="C327" s="21" t="n">
        <f aca="false">G326</f>
        <v>107702.893049577</v>
      </c>
      <c r="D327" s="24" t="n">
        <f aca="false">C327*E$6</f>
        <v>448.762054373237</v>
      </c>
      <c r="E327" s="25" t="n">
        <f aca="false">E$8-D327</f>
        <v>2235.34606068746</v>
      </c>
      <c r="F327" s="127" t="n">
        <v>0</v>
      </c>
      <c r="G327" s="24" t="n">
        <f aca="false">C327-E327-F327</f>
        <v>105467.546988889</v>
      </c>
      <c r="I327" s="25" t="n">
        <f aca="false">I326+E327</f>
        <v>394532.453011111</v>
      </c>
      <c r="J327" s="24" t="n">
        <f aca="false">J326+D327</f>
        <v>456329.819463129</v>
      </c>
    </row>
    <row r="328" customFormat="false" ht="15" hidden="true" customHeight="false" outlineLevel="1" collapsed="false">
      <c r="B328" s="125" t="n">
        <v>53844</v>
      </c>
      <c r="C328" s="21" t="n">
        <f aca="false">G327</f>
        <v>105467.546988889</v>
      </c>
      <c r="D328" s="24" t="n">
        <f aca="false">C328*E$6</f>
        <v>439.448112453706</v>
      </c>
      <c r="E328" s="25" t="n">
        <f aca="false">E$8-D328</f>
        <v>2244.66000260699</v>
      </c>
      <c r="F328" s="126" t="n">
        <v>0</v>
      </c>
      <c r="G328" s="24" t="n">
        <f aca="false">C328-E328-F328</f>
        <v>103222.886986282</v>
      </c>
      <c r="I328" s="25" t="n">
        <f aca="false">I327+E328</f>
        <v>396777.113013717</v>
      </c>
      <c r="J328" s="24" t="n">
        <f aca="false">J327+D328</f>
        <v>456769.267575583</v>
      </c>
    </row>
    <row r="329" customFormat="false" ht="15" hidden="true" customHeight="false" outlineLevel="1" collapsed="false">
      <c r="B329" s="125" t="n">
        <v>53874</v>
      </c>
      <c r="C329" s="21" t="n">
        <f aca="false">G328</f>
        <v>103222.886986282</v>
      </c>
      <c r="D329" s="24" t="n">
        <f aca="false">C329*E$6</f>
        <v>430.095362442843</v>
      </c>
      <c r="E329" s="25" t="n">
        <f aca="false">E$8-D329</f>
        <v>2254.01275261785</v>
      </c>
      <c r="F329" s="127" t="n">
        <v>0</v>
      </c>
      <c r="G329" s="24" t="n">
        <f aca="false">C329-E329-F329</f>
        <v>100968.874233665</v>
      </c>
      <c r="I329" s="25" t="n">
        <f aca="false">I328+E329</f>
        <v>399031.125766335</v>
      </c>
      <c r="J329" s="24" t="n">
        <f aca="false">J328+D329</f>
        <v>457199.362938026</v>
      </c>
    </row>
    <row r="330" customFormat="false" ht="15" hidden="true" customHeight="false" outlineLevel="1" collapsed="false">
      <c r="B330" s="125" t="n">
        <v>53905</v>
      </c>
      <c r="C330" s="21" t="n">
        <f aca="false">G329</f>
        <v>100968.874233665</v>
      </c>
      <c r="D330" s="24" t="n">
        <f aca="false">C330*E$6</f>
        <v>420.703642640269</v>
      </c>
      <c r="E330" s="25" t="n">
        <f aca="false">E$8-D330</f>
        <v>2263.40447242043</v>
      </c>
      <c r="F330" s="126" t="n">
        <v>0</v>
      </c>
      <c r="G330" s="24" t="n">
        <f aca="false">C330-E330-F330</f>
        <v>98705.4697612441</v>
      </c>
      <c r="I330" s="25" t="n">
        <f aca="false">I329+E330</f>
        <v>401294.530238756</v>
      </c>
      <c r="J330" s="24" t="n">
        <f aca="false">J329+D330</f>
        <v>457620.066580666</v>
      </c>
    </row>
    <row r="331" customFormat="false" ht="15" hidden="true" customHeight="false" outlineLevel="1" collapsed="false">
      <c r="B331" s="125" t="n">
        <v>53936</v>
      </c>
      <c r="C331" s="21" t="n">
        <f aca="false">G330</f>
        <v>98705.4697612441</v>
      </c>
      <c r="D331" s="24" t="n">
        <f aca="false">C331*E$6</f>
        <v>411.27279067185</v>
      </c>
      <c r="E331" s="25" t="n">
        <f aca="false">E$8-D331</f>
        <v>2272.83532438885</v>
      </c>
      <c r="F331" s="127" t="n">
        <v>0</v>
      </c>
      <c r="G331" s="24" t="n">
        <f aca="false">C331-E331-F331</f>
        <v>96432.6344368552</v>
      </c>
      <c r="I331" s="25" t="n">
        <f aca="false">I330+E331</f>
        <v>403567.365563145</v>
      </c>
      <c r="J331" s="24" t="n">
        <f aca="false">J330+D331</f>
        <v>458031.339371338</v>
      </c>
    </row>
    <row r="332" customFormat="false" ht="15" hidden="true" customHeight="false" outlineLevel="1" collapsed="false">
      <c r="B332" s="125" t="n">
        <v>53966</v>
      </c>
      <c r="C332" s="21" t="n">
        <f aca="false">G331</f>
        <v>96432.6344368552</v>
      </c>
      <c r="D332" s="24" t="n">
        <f aca="false">C332*E$6</f>
        <v>401.802643486897</v>
      </c>
      <c r="E332" s="25" t="n">
        <f aca="false">E$8-D332</f>
        <v>2282.3054715738</v>
      </c>
      <c r="F332" s="126" t="n">
        <v>0</v>
      </c>
      <c r="G332" s="24" t="n">
        <f aca="false">C332-E332-F332</f>
        <v>94150.3289652814</v>
      </c>
      <c r="I332" s="25" t="n">
        <f aca="false">I331+E332</f>
        <v>405849.671034718</v>
      </c>
      <c r="J332" s="24" t="n">
        <f aca="false">J331+D332</f>
        <v>458433.142014825</v>
      </c>
    </row>
    <row r="333" customFormat="false" ht="15" hidden="true" customHeight="false" outlineLevel="1" collapsed="false">
      <c r="B333" s="125" t="n">
        <v>53997</v>
      </c>
      <c r="C333" s="21" t="n">
        <f aca="false">G332</f>
        <v>94150.3289652814</v>
      </c>
      <c r="D333" s="24" t="n">
        <f aca="false">C333*E$6</f>
        <v>392.293037355339</v>
      </c>
      <c r="E333" s="25" t="n">
        <f aca="false">E$8-D333</f>
        <v>2291.81507770536</v>
      </c>
      <c r="F333" s="127" t="n">
        <v>0</v>
      </c>
      <c r="G333" s="24" t="n">
        <f aca="false">C333-E333-F333</f>
        <v>91858.5138875761</v>
      </c>
      <c r="I333" s="25" t="n">
        <f aca="false">I332+E333</f>
        <v>408141.486112424</v>
      </c>
      <c r="J333" s="24" t="n">
        <f aca="false">J332+D333</f>
        <v>458825.43505218</v>
      </c>
    </row>
    <row r="334" customFormat="false" ht="15" hidden="true" customHeight="false" outlineLevel="1" collapsed="false">
      <c r="B334" s="125" t="n">
        <v>54027</v>
      </c>
      <c r="C334" s="21" t="n">
        <f aca="false">G333</f>
        <v>91858.5138875761</v>
      </c>
      <c r="D334" s="24" t="n">
        <f aca="false">C334*E$6</f>
        <v>382.7438078649</v>
      </c>
      <c r="E334" s="25" t="n">
        <f aca="false">E$8-D334</f>
        <v>2301.3643071958</v>
      </c>
      <c r="F334" s="126" t="n">
        <v>0</v>
      </c>
      <c r="G334" s="24" t="n">
        <f aca="false">C334-E334-F334</f>
        <v>89557.1495803803</v>
      </c>
      <c r="I334" s="25" t="n">
        <f aca="false">I333+E334</f>
        <v>410442.85041962</v>
      </c>
      <c r="J334" s="24" t="n">
        <f aca="false">J333+D334</f>
        <v>459208.178860045</v>
      </c>
    </row>
    <row r="335" customFormat="false" ht="15" hidden="true" customHeight="false" outlineLevel="1" collapsed="false">
      <c r="B335" s="125" t="n">
        <v>54058</v>
      </c>
      <c r="C335" s="21" t="n">
        <f aca="false">G334</f>
        <v>89557.1495803803</v>
      </c>
      <c r="D335" s="24" t="n">
        <f aca="false">C335*E$6</f>
        <v>373.154789918251</v>
      </c>
      <c r="E335" s="25" t="n">
        <f aca="false">E$8-D335</f>
        <v>2310.95332514244</v>
      </c>
      <c r="F335" s="127" t="n">
        <v>0</v>
      </c>
      <c r="G335" s="24" t="n">
        <f aca="false">C335-E335-F335</f>
        <v>87246.1962552378</v>
      </c>
      <c r="I335" s="25" t="n">
        <f aca="false">I334+E335</f>
        <v>412753.803744762</v>
      </c>
      <c r="J335" s="24" t="n">
        <f aca="false">J334+D335</f>
        <v>459581.333649964</v>
      </c>
    </row>
    <row r="336" customFormat="false" ht="15" hidden="true" customHeight="false" outlineLevel="1" collapsed="false">
      <c r="B336" s="125" t="n">
        <v>54089</v>
      </c>
      <c r="C336" s="21" t="n">
        <f aca="false">G335</f>
        <v>87246.1962552378</v>
      </c>
      <c r="D336" s="24" t="n">
        <f aca="false">C336*E$6</f>
        <v>363.525817730158</v>
      </c>
      <c r="E336" s="25" t="n">
        <f aca="false">E$8-D336</f>
        <v>2320.58229733054</v>
      </c>
      <c r="F336" s="126" t="n">
        <v>0</v>
      </c>
      <c r="G336" s="24" t="n">
        <f aca="false">C336-E336-F336</f>
        <v>84925.6139579073</v>
      </c>
      <c r="I336" s="25" t="n">
        <f aca="false">I335+E336</f>
        <v>415074.386042093</v>
      </c>
      <c r="J336" s="24" t="n">
        <f aca="false">J335+D336</f>
        <v>459944.859467694</v>
      </c>
    </row>
    <row r="337" customFormat="false" ht="15" hidden="true" customHeight="false" outlineLevel="1" collapsed="false">
      <c r="B337" s="125" t="n">
        <v>54118</v>
      </c>
      <c r="C337" s="21" t="n">
        <f aca="false">G336</f>
        <v>84925.6139579073</v>
      </c>
      <c r="D337" s="24" t="n">
        <f aca="false">C337*E$6</f>
        <v>353.856724824614</v>
      </c>
      <c r="E337" s="25" t="n">
        <f aca="false">E$8-D337</f>
        <v>2330.25139023608</v>
      </c>
      <c r="F337" s="127" t="n">
        <v>0</v>
      </c>
      <c r="G337" s="24" t="n">
        <f aca="false">C337-E337-F337</f>
        <v>82595.3625676712</v>
      </c>
      <c r="I337" s="25" t="n">
        <f aca="false">I336+E337</f>
        <v>417404.637432329</v>
      </c>
      <c r="J337" s="24" t="n">
        <f aca="false">J336+D337</f>
        <v>460298.716192518</v>
      </c>
    </row>
    <row r="338" customFormat="false" ht="15" hidden="true" customHeight="false" outlineLevel="1" collapsed="false">
      <c r="B338" s="125" t="n">
        <v>54149</v>
      </c>
      <c r="C338" s="21" t="n">
        <f aca="false">G337</f>
        <v>82595.3625676712</v>
      </c>
      <c r="D338" s="24" t="n">
        <f aca="false">C338*E$6</f>
        <v>344.147344031963</v>
      </c>
      <c r="E338" s="25" t="n">
        <f aca="false">E$8-D338</f>
        <v>2339.96077102873</v>
      </c>
      <c r="F338" s="126" t="n">
        <v>0</v>
      </c>
      <c r="G338" s="24" t="n">
        <f aca="false">C338-E338-F338</f>
        <v>80255.4017966425</v>
      </c>
      <c r="I338" s="25" t="n">
        <f aca="false">I337+E338</f>
        <v>419744.598203357</v>
      </c>
      <c r="J338" s="24" t="n">
        <f aca="false">J337+D338</f>
        <v>460642.86353655</v>
      </c>
    </row>
    <row r="339" customFormat="false" ht="15" hidden="true" customHeight="false" outlineLevel="1" collapsed="false">
      <c r="B339" s="125" t="n">
        <v>54179</v>
      </c>
      <c r="C339" s="21" t="n">
        <f aca="false">G338</f>
        <v>80255.4017966425</v>
      </c>
      <c r="D339" s="24" t="n">
        <f aca="false">C339*E$6</f>
        <v>334.39750748601</v>
      </c>
      <c r="E339" s="25" t="n">
        <f aca="false">E$8-D339</f>
        <v>2349.71060757468</v>
      </c>
      <c r="F339" s="127" t="n">
        <v>0</v>
      </c>
      <c r="G339" s="24" t="n">
        <f aca="false">C339-E339-F339</f>
        <v>77905.6911890678</v>
      </c>
      <c r="I339" s="25" t="n">
        <f aca="false">I338+E339</f>
        <v>422094.308810932</v>
      </c>
      <c r="J339" s="24" t="n">
        <f aca="false">J338+D339</f>
        <v>460977.261044036</v>
      </c>
    </row>
    <row r="340" customFormat="false" ht="15" hidden="true" customHeight="false" outlineLevel="1" collapsed="false">
      <c r="B340" s="125" t="n">
        <v>54210</v>
      </c>
      <c r="C340" s="21" t="n">
        <f aca="false">G339</f>
        <v>77905.6911890678</v>
      </c>
      <c r="D340" s="24" t="n">
        <f aca="false">C340*E$6</f>
        <v>324.607046621116</v>
      </c>
      <c r="E340" s="25" t="n">
        <f aca="false">E$8-D340</f>
        <v>2359.50106843958</v>
      </c>
      <c r="F340" s="126" t="n">
        <v>0</v>
      </c>
      <c r="G340" s="24" t="n">
        <f aca="false">C340-E340-F340</f>
        <v>75546.1901206282</v>
      </c>
      <c r="I340" s="25" t="n">
        <f aca="false">I339+E340</f>
        <v>424453.809879372</v>
      </c>
      <c r="J340" s="24" t="n">
        <f aca="false">J339+D340</f>
        <v>461301.868090657</v>
      </c>
    </row>
    <row r="341" customFormat="false" ht="15" hidden="true" customHeight="false" outlineLevel="1" collapsed="false">
      <c r="B341" s="125" t="n">
        <v>54240</v>
      </c>
      <c r="C341" s="21" t="n">
        <f aca="false">G340</f>
        <v>75546.1901206282</v>
      </c>
      <c r="D341" s="24" t="n">
        <f aca="false">C341*E$6</f>
        <v>314.775792169284</v>
      </c>
      <c r="E341" s="25" t="n">
        <f aca="false">E$8-D341</f>
        <v>2369.33232289141</v>
      </c>
      <c r="F341" s="127" t="n">
        <v>0</v>
      </c>
      <c r="G341" s="24" t="n">
        <f aca="false">C341-E341-F341</f>
        <v>73176.8577977368</v>
      </c>
      <c r="I341" s="25" t="n">
        <f aca="false">I340+E341</f>
        <v>426823.142202263</v>
      </c>
      <c r="J341" s="24" t="n">
        <f aca="false">J340+D341</f>
        <v>461616.643882827</v>
      </c>
    </row>
    <row r="342" customFormat="false" ht="15" hidden="true" customHeight="false" outlineLevel="1" collapsed="false">
      <c r="B342" s="125" t="n">
        <v>54271</v>
      </c>
      <c r="C342" s="21" t="n">
        <f aca="false">G341</f>
        <v>73176.8577977368</v>
      </c>
      <c r="D342" s="24" t="n">
        <f aca="false">C342*E$6</f>
        <v>304.903574157237</v>
      </c>
      <c r="E342" s="25" t="n">
        <f aca="false">E$8-D342</f>
        <v>2379.20454090346</v>
      </c>
      <c r="F342" s="126" t="n">
        <v>0</v>
      </c>
      <c r="G342" s="24" t="n">
        <f aca="false">C342-E342-F342</f>
        <v>70797.6532568334</v>
      </c>
      <c r="I342" s="25" t="n">
        <f aca="false">I341+E342</f>
        <v>429202.346743166</v>
      </c>
      <c r="J342" s="24" t="n">
        <f aca="false">J341+D342</f>
        <v>461921.547456984</v>
      </c>
    </row>
    <row r="343" customFormat="false" ht="15" hidden="true" customHeight="false" outlineLevel="1" collapsed="false">
      <c r="B343" s="125" t="n">
        <v>54302</v>
      </c>
      <c r="C343" s="21" t="n">
        <f aca="false">G342</f>
        <v>70797.6532568334</v>
      </c>
      <c r="D343" s="24" t="n">
        <f aca="false">C343*E$6</f>
        <v>294.990221903472</v>
      </c>
      <c r="E343" s="25" t="n">
        <f aca="false">E$8-D343</f>
        <v>2389.11789315722</v>
      </c>
      <c r="F343" s="127" t="n">
        <v>0</v>
      </c>
      <c r="G343" s="24" t="n">
        <f aca="false">C343-E343-F343</f>
        <v>68408.5353636761</v>
      </c>
      <c r="I343" s="25" t="n">
        <f aca="false">I342+E343</f>
        <v>431591.464636324</v>
      </c>
      <c r="J343" s="24" t="n">
        <f aca="false">J342+D343</f>
        <v>462216.537678887</v>
      </c>
    </row>
    <row r="344" customFormat="false" ht="15" hidden="true" customHeight="false" outlineLevel="1" collapsed="false">
      <c r="B344" s="125" t="n">
        <v>54332</v>
      </c>
      <c r="C344" s="21" t="n">
        <f aca="false">G343</f>
        <v>68408.5353636761</v>
      </c>
      <c r="D344" s="24" t="n">
        <f aca="false">C344*E$6</f>
        <v>285.035564015317</v>
      </c>
      <c r="E344" s="25" t="n">
        <f aca="false">E$8-D344</f>
        <v>2399.07255104538</v>
      </c>
      <c r="F344" s="126" t="n">
        <v>0</v>
      </c>
      <c r="G344" s="24" t="n">
        <f aca="false">C344-E344-F344</f>
        <v>66009.4628126308</v>
      </c>
      <c r="I344" s="25" t="n">
        <f aca="false">I343+E344</f>
        <v>433990.537187369</v>
      </c>
      <c r="J344" s="24" t="n">
        <f aca="false">J343+D344</f>
        <v>462501.573242903</v>
      </c>
    </row>
    <row r="345" customFormat="false" ht="15" hidden="true" customHeight="false" outlineLevel="1" collapsed="false">
      <c r="B345" s="125" t="n">
        <v>54363</v>
      </c>
      <c r="C345" s="21" t="n">
        <f aca="false">G344</f>
        <v>66009.4628126308</v>
      </c>
      <c r="D345" s="24" t="n">
        <f aca="false">C345*E$6</f>
        <v>275.039428385961</v>
      </c>
      <c r="E345" s="25" t="n">
        <f aca="false">E$8-D345</f>
        <v>2409.06868667473</v>
      </c>
      <c r="F345" s="127" t="n">
        <v>0</v>
      </c>
      <c r="G345" s="24" t="n">
        <f aca="false">C345-E345-F345</f>
        <v>63600.394125956</v>
      </c>
      <c r="I345" s="25" t="n">
        <f aca="false">I344+E345</f>
        <v>436399.605874044</v>
      </c>
      <c r="J345" s="24" t="n">
        <f aca="false">J344+D345</f>
        <v>462776.612671289</v>
      </c>
    </row>
    <row r="346" customFormat="false" ht="15" hidden="true" customHeight="false" outlineLevel="1" collapsed="false">
      <c r="B346" s="125" t="n">
        <v>54393</v>
      </c>
      <c r="C346" s="21" t="n">
        <f aca="false">G345</f>
        <v>63600.394125956</v>
      </c>
      <c r="D346" s="24" t="n">
        <f aca="false">C346*E$6</f>
        <v>265.001642191483</v>
      </c>
      <c r="E346" s="25" t="n">
        <f aca="false">E$8-D346</f>
        <v>2419.10647286921</v>
      </c>
      <c r="F346" s="126" t="n">
        <v>0</v>
      </c>
      <c r="G346" s="24" t="n">
        <f aca="false">C346-E346-F346</f>
        <v>61181.2876530868</v>
      </c>
      <c r="I346" s="25" t="n">
        <f aca="false">I345+E346</f>
        <v>438818.712346913</v>
      </c>
      <c r="J346" s="24" t="n">
        <f aca="false">J345+D346</f>
        <v>463041.61431348</v>
      </c>
    </row>
    <row r="347" customFormat="false" ht="15" hidden="true" customHeight="false" outlineLevel="1" collapsed="false">
      <c r="B347" s="125" t="n">
        <v>54424</v>
      </c>
      <c r="C347" s="21" t="n">
        <f aca="false">G346</f>
        <v>61181.2876530868</v>
      </c>
      <c r="D347" s="24" t="n">
        <f aca="false">C347*E$6</f>
        <v>254.922031887862</v>
      </c>
      <c r="E347" s="25" t="n">
        <f aca="false">E$8-D347</f>
        <v>2429.18608317283</v>
      </c>
      <c r="F347" s="127" t="n">
        <v>0</v>
      </c>
      <c r="G347" s="24" t="n">
        <f aca="false">C347-E347-F347</f>
        <v>58752.101569914</v>
      </c>
      <c r="I347" s="25" t="n">
        <f aca="false">I346+E347</f>
        <v>441247.898430086</v>
      </c>
      <c r="J347" s="24" t="n">
        <f aca="false">J346+D347</f>
        <v>463296.536345368</v>
      </c>
    </row>
    <row r="348" customFormat="false" ht="15" hidden="true" customHeight="false" outlineLevel="1" collapsed="false">
      <c r="B348" s="125" t="n">
        <v>54455</v>
      </c>
      <c r="C348" s="21" t="n">
        <f aca="false">G347</f>
        <v>58752.101569914</v>
      </c>
      <c r="D348" s="24" t="n">
        <f aca="false">C348*E$6</f>
        <v>244.800423207975</v>
      </c>
      <c r="E348" s="25" t="n">
        <f aca="false">E$8-D348</f>
        <v>2439.30769185272</v>
      </c>
      <c r="F348" s="126" t="n">
        <v>0</v>
      </c>
      <c r="G348" s="24" t="n">
        <f aca="false">C348-E348-F348</f>
        <v>56312.7938780612</v>
      </c>
      <c r="I348" s="25" t="n">
        <f aca="false">I347+E348</f>
        <v>443687.206121939</v>
      </c>
      <c r="J348" s="24" t="n">
        <f aca="false">J347+D348</f>
        <v>463541.336768576</v>
      </c>
    </row>
    <row r="349" customFormat="false" ht="15" hidden="true" customHeight="false" outlineLevel="1" collapsed="false">
      <c r="B349" s="125" t="n">
        <v>54483</v>
      </c>
      <c r="C349" s="21" t="n">
        <f aca="false">G348</f>
        <v>56312.7938780612</v>
      </c>
      <c r="D349" s="24" t="n">
        <f aca="false">C349*E$6</f>
        <v>234.636641158589</v>
      </c>
      <c r="E349" s="25" t="n">
        <f aca="false">E$8-D349</f>
        <v>2449.47147390211</v>
      </c>
      <c r="F349" s="127" t="n">
        <v>0</v>
      </c>
      <c r="G349" s="24" t="n">
        <f aca="false">C349-E349-F349</f>
        <v>53863.3224041591</v>
      </c>
      <c r="I349" s="25" t="n">
        <f aca="false">I348+E349</f>
        <v>446136.677595841</v>
      </c>
      <c r="J349" s="24" t="n">
        <f aca="false">J348+D349</f>
        <v>463775.973409735</v>
      </c>
    </row>
    <row r="350" customFormat="false" ht="15" hidden="true" customHeight="false" outlineLevel="1" collapsed="false">
      <c r="B350" s="125" t="n">
        <v>54514</v>
      </c>
      <c r="C350" s="21" t="n">
        <f aca="false">G349</f>
        <v>53863.3224041591</v>
      </c>
      <c r="D350" s="24" t="n">
        <f aca="false">C350*E$6</f>
        <v>224.43051001733</v>
      </c>
      <c r="E350" s="25" t="n">
        <f aca="false">E$8-D350</f>
        <v>2459.67760504337</v>
      </c>
      <c r="F350" s="126" t="n">
        <v>0</v>
      </c>
      <c r="G350" s="24" t="n">
        <f aca="false">C350-E350-F350</f>
        <v>51403.6447991158</v>
      </c>
      <c r="I350" s="25" t="n">
        <f aca="false">I349+E350</f>
        <v>448596.355200884</v>
      </c>
      <c r="J350" s="24" t="n">
        <f aca="false">J349+D350</f>
        <v>464000.403919752</v>
      </c>
    </row>
    <row r="351" customFormat="false" ht="15" hidden="true" customHeight="false" outlineLevel="1" collapsed="false">
      <c r="B351" s="125" t="n">
        <v>54544</v>
      </c>
      <c r="C351" s="21" t="n">
        <f aca="false">G350</f>
        <v>51403.6447991158</v>
      </c>
      <c r="D351" s="24" t="n">
        <f aca="false">C351*E$6</f>
        <v>214.181853329649</v>
      </c>
      <c r="E351" s="25" t="n">
        <f aca="false">E$8-D351</f>
        <v>2469.92626173105</v>
      </c>
      <c r="F351" s="127" t="n">
        <v>0</v>
      </c>
      <c r="G351" s="24" t="n">
        <f aca="false">C351-E351-F351</f>
        <v>48933.7185373847</v>
      </c>
      <c r="I351" s="25" t="n">
        <f aca="false">I350+E351</f>
        <v>451066.281462615</v>
      </c>
      <c r="J351" s="24" t="n">
        <f aca="false">J350+D351</f>
        <v>464214.585773082</v>
      </c>
    </row>
    <row r="352" customFormat="false" ht="15" hidden="true" customHeight="false" outlineLevel="1" collapsed="false">
      <c r="B352" s="125" t="n">
        <v>54575</v>
      </c>
      <c r="C352" s="21" t="n">
        <f aca="false">G351</f>
        <v>48933.7185373847</v>
      </c>
      <c r="D352" s="24" t="n">
        <f aca="false">C352*E$6</f>
        <v>203.89049390577</v>
      </c>
      <c r="E352" s="25" t="n">
        <f aca="false">E$8-D352</f>
        <v>2480.21762115493</v>
      </c>
      <c r="F352" s="126" t="n">
        <v>0</v>
      </c>
      <c r="G352" s="24" t="n">
        <f aca="false">C352-E352-F352</f>
        <v>46453.5009162298</v>
      </c>
      <c r="I352" s="25" t="n">
        <f aca="false">I351+E352</f>
        <v>453546.49908377</v>
      </c>
      <c r="J352" s="24" t="n">
        <f aca="false">J351+D352</f>
        <v>464418.476266987</v>
      </c>
    </row>
    <row r="353" customFormat="false" ht="15" hidden="true" customHeight="false" outlineLevel="1" collapsed="false">
      <c r="B353" s="125" t="n">
        <v>54605</v>
      </c>
      <c r="C353" s="21" t="n">
        <f aca="false">G352</f>
        <v>46453.5009162298</v>
      </c>
      <c r="D353" s="24" t="n">
        <f aca="false">C353*E$6</f>
        <v>193.556253817624</v>
      </c>
      <c r="E353" s="25" t="n">
        <f aca="false">E$8-D353</f>
        <v>2490.55186124307</v>
      </c>
      <c r="F353" s="127" t="n">
        <v>0</v>
      </c>
      <c r="G353" s="24" t="n">
        <f aca="false">C353-E353-F353</f>
        <v>43962.9490549867</v>
      </c>
      <c r="I353" s="25" t="n">
        <f aca="false">I352+E353</f>
        <v>456037.050945013</v>
      </c>
      <c r="J353" s="24" t="n">
        <f aca="false">J352+D353</f>
        <v>464612.032520805</v>
      </c>
    </row>
    <row r="354" customFormat="false" ht="15" hidden="true" customHeight="false" outlineLevel="1" collapsed="false">
      <c r="B354" s="125" t="n">
        <v>54636</v>
      </c>
      <c r="C354" s="21" t="n">
        <f aca="false">G353</f>
        <v>43962.9490549867</v>
      </c>
      <c r="D354" s="24" t="n">
        <f aca="false">C354*E$6</f>
        <v>183.178954395778</v>
      </c>
      <c r="E354" s="25" t="n">
        <f aca="false">E$8-D354</f>
        <v>2500.92916066492</v>
      </c>
      <c r="F354" s="126" t="n">
        <v>0</v>
      </c>
      <c r="G354" s="24" t="n">
        <f aca="false">C354-E354-F354</f>
        <v>41462.0198943218</v>
      </c>
      <c r="I354" s="25" t="n">
        <f aca="false">I353+E354</f>
        <v>458537.980105678</v>
      </c>
      <c r="J354" s="24" t="n">
        <f aca="false">J353+D354</f>
        <v>464795.211475201</v>
      </c>
    </row>
    <row r="355" customFormat="false" ht="15" hidden="true" customHeight="false" outlineLevel="1" collapsed="false">
      <c r="B355" s="125" t="n">
        <v>54667</v>
      </c>
      <c r="C355" s="21" t="n">
        <f aca="false">G354</f>
        <v>41462.0198943218</v>
      </c>
      <c r="D355" s="24" t="n">
        <f aca="false">C355*E$6</f>
        <v>172.758416226341</v>
      </c>
      <c r="E355" s="25" t="n">
        <f aca="false">E$8-D355</f>
        <v>2511.34969883435</v>
      </c>
      <c r="F355" s="127" t="n">
        <v>0</v>
      </c>
      <c r="G355" s="24" t="n">
        <f aca="false">C355-E355-F355</f>
        <v>38950.6701954875</v>
      </c>
      <c r="I355" s="25" t="n">
        <f aca="false">I354+E355</f>
        <v>461049.329804512</v>
      </c>
      <c r="J355" s="24" t="n">
        <f aca="false">J354+D355</f>
        <v>464967.969891427</v>
      </c>
    </row>
    <row r="356" customFormat="false" ht="15" hidden="true" customHeight="false" outlineLevel="1" collapsed="false">
      <c r="B356" s="125" t="n">
        <v>54697</v>
      </c>
      <c r="C356" s="21" t="n">
        <f aca="false">G355</f>
        <v>38950.6701954875</v>
      </c>
      <c r="D356" s="24" t="n">
        <f aca="false">C356*E$6</f>
        <v>162.294459147864</v>
      </c>
      <c r="E356" s="25" t="n">
        <f aca="false">E$8-D356</f>
        <v>2521.81365591283</v>
      </c>
      <c r="F356" s="126" t="n">
        <v>0</v>
      </c>
      <c r="G356" s="24" t="n">
        <f aca="false">C356-E356-F356</f>
        <v>36428.8565395746</v>
      </c>
      <c r="I356" s="25" t="n">
        <f aca="false">I355+E356</f>
        <v>463571.143460425</v>
      </c>
      <c r="J356" s="24" t="n">
        <f aca="false">J355+D356</f>
        <v>465130.264350575</v>
      </c>
    </row>
    <row r="357" customFormat="false" ht="15" hidden="true" customHeight="false" outlineLevel="1" collapsed="false">
      <c r="B357" s="125" t="n">
        <v>54728</v>
      </c>
      <c r="C357" s="21" t="n">
        <f aca="false">G356</f>
        <v>36428.8565395746</v>
      </c>
      <c r="D357" s="24" t="n">
        <f aca="false">C357*E$6</f>
        <v>151.786902248228</v>
      </c>
      <c r="E357" s="25" t="n">
        <f aca="false">E$8-D357</f>
        <v>2532.32121281247</v>
      </c>
      <c r="F357" s="127" t="n">
        <v>0</v>
      </c>
      <c r="G357" s="24" t="n">
        <f aca="false">C357-E357-F357</f>
        <v>33896.5353267622</v>
      </c>
      <c r="I357" s="25" t="n">
        <f aca="false">I356+E357</f>
        <v>466103.464673238</v>
      </c>
      <c r="J357" s="24" t="n">
        <f aca="false">J356+D357</f>
        <v>465282.051252823</v>
      </c>
    </row>
    <row r="358" customFormat="false" ht="15" hidden="true" customHeight="false" outlineLevel="1" collapsed="false">
      <c r="B358" s="125" t="n">
        <v>54758</v>
      </c>
      <c r="C358" s="21" t="n">
        <f aca="false">G357</f>
        <v>33896.5353267622</v>
      </c>
      <c r="D358" s="24" t="n">
        <f aca="false">C358*E$6</f>
        <v>141.235563861509</v>
      </c>
      <c r="E358" s="25" t="n">
        <f aca="false">E$8-D358</f>
        <v>2542.87255119919</v>
      </c>
      <c r="F358" s="126" t="n">
        <v>0</v>
      </c>
      <c r="G358" s="24" t="n">
        <f aca="false">C358-E358-F358</f>
        <v>31353.662775563</v>
      </c>
      <c r="I358" s="25" t="n">
        <f aca="false">I357+E358</f>
        <v>468646.337224437</v>
      </c>
      <c r="J358" s="24" t="n">
        <f aca="false">J357+D358</f>
        <v>465423.286816685</v>
      </c>
    </row>
    <row r="359" customFormat="false" ht="15" hidden="true" customHeight="false" outlineLevel="1" collapsed="false">
      <c r="B359" s="125" t="n">
        <v>54789</v>
      </c>
      <c r="C359" s="21" t="n">
        <f aca="false">G358</f>
        <v>31353.662775563</v>
      </c>
      <c r="D359" s="24" t="n">
        <f aca="false">C359*E$6</f>
        <v>130.640261564846</v>
      </c>
      <c r="E359" s="25" t="n">
        <f aca="false">E$8-D359</f>
        <v>2553.46785349585</v>
      </c>
      <c r="F359" s="127" t="n">
        <v>0</v>
      </c>
      <c r="G359" s="24" t="n">
        <f aca="false">C359-E359-F359</f>
        <v>28800.1949220671</v>
      </c>
      <c r="I359" s="25" t="n">
        <f aca="false">I358+E359</f>
        <v>471199.805077933</v>
      </c>
      <c r="J359" s="24" t="n">
        <f aca="false">J358+D359</f>
        <v>465553.927078249</v>
      </c>
    </row>
    <row r="360" customFormat="false" ht="15" hidden="true" customHeight="false" outlineLevel="1" collapsed="false">
      <c r="B360" s="125" t="n">
        <v>54820</v>
      </c>
      <c r="C360" s="21" t="n">
        <f aca="false">G359</f>
        <v>28800.1949220671</v>
      </c>
      <c r="D360" s="24" t="n">
        <f aca="false">C360*E$6</f>
        <v>120.00081217528</v>
      </c>
      <c r="E360" s="25" t="n">
        <f aca="false">E$8-D360</f>
        <v>2564.10730288542</v>
      </c>
      <c r="F360" s="126" t="n">
        <v>0</v>
      </c>
      <c r="G360" s="24" t="n">
        <f aca="false">C360-E360-F360</f>
        <v>26236.0876191817</v>
      </c>
      <c r="I360" s="25" t="n">
        <f aca="false">I359+E360</f>
        <v>473763.912380818</v>
      </c>
      <c r="J360" s="24" t="n">
        <f aca="false">J359+D360</f>
        <v>465673.927890425</v>
      </c>
    </row>
    <row r="361" customFormat="false" ht="15" hidden="true" customHeight="false" outlineLevel="1" collapsed="false">
      <c r="B361" s="125" t="n">
        <v>54848</v>
      </c>
      <c r="C361" s="21" t="n">
        <f aca="false">G360</f>
        <v>26236.0876191817</v>
      </c>
      <c r="D361" s="24" t="n">
        <f aca="false">C361*E$6</f>
        <v>109.31703174659</v>
      </c>
      <c r="E361" s="25" t="n">
        <f aca="false">E$8-D361</f>
        <v>2574.7910833141</v>
      </c>
      <c r="F361" s="127" t="n">
        <v>0</v>
      </c>
      <c r="G361" s="24" t="n">
        <f aca="false">C361-E361-F361</f>
        <v>23661.2965358676</v>
      </c>
      <c r="I361" s="25" t="n">
        <f aca="false">I360+E361</f>
        <v>476338.703464132</v>
      </c>
      <c r="J361" s="24" t="n">
        <f aca="false">J360+D361</f>
        <v>465783.244922171</v>
      </c>
    </row>
    <row r="362" customFormat="false" ht="15" hidden="true" customHeight="false" outlineLevel="1" collapsed="false">
      <c r="B362" s="125" t="n">
        <v>54879</v>
      </c>
      <c r="C362" s="21" t="n">
        <f aca="false">G361</f>
        <v>23661.2965358676</v>
      </c>
      <c r="D362" s="24" t="n">
        <f aca="false">C362*E$6</f>
        <v>98.5887355661151</v>
      </c>
      <c r="E362" s="25" t="n">
        <f aca="false">E$8-D362</f>
        <v>2585.51937949458</v>
      </c>
      <c r="F362" s="126" t="n">
        <v>0</v>
      </c>
      <c r="G362" s="24" t="n">
        <f aca="false">C362-E362-F362</f>
        <v>21075.777156373</v>
      </c>
      <c r="I362" s="25" t="n">
        <f aca="false">I361+E362</f>
        <v>478924.222843627</v>
      </c>
      <c r="J362" s="24" t="n">
        <f aca="false">J361+D362</f>
        <v>465881.833657738</v>
      </c>
    </row>
    <row r="363" customFormat="false" ht="15" hidden="true" customHeight="false" outlineLevel="1" collapsed="false">
      <c r="B363" s="125" t="n">
        <v>54909</v>
      </c>
      <c r="C363" s="21" t="n">
        <f aca="false">G362</f>
        <v>21075.777156373</v>
      </c>
      <c r="D363" s="24" t="n">
        <f aca="false">C363*E$6</f>
        <v>87.8157381515543</v>
      </c>
      <c r="E363" s="25" t="n">
        <f aca="false">E$8-D363</f>
        <v>2596.29237690914</v>
      </c>
      <c r="F363" s="127" t="n">
        <v>0</v>
      </c>
      <c r="G363" s="24" t="n">
        <f aca="false">C363-E363-F363</f>
        <v>18479.4847794639</v>
      </c>
      <c r="I363" s="25" t="n">
        <f aca="false">I362+E363</f>
        <v>481520.515220536</v>
      </c>
      <c r="J363" s="24" t="n">
        <f aca="false">J362+D363</f>
        <v>465969.649395889</v>
      </c>
    </row>
    <row r="364" customFormat="false" ht="15" hidden="true" customHeight="false" outlineLevel="1" collapsed="false">
      <c r="B364" s="125" t="n">
        <v>54940</v>
      </c>
      <c r="C364" s="21" t="n">
        <f aca="false">G363</f>
        <v>18479.4847794639</v>
      </c>
      <c r="D364" s="24" t="n">
        <f aca="false">C364*E$6</f>
        <v>76.9978532477662</v>
      </c>
      <c r="E364" s="25" t="n">
        <f aca="false">E$8-D364</f>
        <v>2607.11026181293</v>
      </c>
      <c r="F364" s="126" t="n">
        <v>0</v>
      </c>
      <c r="G364" s="24" t="n">
        <f aca="false">C364-E364-F364</f>
        <v>15872.374517651</v>
      </c>
      <c r="I364" s="25" t="n">
        <f aca="false">I363+E364</f>
        <v>484127.625482349</v>
      </c>
      <c r="J364" s="24" t="n">
        <f aca="false">J363+D364</f>
        <v>466046.647249137</v>
      </c>
    </row>
    <row r="365" customFormat="false" ht="15" hidden="true" customHeight="false" outlineLevel="1" collapsed="false">
      <c r="B365" s="125" t="n">
        <v>54970</v>
      </c>
      <c r="C365" s="21" t="n">
        <f aca="false">G364</f>
        <v>15872.374517651</v>
      </c>
      <c r="D365" s="24" t="n">
        <f aca="false">C365*E$6</f>
        <v>66.1348938235457</v>
      </c>
      <c r="E365" s="25" t="n">
        <f aca="false">E$8-D365</f>
        <v>2617.97322123715</v>
      </c>
      <c r="F365" s="127" t="n">
        <v>0</v>
      </c>
      <c r="G365" s="24" t="n">
        <f aca="false">C365-E365-F365</f>
        <v>13254.4012964138</v>
      </c>
      <c r="I365" s="25" t="n">
        <f aca="false">I364+E365</f>
        <v>486745.598703586</v>
      </c>
      <c r="J365" s="24" t="n">
        <f aca="false">J364+D365</f>
        <v>466112.78214296</v>
      </c>
    </row>
    <row r="366" customFormat="false" ht="15" hidden="true" customHeight="false" outlineLevel="1" collapsed="false">
      <c r="B366" s="125" t="n">
        <v>55001</v>
      </c>
      <c r="C366" s="21" t="n">
        <f aca="false">G365</f>
        <v>13254.4012964138</v>
      </c>
      <c r="D366" s="24" t="n">
        <f aca="false">C366*E$6</f>
        <v>55.2266720683909</v>
      </c>
      <c r="E366" s="25" t="n">
        <f aca="false">E$8-D366</f>
        <v>2628.8814429923</v>
      </c>
      <c r="F366" s="126" t="n">
        <v>0</v>
      </c>
      <c r="G366" s="24" t="n">
        <f aca="false">C366-E366-F366</f>
        <v>10625.5198534215</v>
      </c>
      <c r="I366" s="25" t="n">
        <f aca="false">I365+E366</f>
        <v>489374.480146578</v>
      </c>
      <c r="J366" s="24" t="n">
        <f aca="false">J365+D366</f>
        <v>466168.008815029</v>
      </c>
    </row>
    <row r="367" customFormat="false" ht="15" hidden="true" customHeight="false" outlineLevel="1" collapsed="false">
      <c r="B367" s="125" t="n">
        <v>55032</v>
      </c>
      <c r="C367" s="21" t="n">
        <f aca="false">G366</f>
        <v>10625.5198534215</v>
      </c>
      <c r="D367" s="24" t="n">
        <f aca="false">C367*E$6</f>
        <v>44.2729993892563</v>
      </c>
      <c r="E367" s="25" t="n">
        <f aca="false">E$8-D367</f>
        <v>2639.83511567144</v>
      </c>
      <c r="F367" s="127" t="n">
        <v>0</v>
      </c>
      <c r="G367" s="24" t="n">
        <f aca="false">C367-E367-F367</f>
        <v>7985.68473775007</v>
      </c>
      <c r="I367" s="25" t="n">
        <f aca="false">I366+E367</f>
        <v>492014.31526225</v>
      </c>
      <c r="J367" s="24" t="n">
        <f aca="false">J366+D367</f>
        <v>466212.281814418</v>
      </c>
    </row>
    <row r="368" customFormat="false" ht="15" hidden="true" customHeight="false" outlineLevel="1" collapsed="false">
      <c r="B368" s="125" t="n">
        <v>55062</v>
      </c>
      <c r="C368" s="21" t="n">
        <f aca="false">G367</f>
        <v>7985.68473775007</v>
      </c>
      <c r="D368" s="24" t="n">
        <f aca="false">C368*E$6</f>
        <v>33.273686407292</v>
      </c>
      <c r="E368" s="25" t="n">
        <f aca="false">E$8-D368</f>
        <v>2650.8344286534</v>
      </c>
      <c r="F368" s="126" t="n">
        <v>0</v>
      </c>
      <c r="G368" s="24" t="n">
        <f aca="false">C368-E368-F368</f>
        <v>5334.85030909667</v>
      </c>
      <c r="I368" s="25" t="n">
        <f aca="false">I367+E368</f>
        <v>494665.149690903</v>
      </c>
      <c r="J368" s="24" t="n">
        <f aca="false">J367+D368</f>
        <v>466245.555500825</v>
      </c>
    </row>
    <row r="369" customFormat="false" ht="15" hidden="true" customHeight="false" outlineLevel="1" collapsed="false">
      <c r="B369" s="125" t="n">
        <v>55093</v>
      </c>
      <c r="C369" s="21" t="n">
        <f aca="false">G368</f>
        <v>5334.85030909667</v>
      </c>
      <c r="D369" s="24" t="n">
        <f aca="false">C369*E$6</f>
        <v>22.2285429545694</v>
      </c>
      <c r="E369" s="25" t="n">
        <f aca="false">E$8-D369</f>
        <v>2661.87957210613</v>
      </c>
      <c r="F369" s="127" t="n">
        <v>0</v>
      </c>
      <c r="G369" s="24" t="n">
        <f aca="false">C369-E369-F369</f>
        <v>2672.97073699054</v>
      </c>
      <c r="I369" s="25" t="n">
        <f aca="false">I368+E369</f>
        <v>497327.029263009</v>
      </c>
      <c r="J369" s="24" t="n">
        <f aca="false">J368+D369</f>
        <v>466267.78404378</v>
      </c>
    </row>
    <row r="370" customFormat="false" ht="15" hidden="false" customHeight="false" outlineLevel="0" collapsed="false">
      <c r="A370" s="0" t="s">
        <v>340</v>
      </c>
      <c r="B370" s="125" t="n">
        <v>55123</v>
      </c>
      <c r="C370" s="21" t="n">
        <f aca="false">G369</f>
        <v>2672.97073699054</v>
      </c>
      <c r="D370" s="24" t="n">
        <f aca="false">C370*E$6</f>
        <v>11.1373780707939</v>
      </c>
      <c r="E370" s="25" t="n">
        <f aca="false">E$8-D370</f>
        <v>2672.9707369899</v>
      </c>
      <c r="F370" s="126" t="n">
        <v>0</v>
      </c>
      <c r="G370" s="24" t="n">
        <f aca="false">C370-E370-F370</f>
        <v>6.39374775346369E-010</v>
      </c>
      <c r="I370" s="25" t="n">
        <f aca="false">I369+E370</f>
        <v>499999.999999999</v>
      </c>
      <c r="J370" s="24" t="n">
        <f aca="false">J369+D370</f>
        <v>466278.921421851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18.14"/>
    <col collapsed="false" customWidth="true" hidden="false" outlineLevel="0" max="3" min="3" style="0" width="14.71"/>
    <col collapsed="false" customWidth="true" hidden="false" outlineLevel="0" max="4" min="4" style="0" width="10.14"/>
    <col collapsed="false" customWidth="true" hidden="false" outlineLevel="0" max="5" min="5" style="0" width="13.29"/>
    <col collapsed="false" customWidth="true" hidden="false" outlineLevel="0" max="6" min="6" style="0" width="10.57"/>
    <col collapsed="false" customWidth="true" hidden="false" outlineLevel="0" max="7" min="7" style="0" width="13.86"/>
    <col collapsed="false" customWidth="true" hidden="false" outlineLevel="0" max="8" min="8" style="0" width="4.57"/>
    <col collapsed="false" customWidth="true" hidden="false" outlineLevel="0" max="10" min="9" style="0" width="15.71"/>
  </cols>
  <sheetData>
    <row r="1" customFormat="false" ht="15" hidden="false" customHeight="false" outlineLevel="0" collapsed="false">
      <c r="A1" s="29" t="s">
        <v>331</v>
      </c>
    </row>
    <row r="3" customFormat="false" ht="15" hidden="false" customHeight="false" outlineLevel="0" collapsed="false">
      <c r="A3" s="0" t="s">
        <v>332</v>
      </c>
      <c r="E3" s="20" t="n">
        <v>500000</v>
      </c>
      <c r="I3" s="0" t="s">
        <v>333</v>
      </c>
    </row>
    <row r="4" customFormat="false" ht="15" hidden="false" customHeight="false" outlineLevel="0" collapsed="false">
      <c r="A4" s="0" t="s">
        <v>334</v>
      </c>
      <c r="E4" s="51" t="n">
        <v>180</v>
      </c>
      <c r="F4" s="0" t="s">
        <v>343</v>
      </c>
      <c r="I4" s="0" t="s">
        <v>336</v>
      </c>
    </row>
    <row r="5" customFormat="false" ht="15" hidden="false" customHeight="false" outlineLevel="0" collapsed="false">
      <c r="A5" s="0" t="s">
        <v>324</v>
      </c>
      <c r="E5" s="18" t="n">
        <v>0.05</v>
      </c>
    </row>
    <row r="6" customFormat="false" ht="15" hidden="false" customHeight="false" outlineLevel="0" collapsed="false">
      <c r="A6" s="0" t="s">
        <v>325</v>
      </c>
      <c r="E6" s="42" t="n">
        <f aca="false">E5/12</f>
        <v>0.00416666666666667</v>
      </c>
    </row>
    <row r="7" customFormat="false" ht="15" hidden="false" customHeight="false" outlineLevel="0" collapsed="false">
      <c r="A7" s="0" t="s">
        <v>337</v>
      </c>
      <c r="E7" s="42" t="n">
        <f aca="false">(1+E5/12)^12-1</f>
        <v>0.0511618978817334</v>
      </c>
    </row>
    <row r="8" customFormat="false" ht="15" hidden="false" customHeight="false" outlineLevel="0" collapsed="false">
      <c r="A8" s="0" t="s">
        <v>39</v>
      </c>
      <c r="E8" s="22" t="n">
        <f aca="false">-PMT(E5/12,E4,E3)</f>
        <v>3953.96813370772</v>
      </c>
    </row>
    <row r="9" customFormat="false" ht="26.25" hidden="false" customHeight="true" outlineLevel="0" collapsed="false">
      <c r="D9" s="0" t="n">
        <f aca="false">E3*E9</f>
        <v>3953.96813370771</v>
      </c>
      <c r="E9" s="123" t="n">
        <f aca="false">((E6*(1+E6)^E4)/((1+E6)^E4-1))</f>
        <v>0.00790793626741542</v>
      </c>
    </row>
    <row r="10" customFormat="false" ht="30" hidden="false" customHeight="false" outlineLevel="0" collapsed="false">
      <c r="B10" s="5" t="s">
        <v>22</v>
      </c>
      <c r="C10" s="3" t="s">
        <v>38</v>
      </c>
      <c r="D10" s="3" t="s">
        <v>24</v>
      </c>
      <c r="E10" s="3" t="s">
        <v>25</v>
      </c>
      <c r="F10" s="124" t="s">
        <v>62</v>
      </c>
      <c r="G10" s="3" t="s">
        <v>26</v>
      </c>
      <c r="H10" s="5"/>
      <c r="I10" s="3" t="s">
        <v>27</v>
      </c>
      <c r="J10" s="3" t="s">
        <v>28</v>
      </c>
    </row>
    <row r="11" customFormat="false" ht="15" hidden="false" customHeight="false" outlineLevel="0" collapsed="false">
      <c r="B11" s="125" t="n">
        <v>44197</v>
      </c>
      <c r="C11" s="21" t="n">
        <f aca="false">E3</f>
        <v>500000</v>
      </c>
      <c r="D11" s="24" t="n">
        <f aca="false">C11*E$6</f>
        <v>2083.33333333333</v>
      </c>
      <c r="E11" s="25" t="n">
        <f aca="false">E$8-D11</f>
        <v>1870.63480037439</v>
      </c>
      <c r="F11" s="126" t="n">
        <v>0</v>
      </c>
      <c r="G11" s="24" t="n">
        <f aca="false">C11-E11-F11</f>
        <v>498129.365199626</v>
      </c>
      <c r="I11" s="25" t="n">
        <f aca="false">E11</f>
        <v>1870.63480037439</v>
      </c>
      <c r="J11" s="24" t="n">
        <f aca="false">D11</f>
        <v>2083.33333333333</v>
      </c>
    </row>
    <row r="12" customFormat="false" ht="15" hidden="false" customHeight="false" outlineLevel="0" collapsed="false">
      <c r="B12" s="125" t="n">
        <v>44228</v>
      </c>
      <c r="C12" s="21" t="n">
        <f aca="false">G11</f>
        <v>498129.365199626</v>
      </c>
      <c r="D12" s="24" t="n">
        <f aca="false">C12*E$6</f>
        <v>2075.53902166511</v>
      </c>
      <c r="E12" s="25" t="n">
        <f aca="false">E$8-D12</f>
        <v>1878.42911204262</v>
      </c>
      <c r="F12" s="127" t="n">
        <v>0</v>
      </c>
      <c r="G12" s="24" t="n">
        <f aca="false">C12-E12-F12</f>
        <v>496250.936087583</v>
      </c>
      <c r="I12" s="25" t="n">
        <f aca="false">I11+E12</f>
        <v>3749.06391241701</v>
      </c>
      <c r="J12" s="24" t="n">
        <f aca="false">J11+D12</f>
        <v>4158.87235499844</v>
      </c>
    </row>
    <row r="13" customFormat="false" ht="15" hidden="false" customHeight="false" outlineLevel="0" collapsed="false">
      <c r="B13" s="125" t="n">
        <v>44256</v>
      </c>
      <c r="C13" s="21" t="n">
        <f aca="false">G12</f>
        <v>496250.936087583</v>
      </c>
      <c r="D13" s="24" t="n">
        <f aca="false">C13*E$6</f>
        <v>2067.71223369826</v>
      </c>
      <c r="E13" s="25" t="n">
        <f aca="false">E$8-D13</f>
        <v>1886.25590000946</v>
      </c>
      <c r="F13" s="127" t="n">
        <v>0</v>
      </c>
      <c r="G13" s="24" t="n">
        <f aca="false">C13-E13-F13</f>
        <v>494364.680187574</v>
      </c>
      <c r="I13" s="25" t="n">
        <f aca="false">I12+E13</f>
        <v>5635.31981242647</v>
      </c>
      <c r="J13" s="24" t="n">
        <f aca="false">J12+D13</f>
        <v>6226.5845886967</v>
      </c>
    </row>
    <row r="14" customFormat="false" ht="15" hidden="false" customHeight="false" outlineLevel="0" collapsed="false">
      <c r="B14" s="125" t="n">
        <v>44287</v>
      </c>
      <c r="C14" s="21" t="n">
        <f aca="false">G13</f>
        <v>494364.680187574</v>
      </c>
      <c r="D14" s="24" t="n">
        <f aca="false">C14*E$6</f>
        <v>2059.85283411489</v>
      </c>
      <c r="E14" s="25" t="n">
        <f aca="false">E$8-D14</f>
        <v>1894.11529959283</v>
      </c>
      <c r="F14" s="127" t="n">
        <v>0</v>
      </c>
      <c r="G14" s="24" t="n">
        <f aca="false">C14-E14-F14</f>
        <v>492470.564887981</v>
      </c>
      <c r="I14" s="25" t="n">
        <f aca="false">I13+E14</f>
        <v>7529.4351120193</v>
      </c>
      <c r="J14" s="24" t="n">
        <f aca="false">J13+D14</f>
        <v>8286.43742281159</v>
      </c>
    </row>
    <row r="15" customFormat="false" ht="15" hidden="false" customHeight="false" outlineLevel="0" collapsed="false">
      <c r="B15" s="125" t="n">
        <v>44317</v>
      </c>
      <c r="C15" s="21" t="n">
        <f aca="false">G14</f>
        <v>492470.564887981</v>
      </c>
      <c r="D15" s="24" t="n">
        <f aca="false">C15*E$6</f>
        <v>2051.96068703325</v>
      </c>
      <c r="E15" s="25" t="n">
        <f aca="false">E$8-D15</f>
        <v>1902.00744667447</v>
      </c>
      <c r="F15" s="127" t="n">
        <v>0</v>
      </c>
      <c r="G15" s="24" t="n">
        <f aca="false">C15-E15-F15</f>
        <v>490568.557441306</v>
      </c>
      <c r="I15" s="25" t="n">
        <f aca="false">I14+E15</f>
        <v>9431.44255869377</v>
      </c>
      <c r="J15" s="24" t="n">
        <f aca="false">J14+D15</f>
        <v>10338.3981098448</v>
      </c>
    </row>
    <row r="16" customFormat="false" ht="15" hidden="false" customHeight="false" outlineLevel="0" collapsed="false">
      <c r="B16" s="125" t="n">
        <v>44348</v>
      </c>
      <c r="C16" s="21" t="n">
        <f aca="false">G15</f>
        <v>490568.557441306</v>
      </c>
      <c r="D16" s="24" t="n">
        <f aca="false">C16*E$6</f>
        <v>2044.03565600544</v>
      </c>
      <c r="E16" s="25" t="n">
        <f aca="false">E$8-D16</f>
        <v>1909.93247770228</v>
      </c>
      <c r="F16" s="127" t="n">
        <v>0</v>
      </c>
      <c r="G16" s="24" t="n">
        <f aca="false">C16-E16-F16</f>
        <v>488658.624963604</v>
      </c>
      <c r="I16" s="25" t="n">
        <f aca="false">I15+E16</f>
        <v>11341.375036396</v>
      </c>
      <c r="J16" s="24" t="n">
        <f aca="false">J15+D16</f>
        <v>12382.4337658503</v>
      </c>
    </row>
    <row r="17" customFormat="false" ht="15" hidden="false" customHeight="false" outlineLevel="0" collapsed="false">
      <c r="B17" s="125" t="n">
        <v>44378</v>
      </c>
      <c r="C17" s="21" t="n">
        <f aca="false">G16</f>
        <v>488658.624963604</v>
      </c>
      <c r="D17" s="24" t="n">
        <f aca="false">C17*E$6</f>
        <v>2036.07760401502</v>
      </c>
      <c r="E17" s="25" t="n">
        <f aca="false">E$8-D17</f>
        <v>1917.89052969271</v>
      </c>
      <c r="F17" s="127" t="n">
        <v>0</v>
      </c>
      <c r="G17" s="24" t="n">
        <f aca="false">C17-E17-F17</f>
        <v>486740.734433911</v>
      </c>
      <c r="I17" s="25" t="n">
        <f aca="false">I16+E17</f>
        <v>13259.2655660888</v>
      </c>
      <c r="J17" s="24" t="n">
        <f aca="false">J16+D17</f>
        <v>14418.5113698653</v>
      </c>
    </row>
    <row r="18" customFormat="false" ht="15" hidden="false" customHeight="false" outlineLevel="0" collapsed="false">
      <c r="B18" s="125" t="n">
        <v>44409</v>
      </c>
      <c r="C18" s="21" t="n">
        <f aca="false">G17</f>
        <v>486740.734433911</v>
      </c>
      <c r="D18" s="24" t="n">
        <f aca="false">C18*E$6</f>
        <v>2028.08639347463</v>
      </c>
      <c r="E18" s="25" t="n">
        <f aca="false">E$8-D18</f>
        <v>1925.88174023309</v>
      </c>
      <c r="F18" s="127" t="n">
        <v>0</v>
      </c>
      <c r="G18" s="24" t="n">
        <f aca="false">C18-E18-F18</f>
        <v>484814.852693678</v>
      </c>
      <c r="I18" s="25" t="n">
        <f aca="false">I17+E18</f>
        <v>15185.1473063218</v>
      </c>
      <c r="J18" s="24" t="n">
        <f aca="false">J17+D18</f>
        <v>16446.5977633399</v>
      </c>
    </row>
    <row r="19" customFormat="false" ht="15" hidden="false" customHeight="false" outlineLevel="0" collapsed="false">
      <c r="B19" s="125" t="n">
        <v>44440</v>
      </c>
      <c r="C19" s="21" t="n">
        <f aca="false">G18</f>
        <v>484814.852693678</v>
      </c>
      <c r="D19" s="24" t="n">
        <f aca="false">C19*E$6</f>
        <v>2020.06188622366</v>
      </c>
      <c r="E19" s="25" t="n">
        <f aca="false">E$8-D19</f>
        <v>1933.90624748406</v>
      </c>
      <c r="F19" s="127" t="n">
        <v>0</v>
      </c>
      <c r="G19" s="24" t="n">
        <f aca="false">C19-E19-F19</f>
        <v>482880.946446194</v>
      </c>
      <c r="I19" s="25" t="n">
        <f aca="false">I18+E19</f>
        <v>17119.0535538059</v>
      </c>
      <c r="J19" s="24" t="n">
        <f aca="false">J18+D19</f>
        <v>18466.6596495636</v>
      </c>
    </row>
    <row r="20" customFormat="false" ht="15" hidden="false" customHeight="false" outlineLevel="0" collapsed="false">
      <c r="B20" s="125" t="n">
        <v>44470</v>
      </c>
      <c r="C20" s="21" t="n">
        <f aca="false">G19</f>
        <v>482880.946446194</v>
      </c>
      <c r="D20" s="24" t="n">
        <f aca="false">C20*E$6</f>
        <v>2012.00394352581</v>
      </c>
      <c r="E20" s="25" t="n">
        <f aca="false">E$8-D20</f>
        <v>1941.96419018191</v>
      </c>
      <c r="F20" s="127" t="n">
        <v>0</v>
      </c>
      <c r="G20" s="24" t="n">
        <f aca="false">C20-E20-F20</f>
        <v>480938.982256012</v>
      </c>
      <c r="I20" s="25" t="n">
        <f aca="false">I19+E20</f>
        <v>19061.0177439878</v>
      </c>
      <c r="J20" s="24" t="n">
        <f aca="false">J19+D20</f>
        <v>20478.6635930894</v>
      </c>
    </row>
    <row r="21" customFormat="false" ht="15" hidden="false" customHeight="false" outlineLevel="0" collapsed="false">
      <c r="B21" s="125" t="n">
        <v>44501</v>
      </c>
      <c r="C21" s="21" t="n">
        <f aca="false">G20</f>
        <v>480938.982256012</v>
      </c>
      <c r="D21" s="24" t="n">
        <f aca="false">C21*E$6</f>
        <v>2003.91242606672</v>
      </c>
      <c r="E21" s="25" t="n">
        <f aca="false">E$8-D21</f>
        <v>1950.05570764101</v>
      </c>
      <c r="F21" s="127" t="n">
        <v>0</v>
      </c>
      <c r="G21" s="24" t="n">
        <f aca="false">C21-E21-F21</f>
        <v>478988.926548371</v>
      </c>
      <c r="I21" s="25" t="n">
        <f aca="false">I20+E21</f>
        <v>21011.0734516288</v>
      </c>
      <c r="J21" s="24" t="n">
        <f aca="false">J20+D21</f>
        <v>22482.5760191561</v>
      </c>
    </row>
    <row r="22" customFormat="false" ht="15" hidden="false" customHeight="false" outlineLevel="0" collapsed="false">
      <c r="B22" s="125" t="n">
        <v>44531</v>
      </c>
      <c r="C22" s="21" t="n">
        <f aca="false">G21</f>
        <v>478988.926548371</v>
      </c>
      <c r="D22" s="24" t="n">
        <f aca="false">C22*E$6</f>
        <v>1995.78719395155</v>
      </c>
      <c r="E22" s="25" t="n">
        <f aca="false">E$8-D22</f>
        <v>1958.18093975618</v>
      </c>
      <c r="F22" s="127" t="n">
        <v>0</v>
      </c>
      <c r="G22" s="24" t="n">
        <f aca="false">C22-E22-F22</f>
        <v>477030.745608615</v>
      </c>
      <c r="I22" s="25" t="n">
        <f aca="false">I21+E22</f>
        <v>22969.254391385</v>
      </c>
      <c r="J22" s="24" t="n">
        <f aca="false">J21+D22</f>
        <v>24478.3632131077</v>
      </c>
    </row>
    <row r="23" customFormat="false" ht="15" hidden="true" customHeight="false" outlineLevel="1" collapsed="false">
      <c r="B23" s="125" t="n">
        <v>44562</v>
      </c>
      <c r="C23" s="21" t="n">
        <f aca="false">G22</f>
        <v>477030.745608615</v>
      </c>
      <c r="D23" s="24" t="n">
        <f aca="false">C23*E$6</f>
        <v>1987.62810670256</v>
      </c>
      <c r="E23" s="25" t="n">
        <f aca="false">E$8-D23</f>
        <v>1966.34002700516</v>
      </c>
      <c r="F23" s="127" t="n">
        <v>0</v>
      </c>
      <c r="G23" s="24" t="n">
        <f aca="false">C23-E23-F23</f>
        <v>475064.40558161</v>
      </c>
      <c r="I23" s="25" t="n">
        <f aca="false">I22+E23</f>
        <v>24935.5944183902</v>
      </c>
      <c r="J23" s="24" t="n">
        <f aca="false">J22+D23</f>
        <v>26465.9913198102</v>
      </c>
    </row>
    <row r="24" customFormat="false" ht="15" hidden="true" customHeight="false" outlineLevel="1" collapsed="false">
      <c r="B24" s="125" t="n">
        <v>44593</v>
      </c>
      <c r="C24" s="21" t="n">
        <f aca="false">G23</f>
        <v>475064.40558161</v>
      </c>
      <c r="D24" s="24" t="n">
        <f aca="false">C24*E$6</f>
        <v>1979.43502325671</v>
      </c>
      <c r="E24" s="25" t="n">
        <f aca="false">E$8-D24</f>
        <v>1974.53311045102</v>
      </c>
      <c r="F24" s="127" t="n">
        <v>0</v>
      </c>
      <c r="G24" s="24" t="n">
        <f aca="false">C24-E24-F24</f>
        <v>473089.872471159</v>
      </c>
      <c r="I24" s="25" t="n">
        <f aca="false">I23+E24</f>
        <v>26910.1275288412</v>
      </c>
      <c r="J24" s="24" t="n">
        <f aca="false">J23+D24</f>
        <v>28445.4263430669</v>
      </c>
    </row>
    <row r="25" customFormat="false" ht="15" hidden="true" customHeight="false" outlineLevel="1" collapsed="false">
      <c r="B25" s="125" t="n">
        <v>44621</v>
      </c>
      <c r="C25" s="21" t="n">
        <f aca="false">G24</f>
        <v>473089.872471159</v>
      </c>
      <c r="D25" s="24" t="n">
        <f aca="false">C25*E$6</f>
        <v>1971.20780196316</v>
      </c>
      <c r="E25" s="25" t="n">
        <f aca="false">E$8-D25</f>
        <v>1982.76033174456</v>
      </c>
      <c r="F25" s="127" t="n">
        <v>0</v>
      </c>
      <c r="G25" s="24" t="n">
        <f aca="false">C25-E25-F25</f>
        <v>471107.112139414</v>
      </c>
      <c r="I25" s="25" t="n">
        <f aca="false">I24+E25</f>
        <v>28892.8878605857</v>
      </c>
      <c r="J25" s="24" t="n">
        <f aca="false">J24+D25</f>
        <v>30416.6341450301</v>
      </c>
    </row>
    <row r="26" customFormat="false" ht="15" hidden="true" customHeight="false" outlineLevel="1" collapsed="false">
      <c r="B26" s="125" t="n">
        <v>44652</v>
      </c>
      <c r="C26" s="21" t="n">
        <f aca="false">G25</f>
        <v>471107.112139414</v>
      </c>
      <c r="D26" s="24" t="n">
        <f aca="false">C26*E$6</f>
        <v>1962.94630058089</v>
      </c>
      <c r="E26" s="25" t="n">
        <f aca="false">E$8-D26</f>
        <v>1991.02183312683</v>
      </c>
      <c r="F26" s="127" t="n">
        <v>0</v>
      </c>
      <c r="G26" s="24" t="n">
        <f aca="false">C26-E26-F26</f>
        <v>469116.090306287</v>
      </c>
      <c r="I26" s="25" t="n">
        <f aca="false">I25+E26</f>
        <v>30883.9096937126</v>
      </c>
      <c r="J26" s="24" t="n">
        <f aca="false">J25+D26</f>
        <v>32379.580445611</v>
      </c>
    </row>
    <row r="27" customFormat="false" ht="15" hidden="true" customHeight="false" outlineLevel="1" collapsed="false">
      <c r="B27" s="125" t="n">
        <v>44682</v>
      </c>
      <c r="C27" s="21" t="n">
        <f aca="false">G26</f>
        <v>469116.090306287</v>
      </c>
      <c r="D27" s="24" t="n">
        <f aca="false">C27*E$6</f>
        <v>1954.6503762762</v>
      </c>
      <c r="E27" s="25" t="n">
        <f aca="false">E$8-D27</f>
        <v>1999.31775743153</v>
      </c>
      <c r="F27" s="127" t="n">
        <v>0</v>
      </c>
      <c r="G27" s="24" t="n">
        <f aca="false">C27-E27-F27</f>
        <v>467116.772548856</v>
      </c>
      <c r="I27" s="25" t="n">
        <f aca="false">I26+E27</f>
        <v>32883.2274511441</v>
      </c>
      <c r="J27" s="24" t="n">
        <f aca="false">J26+D27</f>
        <v>34334.2308218872</v>
      </c>
    </row>
    <row r="28" customFormat="false" ht="15" hidden="true" customHeight="false" outlineLevel="1" collapsed="false">
      <c r="B28" s="125" t="n">
        <v>44713</v>
      </c>
      <c r="C28" s="21" t="n">
        <f aca="false">G27</f>
        <v>467116.772548856</v>
      </c>
      <c r="D28" s="24" t="n">
        <f aca="false">C28*E$6</f>
        <v>1946.31988562023</v>
      </c>
      <c r="E28" s="25" t="n">
        <f aca="false">E$8-D28</f>
        <v>2007.64824808749</v>
      </c>
      <c r="F28" s="127" t="n">
        <v>0</v>
      </c>
      <c r="G28" s="24" t="n">
        <f aca="false">C28-E28-F28</f>
        <v>465109.124300768</v>
      </c>
      <c r="I28" s="25" t="n">
        <f aca="false">I27+E28</f>
        <v>34890.8756992316</v>
      </c>
      <c r="J28" s="24" t="n">
        <f aca="false">J27+D28</f>
        <v>36280.5507075074</v>
      </c>
    </row>
    <row r="29" customFormat="false" ht="15" hidden="true" customHeight="false" outlineLevel="1" collapsed="false">
      <c r="B29" s="125" t="n">
        <v>44743</v>
      </c>
      <c r="C29" s="21" t="n">
        <f aca="false">G28</f>
        <v>465109.124300768</v>
      </c>
      <c r="D29" s="24" t="n">
        <f aca="false">C29*E$6</f>
        <v>1937.95468458653</v>
      </c>
      <c r="E29" s="25" t="n">
        <f aca="false">E$8-D29</f>
        <v>2016.01344912119</v>
      </c>
      <c r="F29" s="127" t="n">
        <v>0</v>
      </c>
      <c r="G29" s="24" t="n">
        <f aca="false">C29-E29-F29</f>
        <v>463093.110851647</v>
      </c>
      <c r="I29" s="25" t="n">
        <f aca="false">I28+E29</f>
        <v>36906.8891483528</v>
      </c>
      <c r="J29" s="24" t="n">
        <f aca="false">J28+D29</f>
        <v>38218.505392094</v>
      </c>
    </row>
    <row r="30" customFormat="false" ht="15" hidden="true" customHeight="false" outlineLevel="1" collapsed="false">
      <c r="B30" s="125" t="n">
        <v>44774</v>
      </c>
      <c r="C30" s="21" t="n">
        <f aca="false">G29</f>
        <v>463093.110851647</v>
      </c>
      <c r="D30" s="24" t="n">
        <f aca="false">C30*E$6</f>
        <v>1929.55462854853</v>
      </c>
      <c r="E30" s="25" t="n">
        <f aca="false">E$8-D30</f>
        <v>2024.41350515919</v>
      </c>
      <c r="F30" s="127" t="n">
        <v>0</v>
      </c>
      <c r="G30" s="24" t="n">
        <f aca="false">C30-E30-F30</f>
        <v>461068.697346488</v>
      </c>
      <c r="I30" s="25" t="n">
        <f aca="false">I29+E30</f>
        <v>38931.302653512</v>
      </c>
      <c r="J30" s="24" t="n">
        <f aca="false">J29+D30</f>
        <v>40148.0600206425</v>
      </c>
    </row>
    <row r="31" customFormat="false" ht="15" hidden="true" customHeight="false" outlineLevel="1" collapsed="false">
      <c r="B31" s="125" t="n">
        <v>44805</v>
      </c>
      <c r="C31" s="21" t="n">
        <f aca="false">G30</f>
        <v>461068.697346488</v>
      </c>
      <c r="D31" s="24" t="n">
        <f aca="false">C31*E$6</f>
        <v>1921.11957227703</v>
      </c>
      <c r="E31" s="25" t="n">
        <f aca="false">E$8-D31</f>
        <v>2032.84856143069</v>
      </c>
      <c r="F31" s="127" t="n">
        <v>0</v>
      </c>
      <c r="G31" s="24" t="n">
        <f aca="false">C31-E31-F31</f>
        <v>459035.848785057</v>
      </c>
      <c r="I31" s="25" t="n">
        <f aca="false">I30+E31</f>
        <v>40964.1512149427</v>
      </c>
      <c r="J31" s="24" t="n">
        <f aca="false">J30+D31</f>
        <v>42069.1795929195</v>
      </c>
    </row>
    <row r="32" customFormat="false" ht="15" hidden="true" customHeight="false" outlineLevel="1" collapsed="false">
      <c r="B32" s="125" t="n">
        <v>44835</v>
      </c>
      <c r="C32" s="21" t="n">
        <f aca="false">G31</f>
        <v>459035.848785057</v>
      </c>
      <c r="D32" s="24" t="n">
        <f aca="false">C32*E$6</f>
        <v>1912.64936993774</v>
      </c>
      <c r="E32" s="25" t="n">
        <f aca="false">E$8-D32</f>
        <v>2041.31876376998</v>
      </c>
      <c r="F32" s="127" t="n">
        <v>0</v>
      </c>
      <c r="G32" s="24" t="n">
        <f aca="false">C32-E32-F32</f>
        <v>456994.530021287</v>
      </c>
      <c r="I32" s="25" t="n">
        <f aca="false">I31+E32</f>
        <v>43005.4699787126</v>
      </c>
      <c r="J32" s="24" t="n">
        <f aca="false">J31+D32</f>
        <v>43981.8289628573</v>
      </c>
    </row>
    <row r="33" customFormat="false" ht="15" hidden="true" customHeight="false" outlineLevel="1" collapsed="false">
      <c r="B33" s="125" t="n">
        <v>44866</v>
      </c>
      <c r="C33" s="21" t="n">
        <f aca="false">G32</f>
        <v>456994.530021287</v>
      </c>
      <c r="D33" s="24" t="n">
        <f aca="false">C33*E$6</f>
        <v>1904.1438750887</v>
      </c>
      <c r="E33" s="25" t="n">
        <f aca="false">E$8-D33</f>
        <v>2049.82425861903</v>
      </c>
      <c r="F33" s="127" t="n">
        <v>0</v>
      </c>
      <c r="G33" s="24" t="n">
        <f aca="false">C33-E33-F33</f>
        <v>454944.705762668</v>
      </c>
      <c r="I33" s="25" t="n">
        <f aca="false">I32+E33</f>
        <v>45055.2942373317</v>
      </c>
      <c r="J33" s="24" t="n">
        <f aca="false">J32+D33</f>
        <v>45885.972837946</v>
      </c>
    </row>
    <row r="34" customFormat="false" ht="15" hidden="true" customHeight="false" outlineLevel="1" collapsed="false">
      <c r="B34" s="125" t="n">
        <v>44896</v>
      </c>
      <c r="C34" s="21" t="n">
        <f aca="false">G33</f>
        <v>454944.705762668</v>
      </c>
      <c r="D34" s="24" t="n">
        <f aca="false">C34*E$6</f>
        <v>1895.60294067778</v>
      </c>
      <c r="E34" s="25" t="n">
        <f aca="false">E$8-D34</f>
        <v>2058.36519302994</v>
      </c>
      <c r="F34" s="127" t="n">
        <v>0</v>
      </c>
      <c r="G34" s="24" t="n">
        <f aca="false">C34-E34-F34</f>
        <v>452886.340569638</v>
      </c>
      <c r="I34" s="25" t="n">
        <f aca="false">I33+E34</f>
        <v>47113.6594303616</v>
      </c>
      <c r="J34" s="24" t="n">
        <f aca="false">J33+D34</f>
        <v>47781.5757786237</v>
      </c>
    </row>
    <row r="35" customFormat="false" ht="15" hidden="true" customHeight="false" outlineLevel="1" collapsed="false">
      <c r="B35" s="125" t="n">
        <v>44927</v>
      </c>
      <c r="C35" s="21" t="n">
        <f aca="false">G34</f>
        <v>452886.340569638</v>
      </c>
      <c r="D35" s="24" t="n">
        <f aca="false">C35*E$6</f>
        <v>1887.02641904016</v>
      </c>
      <c r="E35" s="25" t="n">
        <f aca="false">E$8-D35</f>
        <v>2066.94171466756</v>
      </c>
      <c r="F35" s="127" t="n">
        <v>0</v>
      </c>
      <c r="G35" s="24" t="n">
        <f aca="false">C35-E35-F35</f>
        <v>450819.398854971</v>
      </c>
      <c r="I35" s="25" t="n">
        <f aca="false">I34+E35</f>
        <v>49180.6011450292</v>
      </c>
      <c r="J35" s="24" t="n">
        <f aca="false">J34+D35</f>
        <v>49668.6021976639</v>
      </c>
    </row>
    <row r="36" customFormat="false" ht="15" hidden="true" customHeight="false" outlineLevel="1" collapsed="false">
      <c r="B36" s="125" t="n">
        <v>44958</v>
      </c>
      <c r="C36" s="21" t="n">
        <f aca="false">G35</f>
        <v>450819.398854971</v>
      </c>
      <c r="D36" s="24" t="n">
        <f aca="false">C36*E$6</f>
        <v>1878.41416189571</v>
      </c>
      <c r="E36" s="25" t="n">
        <f aca="false">E$8-D36</f>
        <v>2075.55397181201</v>
      </c>
      <c r="F36" s="127" t="n">
        <v>0</v>
      </c>
      <c r="G36" s="24" t="n">
        <f aca="false">C36-E36-F36</f>
        <v>448743.844883159</v>
      </c>
      <c r="I36" s="25" t="n">
        <f aca="false">I35+E36</f>
        <v>51256.1551168412</v>
      </c>
      <c r="J36" s="24" t="n">
        <f aca="false">J35+D36</f>
        <v>51547.0163595596</v>
      </c>
    </row>
    <row r="37" customFormat="false" ht="15" hidden="true" customHeight="false" outlineLevel="1" collapsed="false">
      <c r="B37" s="125" t="n">
        <v>44986</v>
      </c>
      <c r="C37" s="21" t="n">
        <f aca="false">G36</f>
        <v>448743.844883159</v>
      </c>
      <c r="D37" s="24" t="n">
        <f aca="false">C37*E$6</f>
        <v>1869.76602034649</v>
      </c>
      <c r="E37" s="25" t="n">
        <f aca="false">E$8-D37</f>
        <v>2084.20211336123</v>
      </c>
      <c r="F37" s="127" t="n">
        <v>0</v>
      </c>
      <c r="G37" s="24" t="n">
        <f aca="false">C37-E37-F37</f>
        <v>446659.642769798</v>
      </c>
      <c r="I37" s="25" t="n">
        <f aca="false">I36+E37</f>
        <v>53340.3572302024</v>
      </c>
      <c r="J37" s="24" t="n">
        <f aca="false">J36+D37</f>
        <v>53416.7823799061</v>
      </c>
    </row>
    <row r="38" customFormat="false" ht="15" hidden="true" customHeight="false" outlineLevel="1" collapsed="false">
      <c r="B38" s="125" t="n">
        <v>45017</v>
      </c>
      <c r="C38" s="21" t="n">
        <f aca="false">G37</f>
        <v>446659.642769798</v>
      </c>
      <c r="D38" s="24" t="n">
        <f aca="false">C38*E$6</f>
        <v>1861.08184487416</v>
      </c>
      <c r="E38" s="25" t="n">
        <f aca="false">E$8-D38</f>
        <v>2092.88628883357</v>
      </c>
      <c r="F38" s="127" t="n">
        <v>0</v>
      </c>
      <c r="G38" s="24" t="n">
        <f aca="false">C38-E38-F38</f>
        <v>444566.756480964</v>
      </c>
      <c r="I38" s="25" t="n">
        <f aca="false">I37+E38</f>
        <v>55433.243519036</v>
      </c>
      <c r="J38" s="24" t="n">
        <f aca="false">J37+D38</f>
        <v>55277.8642247803</v>
      </c>
    </row>
    <row r="39" customFormat="false" ht="15" hidden="true" customHeight="false" outlineLevel="1" collapsed="false">
      <c r="B39" s="125" t="n">
        <v>45047</v>
      </c>
      <c r="C39" s="21" t="n">
        <f aca="false">G38</f>
        <v>444566.756480964</v>
      </c>
      <c r="D39" s="24" t="n">
        <f aca="false">C39*E$6</f>
        <v>1852.36148533735</v>
      </c>
      <c r="E39" s="25" t="n">
        <f aca="false">E$8-D39</f>
        <v>2101.60664837037</v>
      </c>
      <c r="F39" s="127" t="n">
        <v>0</v>
      </c>
      <c r="G39" s="24" t="n">
        <f aca="false">C39-E39-F39</f>
        <v>442465.149832594</v>
      </c>
      <c r="I39" s="25" t="n">
        <f aca="false">I38+E39</f>
        <v>57534.8501674063</v>
      </c>
      <c r="J39" s="24" t="n">
        <f aca="false">J38+D39</f>
        <v>57130.2257101176</v>
      </c>
    </row>
    <row r="40" customFormat="false" ht="15" hidden="true" customHeight="false" outlineLevel="1" collapsed="false">
      <c r="B40" s="125" t="n">
        <v>45078</v>
      </c>
      <c r="C40" s="21" t="n">
        <f aca="false">G39</f>
        <v>442465.149832594</v>
      </c>
      <c r="D40" s="24" t="n">
        <f aca="false">C40*E$6</f>
        <v>1843.60479096914</v>
      </c>
      <c r="E40" s="25" t="n">
        <f aca="false">E$8-D40</f>
        <v>2110.36334273858</v>
      </c>
      <c r="F40" s="127" t="n">
        <v>0</v>
      </c>
      <c r="G40" s="24" t="n">
        <f aca="false">C40-E40-F40</f>
        <v>440354.786489855</v>
      </c>
      <c r="I40" s="25" t="n">
        <f aca="false">I39+E40</f>
        <v>59645.2135101449</v>
      </c>
      <c r="J40" s="24" t="n">
        <f aca="false">J39+D40</f>
        <v>58973.8305010868</v>
      </c>
    </row>
    <row r="41" customFormat="false" ht="15" hidden="true" customHeight="false" outlineLevel="1" collapsed="false">
      <c r="B41" s="125" t="n">
        <v>45108</v>
      </c>
      <c r="C41" s="21" t="n">
        <f aca="false">G40</f>
        <v>440354.786489855</v>
      </c>
      <c r="D41" s="24" t="n">
        <f aca="false">C41*E$6</f>
        <v>1834.8116103744</v>
      </c>
      <c r="E41" s="25" t="n">
        <f aca="false">E$8-D41</f>
        <v>2119.15652333333</v>
      </c>
      <c r="F41" s="127" t="n">
        <v>0</v>
      </c>
      <c r="G41" s="24" t="n">
        <f aca="false">C41-E41-F41</f>
        <v>438235.629966522</v>
      </c>
      <c r="I41" s="25" t="n">
        <f aca="false">I40+E41</f>
        <v>61764.3700334783</v>
      </c>
      <c r="J41" s="24" t="n">
        <f aca="false">J40+D41</f>
        <v>60808.6421114612</v>
      </c>
    </row>
    <row r="42" customFormat="false" ht="15" hidden="true" customHeight="false" outlineLevel="1" collapsed="false">
      <c r="B42" s="125" t="n">
        <v>45139</v>
      </c>
      <c r="C42" s="21" t="n">
        <f aca="false">G41</f>
        <v>438235.629966522</v>
      </c>
      <c r="D42" s="24" t="n">
        <f aca="false">C42*E$6</f>
        <v>1825.98179152717</v>
      </c>
      <c r="E42" s="25" t="n">
        <f aca="false">E$8-D42</f>
        <v>2127.98634218055</v>
      </c>
      <c r="F42" s="127" t="n">
        <v>0</v>
      </c>
      <c r="G42" s="24" t="n">
        <f aca="false">C42-E42-F42</f>
        <v>436107.643624341</v>
      </c>
      <c r="I42" s="25" t="n">
        <f aca="false">I41+E42</f>
        <v>63892.3563756588</v>
      </c>
      <c r="J42" s="24" t="n">
        <f aca="false">J41+D42</f>
        <v>62634.6239029883</v>
      </c>
    </row>
    <row r="43" customFormat="false" ht="15" hidden="true" customHeight="false" outlineLevel="1" collapsed="false">
      <c r="B43" s="125" t="n">
        <v>45170</v>
      </c>
      <c r="C43" s="21" t="n">
        <f aca="false">G42</f>
        <v>436107.643624341</v>
      </c>
      <c r="D43" s="24" t="n">
        <f aca="false">C43*E$6</f>
        <v>1817.11518176809</v>
      </c>
      <c r="E43" s="25" t="n">
        <f aca="false">E$8-D43</f>
        <v>2136.85295193963</v>
      </c>
      <c r="F43" s="127" t="n">
        <v>0</v>
      </c>
      <c r="G43" s="24" t="n">
        <f aca="false">C43-E43-F43</f>
        <v>433970.790672402</v>
      </c>
      <c r="I43" s="25" t="n">
        <f aca="false">I42+E43</f>
        <v>66029.2093275984</v>
      </c>
      <c r="J43" s="24" t="n">
        <f aca="false">J42+D43</f>
        <v>64451.7390847564</v>
      </c>
    </row>
    <row r="44" customFormat="false" ht="15" hidden="true" customHeight="false" outlineLevel="1" collapsed="false">
      <c r="B44" s="125" t="n">
        <v>45200</v>
      </c>
      <c r="C44" s="21" t="n">
        <f aca="false">G43</f>
        <v>433970.790672402</v>
      </c>
      <c r="D44" s="24" t="n">
        <f aca="false">C44*E$6</f>
        <v>1808.21162780167</v>
      </c>
      <c r="E44" s="25" t="n">
        <f aca="false">E$8-D44</f>
        <v>2145.75650590605</v>
      </c>
      <c r="F44" s="127" t="n">
        <v>0</v>
      </c>
      <c r="G44" s="24" t="n">
        <f aca="false">C44-E44-F44</f>
        <v>431825.034166495</v>
      </c>
      <c r="I44" s="25" t="n">
        <f aca="false">I43+E44</f>
        <v>68174.9658335045</v>
      </c>
      <c r="J44" s="24" t="n">
        <f aca="false">J43+D44</f>
        <v>66259.9507125581</v>
      </c>
    </row>
    <row r="45" customFormat="false" ht="15" hidden="true" customHeight="false" outlineLevel="1" collapsed="false">
      <c r="B45" s="125" t="n">
        <v>45231</v>
      </c>
      <c r="C45" s="21" t="n">
        <f aca="false">G44</f>
        <v>431825.034166495</v>
      </c>
      <c r="D45" s="24" t="n">
        <f aca="false">C45*E$6</f>
        <v>1799.27097569373</v>
      </c>
      <c r="E45" s="25" t="n">
        <f aca="false">E$8-D45</f>
        <v>2154.69715801399</v>
      </c>
      <c r="F45" s="127" t="n">
        <v>0</v>
      </c>
      <c r="G45" s="24" t="n">
        <f aca="false">C45-E45-F45</f>
        <v>429670.337008481</v>
      </c>
      <c r="I45" s="25" t="n">
        <f aca="false">I44+E45</f>
        <v>70329.6629915185</v>
      </c>
      <c r="J45" s="24" t="n">
        <f aca="false">J44+D45</f>
        <v>68059.2216882518</v>
      </c>
    </row>
    <row r="46" customFormat="false" ht="15" hidden="true" customHeight="false" outlineLevel="1" collapsed="false">
      <c r="B46" s="125" t="n">
        <v>45261</v>
      </c>
      <c r="C46" s="21" t="n">
        <f aca="false">G45</f>
        <v>429670.337008481</v>
      </c>
      <c r="D46" s="24" t="n">
        <f aca="false">C46*E$6</f>
        <v>1790.29307086867</v>
      </c>
      <c r="E46" s="25" t="n">
        <f aca="false">E$8-D46</f>
        <v>2163.67506283905</v>
      </c>
      <c r="F46" s="127" t="n">
        <v>0</v>
      </c>
      <c r="G46" s="24" t="n">
        <f aca="false">C46-E46-F46</f>
        <v>427506.661945642</v>
      </c>
      <c r="I46" s="25" t="n">
        <f aca="false">I45+E46</f>
        <v>72493.3380543575</v>
      </c>
      <c r="J46" s="24" t="n">
        <f aca="false">J45+D46</f>
        <v>69849.5147591205</v>
      </c>
    </row>
    <row r="47" customFormat="false" ht="15" hidden="true" customHeight="false" outlineLevel="1" collapsed="false">
      <c r="B47" s="125" t="n">
        <v>45292</v>
      </c>
      <c r="C47" s="21" t="n">
        <f aca="false">G46</f>
        <v>427506.661945642</v>
      </c>
      <c r="D47" s="24" t="n">
        <f aca="false">C47*E$6</f>
        <v>1781.27775810684</v>
      </c>
      <c r="E47" s="25" t="n">
        <f aca="false">E$8-D47</f>
        <v>2172.69037560088</v>
      </c>
      <c r="F47" s="127" t="n">
        <v>0</v>
      </c>
      <c r="G47" s="24" t="n">
        <f aca="false">C47-E47-F47</f>
        <v>425333.971570042</v>
      </c>
      <c r="I47" s="25" t="n">
        <f aca="false">I46+E47</f>
        <v>74666.0284299584</v>
      </c>
      <c r="J47" s="24" t="n">
        <f aca="false">J46+D47</f>
        <v>71630.7925172273</v>
      </c>
    </row>
    <row r="48" customFormat="false" ht="15" hidden="true" customHeight="false" outlineLevel="1" collapsed="false">
      <c r="B48" s="125" t="n">
        <v>45323</v>
      </c>
      <c r="C48" s="21" t="n">
        <f aca="false">G47</f>
        <v>425333.971570042</v>
      </c>
      <c r="D48" s="24" t="n">
        <f aca="false">C48*E$6</f>
        <v>1772.22488154184</v>
      </c>
      <c r="E48" s="25" t="n">
        <f aca="false">E$8-D48</f>
        <v>2181.74325216588</v>
      </c>
      <c r="F48" s="127" t="n">
        <v>0</v>
      </c>
      <c r="G48" s="24" t="n">
        <f aca="false">C48-E48-F48</f>
        <v>423152.228317876</v>
      </c>
      <c r="I48" s="25" t="n">
        <f aca="false">I47+E48</f>
        <v>76847.7716821243</v>
      </c>
      <c r="J48" s="24" t="n">
        <f aca="false">J47+D48</f>
        <v>73403.0173987692</v>
      </c>
    </row>
    <row r="49" customFormat="false" ht="15" hidden="true" customHeight="false" outlineLevel="1" collapsed="false">
      <c r="B49" s="125" t="n">
        <v>45352</v>
      </c>
      <c r="C49" s="21" t="n">
        <f aca="false">G48</f>
        <v>423152.228317876</v>
      </c>
      <c r="D49" s="24" t="n">
        <f aca="false">C49*E$6</f>
        <v>1763.13428465782</v>
      </c>
      <c r="E49" s="25" t="n">
        <f aca="false">E$8-D49</f>
        <v>2190.83384904991</v>
      </c>
      <c r="F49" s="127" t="n">
        <v>0</v>
      </c>
      <c r="G49" s="24" t="n">
        <f aca="false">C49-E49-F49</f>
        <v>420961.394468826</v>
      </c>
      <c r="I49" s="25" t="n">
        <f aca="false">I48+E49</f>
        <v>79038.6055311742</v>
      </c>
      <c r="J49" s="24" t="n">
        <f aca="false">J48+D49</f>
        <v>75166.151683427</v>
      </c>
    </row>
    <row r="50" customFormat="false" ht="15" hidden="true" customHeight="false" outlineLevel="1" collapsed="false">
      <c r="B50" s="125" t="n">
        <v>45383</v>
      </c>
      <c r="C50" s="21" t="n">
        <f aca="false">G49</f>
        <v>420961.394468826</v>
      </c>
      <c r="D50" s="24" t="n">
        <f aca="false">C50*E$6</f>
        <v>1754.00581028677</v>
      </c>
      <c r="E50" s="25" t="n">
        <f aca="false">E$8-D50</f>
        <v>2199.96232342095</v>
      </c>
      <c r="F50" s="127" t="n">
        <v>0</v>
      </c>
      <c r="G50" s="24" t="n">
        <f aca="false">C50-E50-F50</f>
        <v>418761.432145405</v>
      </c>
      <c r="I50" s="25" t="n">
        <f aca="false">I49+E50</f>
        <v>81238.5678545951</v>
      </c>
      <c r="J50" s="24" t="n">
        <f aca="false">J49+D50</f>
        <v>76920.1574937138</v>
      </c>
    </row>
    <row r="51" customFormat="false" ht="15" hidden="true" customHeight="false" outlineLevel="1" collapsed="false">
      <c r="B51" s="125" t="n">
        <v>45413</v>
      </c>
      <c r="C51" s="21" t="n">
        <f aca="false">G50</f>
        <v>418761.432145405</v>
      </c>
      <c r="D51" s="24" t="n">
        <f aca="false">C51*E$6</f>
        <v>1744.83930060585</v>
      </c>
      <c r="E51" s="25" t="n">
        <f aca="false">E$8-D51</f>
        <v>2209.12883310187</v>
      </c>
      <c r="F51" s="127" t="n">
        <v>0</v>
      </c>
      <c r="G51" s="24" t="n">
        <f aca="false">C51-E51-F51</f>
        <v>416552.303312303</v>
      </c>
      <c r="I51" s="25" t="n">
        <f aca="false">I50+E51</f>
        <v>83447.696687697</v>
      </c>
      <c r="J51" s="24" t="n">
        <f aca="false">J50+D51</f>
        <v>78664.9967943196</v>
      </c>
    </row>
    <row r="52" customFormat="false" ht="15" hidden="true" customHeight="false" outlineLevel="1" collapsed="false">
      <c r="B52" s="125" t="n">
        <v>45444</v>
      </c>
      <c r="C52" s="21" t="n">
        <f aca="false">G51</f>
        <v>416552.303312303</v>
      </c>
      <c r="D52" s="24" t="n">
        <f aca="false">C52*E$6</f>
        <v>1735.6345971346</v>
      </c>
      <c r="E52" s="25" t="n">
        <f aca="false">E$8-D52</f>
        <v>2218.33353657313</v>
      </c>
      <c r="F52" s="127" t="n">
        <v>0</v>
      </c>
      <c r="G52" s="24" t="n">
        <f aca="false">C52-E52-F52</f>
        <v>414333.96977573</v>
      </c>
      <c r="I52" s="25" t="n">
        <f aca="false">I51+E52</f>
        <v>85666.0302242701</v>
      </c>
      <c r="J52" s="24" t="n">
        <f aca="false">J51+D52</f>
        <v>80400.6313914542</v>
      </c>
    </row>
    <row r="53" customFormat="false" ht="15" hidden="true" customHeight="false" outlineLevel="1" collapsed="false">
      <c r="B53" s="125" t="n">
        <v>45474</v>
      </c>
      <c r="C53" s="21" t="n">
        <f aca="false">G52</f>
        <v>414333.96977573</v>
      </c>
      <c r="D53" s="24" t="n">
        <f aca="false">C53*E$6</f>
        <v>1726.39154073221</v>
      </c>
      <c r="E53" s="25" t="n">
        <f aca="false">E$8-D53</f>
        <v>2227.57659297552</v>
      </c>
      <c r="F53" s="127" t="n">
        <v>0</v>
      </c>
      <c r="G53" s="24" t="n">
        <f aca="false">C53-E53-F53</f>
        <v>412106.393182754</v>
      </c>
      <c r="I53" s="25" t="n">
        <f aca="false">I52+E53</f>
        <v>87893.6068172456</v>
      </c>
      <c r="J53" s="24" t="n">
        <f aca="false">J52+D53</f>
        <v>82127.0229321864</v>
      </c>
    </row>
    <row r="54" customFormat="false" ht="15" hidden="true" customHeight="false" outlineLevel="1" collapsed="false">
      <c r="B54" s="125" t="n">
        <v>45505</v>
      </c>
      <c r="C54" s="21" t="n">
        <f aca="false">G53</f>
        <v>412106.393182754</v>
      </c>
      <c r="D54" s="24" t="n">
        <f aca="false">C54*E$6</f>
        <v>1717.10997159481</v>
      </c>
      <c r="E54" s="25" t="n">
        <f aca="false">E$8-D54</f>
        <v>2236.85816211291</v>
      </c>
      <c r="F54" s="127" t="n">
        <v>0</v>
      </c>
      <c r="G54" s="24" t="n">
        <f aca="false">C54-E54-F54</f>
        <v>409869.535020641</v>
      </c>
      <c r="I54" s="25" t="n">
        <f aca="false">I53+E54</f>
        <v>90130.4649793586</v>
      </c>
      <c r="J54" s="24" t="n">
        <f aca="false">J53+D54</f>
        <v>83844.1329037812</v>
      </c>
    </row>
    <row r="55" customFormat="false" ht="15" hidden="true" customHeight="false" outlineLevel="1" collapsed="false">
      <c r="B55" s="125" t="n">
        <v>45536</v>
      </c>
      <c r="C55" s="21" t="n">
        <f aca="false">G54</f>
        <v>409869.535020641</v>
      </c>
      <c r="D55" s="24" t="n">
        <f aca="false">C55*E$6</f>
        <v>1707.78972925267</v>
      </c>
      <c r="E55" s="25" t="n">
        <f aca="false">E$8-D55</f>
        <v>2246.17840445505</v>
      </c>
      <c r="F55" s="127" t="n">
        <v>0</v>
      </c>
      <c r="G55" s="24" t="n">
        <f aca="false">C55-E55-F55</f>
        <v>407623.356616186</v>
      </c>
      <c r="I55" s="25" t="n">
        <f aca="false">I54+E55</f>
        <v>92376.6433838136</v>
      </c>
      <c r="J55" s="24" t="n">
        <f aca="false">J54+D55</f>
        <v>85551.9226330339</v>
      </c>
    </row>
    <row r="56" customFormat="false" ht="15" hidden="true" customHeight="false" outlineLevel="1" collapsed="false">
      <c r="B56" s="125" t="n">
        <v>45566</v>
      </c>
      <c r="C56" s="21" t="n">
        <f aca="false">G55</f>
        <v>407623.356616186</v>
      </c>
      <c r="D56" s="24" t="n">
        <f aca="false">C56*E$6</f>
        <v>1698.43065256744</v>
      </c>
      <c r="E56" s="25" t="n">
        <f aca="false">E$8-D56</f>
        <v>2255.53748114028</v>
      </c>
      <c r="F56" s="127" t="n">
        <v>0</v>
      </c>
      <c r="G56" s="24" t="n">
        <f aca="false">C56-E56-F56</f>
        <v>405367.819135046</v>
      </c>
      <c r="I56" s="25" t="n">
        <f aca="false">I55+E56</f>
        <v>94632.1808649539</v>
      </c>
      <c r="J56" s="24" t="n">
        <f aca="false">J55+D56</f>
        <v>87250.3532856014</v>
      </c>
    </row>
    <row r="57" customFormat="false" ht="15" hidden="true" customHeight="false" outlineLevel="1" collapsed="false">
      <c r="B57" s="125" t="n">
        <v>45597</v>
      </c>
      <c r="C57" s="21" t="n">
        <f aca="false">G56</f>
        <v>405367.819135046</v>
      </c>
      <c r="D57" s="24" t="n">
        <f aca="false">C57*E$6</f>
        <v>1689.03257972936</v>
      </c>
      <c r="E57" s="25" t="n">
        <f aca="false">E$8-D57</f>
        <v>2264.93555397836</v>
      </c>
      <c r="F57" s="127" t="n">
        <v>0</v>
      </c>
      <c r="G57" s="24" t="n">
        <f aca="false">C57-E57-F57</f>
        <v>403102.883581068</v>
      </c>
      <c r="I57" s="25" t="n">
        <f aca="false">I56+E57</f>
        <v>96897.1164189322</v>
      </c>
      <c r="J57" s="24" t="n">
        <f aca="false">J56+D57</f>
        <v>88939.3858653307</v>
      </c>
    </row>
    <row r="58" customFormat="false" ht="15" hidden="true" customHeight="false" outlineLevel="1" collapsed="false">
      <c r="B58" s="125" t="n">
        <v>45627</v>
      </c>
      <c r="C58" s="21" t="n">
        <f aca="false">G57</f>
        <v>403102.883581068</v>
      </c>
      <c r="D58" s="24" t="n">
        <f aca="false">C58*E$6</f>
        <v>1679.59534825445</v>
      </c>
      <c r="E58" s="25" t="n">
        <f aca="false">E$8-D58</f>
        <v>2274.37278545328</v>
      </c>
      <c r="F58" s="127" t="n">
        <v>0</v>
      </c>
      <c r="G58" s="24" t="n">
        <f aca="false">C58-E58-F58</f>
        <v>400828.510795614</v>
      </c>
      <c r="I58" s="25" t="n">
        <f aca="false">I57+E58</f>
        <v>99171.4892043855</v>
      </c>
      <c r="J58" s="24" t="n">
        <f aca="false">J57+D58</f>
        <v>90618.9812135852</v>
      </c>
    </row>
    <row r="59" customFormat="false" ht="15" hidden="true" customHeight="false" outlineLevel="1" collapsed="false">
      <c r="B59" s="125" t="n">
        <v>45658</v>
      </c>
      <c r="C59" s="21" t="n">
        <f aca="false">G58</f>
        <v>400828.510795614</v>
      </c>
      <c r="D59" s="24" t="n">
        <f aca="false">C59*E$6</f>
        <v>1670.11879498173</v>
      </c>
      <c r="E59" s="25" t="n">
        <f aca="false">E$8-D59</f>
        <v>2283.849338726</v>
      </c>
      <c r="F59" s="127" t="n">
        <v>0</v>
      </c>
      <c r="G59" s="24" t="n">
        <f aca="false">C59-E59-F59</f>
        <v>398544.661456888</v>
      </c>
      <c r="I59" s="25" t="n">
        <f aca="false">I58+E59</f>
        <v>101455.338543112</v>
      </c>
      <c r="J59" s="24" t="n">
        <f aca="false">J58+D59</f>
        <v>92289.1000085669</v>
      </c>
    </row>
    <row r="60" customFormat="false" ht="15" hidden="true" customHeight="false" outlineLevel="1" collapsed="false">
      <c r="B60" s="125" t="n">
        <v>45689</v>
      </c>
      <c r="C60" s="21" t="n">
        <f aca="false">G59</f>
        <v>398544.661456888</v>
      </c>
      <c r="D60" s="24" t="n">
        <f aca="false">C60*E$6</f>
        <v>1660.60275607037</v>
      </c>
      <c r="E60" s="25" t="n">
        <f aca="false">E$8-D60</f>
        <v>2293.36537763736</v>
      </c>
      <c r="F60" s="127" t="n">
        <v>0</v>
      </c>
      <c r="G60" s="24" t="n">
        <f aca="false">C60-E60-F60</f>
        <v>396251.296079251</v>
      </c>
      <c r="I60" s="25" t="n">
        <f aca="false">I59+E60</f>
        <v>103748.703920749</v>
      </c>
      <c r="J60" s="24" t="n">
        <f aca="false">J59+D60</f>
        <v>93949.7027646372</v>
      </c>
    </row>
    <row r="61" customFormat="false" ht="15" hidden="true" customHeight="false" outlineLevel="1" collapsed="false">
      <c r="B61" s="125" t="n">
        <v>45717</v>
      </c>
      <c r="C61" s="21" t="n">
        <f aca="false">G60</f>
        <v>396251.296079251</v>
      </c>
      <c r="D61" s="24" t="n">
        <f aca="false">C61*E$6</f>
        <v>1651.04706699688</v>
      </c>
      <c r="E61" s="25" t="n">
        <f aca="false">E$8-D61</f>
        <v>2302.92106671084</v>
      </c>
      <c r="F61" s="127" t="n">
        <v>0</v>
      </c>
      <c r="G61" s="24" t="n">
        <f aca="false">C61-E61-F61</f>
        <v>393948.37501254</v>
      </c>
      <c r="I61" s="25" t="n">
        <f aca="false">I60+E61</f>
        <v>106051.62498746</v>
      </c>
      <c r="J61" s="24" t="n">
        <f aca="false">J60+D61</f>
        <v>95600.7498316341</v>
      </c>
    </row>
    <row r="62" customFormat="false" ht="15" hidden="true" customHeight="false" outlineLevel="1" collapsed="false">
      <c r="B62" s="125" t="n">
        <v>45748</v>
      </c>
      <c r="C62" s="21" t="n">
        <f aca="false">G61</f>
        <v>393948.37501254</v>
      </c>
      <c r="D62" s="24" t="n">
        <f aca="false">C62*E$6</f>
        <v>1641.45156255225</v>
      </c>
      <c r="E62" s="25" t="n">
        <f aca="false">E$8-D62</f>
        <v>2312.51657115547</v>
      </c>
      <c r="F62" s="127" t="n">
        <v>0</v>
      </c>
      <c r="G62" s="24" t="n">
        <f aca="false">C62-E62-F62</f>
        <v>391635.858441385</v>
      </c>
      <c r="I62" s="25" t="n">
        <f aca="false">I61+E62</f>
        <v>108364.141558615</v>
      </c>
      <c r="J62" s="24" t="n">
        <f aca="false">J61+D62</f>
        <v>97242.2013941864</v>
      </c>
    </row>
    <row r="63" customFormat="false" ht="15" hidden="true" customHeight="false" outlineLevel="1" collapsed="false">
      <c r="B63" s="125" t="n">
        <v>45778</v>
      </c>
      <c r="C63" s="21" t="n">
        <f aca="false">G62</f>
        <v>391635.858441385</v>
      </c>
      <c r="D63" s="24" t="n">
        <f aca="false">C63*E$6</f>
        <v>1631.8160768391</v>
      </c>
      <c r="E63" s="25" t="n">
        <f aca="false">E$8-D63</f>
        <v>2322.15205686862</v>
      </c>
      <c r="F63" s="127" t="n">
        <v>0</v>
      </c>
      <c r="G63" s="24" t="n">
        <f aca="false">C63-E63-F63</f>
        <v>389313.706384516</v>
      </c>
      <c r="I63" s="25" t="n">
        <f aca="false">I62+E63</f>
        <v>110686.293615484</v>
      </c>
      <c r="J63" s="24" t="n">
        <f aca="false">J62+D63</f>
        <v>98874.0174710255</v>
      </c>
    </row>
    <row r="64" customFormat="false" ht="15" hidden="true" customHeight="false" outlineLevel="1" collapsed="false">
      <c r="B64" s="125" t="n">
        <v>45809</v>
      </c>
      <c r="C64" s="21" t="n">
        <f aca="false">G63</f>
        <v>389313.706384516</v>
      </c>
      <c r="D64" s="24" t="n">
        <f aca="false">C64*E$6</f>
        <v>1622.14044326882</v>
      </c>
      <c r="E64" s="25" t="n">
        <f aca="false">E$8-D64</f>
        <v>2331.82769043891</v>
      </c>
      <c r="F64" s="127" t="n">
        <v>0</v>
      </c>
      <c r="G64" s="24" t="n">
        <f aca="false">C64-E64-F64</f>
        <v>386981.878694077</v>
      </c>
      <c r="I64" s="25" t="n">
        <f aca="false">I63+E64</f>
        <v>113018.121305923</v>
      </c>
      <c r="J64" s="24" t="n">
        <f aca="false">J63+D64</f>
        <v>100496.157914294</v>
      </c>
    </row>
    <row r="65" customFormat="false" ht="15" hidden="true" customHeight="false" outlineLevel="1" collapsed="false">
      <c r="B65" s="125" t="n">
        <v>45839</v>
      </c>
      <c r="C65" s="21" t="n">
        <f aca="false">G64</f>
        <v>386981.878694077</v>
      </c>
      <c r="D65" s="24" t="n">
        <f aca="false">C65*E$6</f>
        <v>1612.42449455865</v>
      </c>
      <c r="E65" s="25" t="n">
        <f aca="false">E$8-D65</f>
        <v>2341.54363914907</v>
      </c>
      <c r="F65" s="127" t="n">
        <v>0</v>
      </c>
      <c r="G65" s="24" t="n">
        <f aca="false">C65-E65-F65</f>
        <v>384640.335054928</v>
      </c>
      <c r="I65" s="25" t="n">
        <f aca="false">I64+E65</f>
        <v>115359.664945072</v>
      </c>
      <c r="J65" s="24" t="n">
        <f aca="false">J64+D65</f>
        <v>102108.582408853</v>
      </c>
    </row>
    <row r="66" customFormat="false" ht="15" hidden="true" customHeight="false" outlineLevel="1" collapsed="false">
      <c r="B66" s="125" t="n">
        <v>45870</v>
      </c>
      <c r="C66" s="21" t="n">
        <f aca="false">G65</f>
        <v>384640.335054928</v>
      </c>
      <c r="D66" s="24" t="n">
        <f aca="false">C66*E$6</f>
        <v>1602.66806272887</v>
      </c>
      <c r="E66" s="25" t="n">
        <f aca="false">E$8-D66</f>
        <v>2351.30007097886</v>
      </c>
      <c r="F66" s="127" t="n">
        <v>0</v>
      </c>
      <c r="G66" s="24" t="n">
        <f aca="false">C66-E66-F66</f>
        <v>382289.034983949</v>
      </c>
      <c r="I66" s="25" t="n">
        <f aca="false">I65+E66</f>
        <v>117710.965016051</v>
      </c>
      <c r="J66" s="24" t="n">
        <f aca="false">J65+D66</f>
        <v>103711.250471582</v>
      </c>
    </row>
    <row r="67" customFormat="false" ht="15" hidden="true" customHeight="false" outlineLevel="1" collapsed="false">
      <c r="B67" s="125" t="n">
        <v>45901</v>
      </c>
      <c r="C67" s="21" t="n">
        <f aca="false">G66</f>
        <v>382289.034983949</v>
      </c>
      <c r="D67" s="24" t="n">
        <f aca="false">C67*E$6</f>
        <v>1592.87097909979</v>
      </c>
      <c r="E67" s="25" t="n">
        <f aca="false">E$8-D67</f>
        <v>2361.09715460793</v>
      </c>
      <c r="F67" s="127" t="n">
        <v>0</v>
      </c>
      <c r="G67" s="24" t="n">
        <f aca="false">C67-E67-F67</f>
        <v>379927.937829341</v>
      </c>
      <c r="I67" s="25" t="n">
        <f aca="false">I66+E67</f>
        <v>120072.062170659</v>
      </c>
      <c r="J67" s="24" t="n">
        <f aca="false">J66+D67</f>
        <v>105304.121450682</v>
      </c>
    </row>
    <row r="68" customFormat="false" ht="15" hidden="true" customHeight="false" outlineLevel="1" collapsed="false">
      <c r="B68" s="125" t="n">
        <v>45931</v>
      </c>
      <c r="C68" s="21" t="n">
        <f aca="false">G67</f>
        <v>379927.937829341</v>
      </c>
      <c r="D68" s="24" t="n">
        <f aca="false">C68*E$6</f>
        <v>1583.03307428892</v>
      </c>
      <c r="E68" s="25" t="n">
        <f aca="false">E$8-D68</f>
        <v>2370.9350594188</v>
      </c>
      <c r="F68" s="127" t="n">
        <v>0</v>
      </c>
      <c r="G68" s="24" t="n">
        <f aca="false">C68-E68-F68</f>
        <v>377557.002769922</v>
      </c>
      <c r="I68" s="25" t="n">
        <f aca="false">I67+E68</f>
        <v>122442.997230077</v>
      </c>
      <c r="J68" s="24" t="n">
        <f aca="false">J67+D68</f>
        <v>106887.154524971</v>
      </c>
    </row>
    <row r="69" customFormat="false" ht="15" hidden="true" customHeight="false" outlineLevel="1" collapsed="false">
      <c r="B69" s="125" t="n">
        <v>45962</v>
      </c>
      <c r="C69" s="21" t="n">
        <f aca="false">G68</f>
        <v>377557.002769922</v>
      </c>
      <c r="D69" s="24" t="n">
        <f aca="false">C69*E$6</f>
        <v>1573.15417820801</v>
      </c>
      <c r="E69" s="25" t="n">
        <f aca="false">E$8-D69</f>
        <v>2380.81395549971</v>
      </c>
      <c r="F69" s="127" t="n">
        <v>0</v>
      </c>
      <c r="G69" s="24" t="n">
        <f aca="false">C69-E69-F69</f>
        <v>375176.188814423</v>
      </c>
      <c r="I69" s="25" t="n">
        <f aca="false">I68+E69</f>
        <v>124823.811185577</v>
      </c>
      <c r="J69" s="24" t="n">
        <f aca="false">J68+D69</f>
        <v>108460.308703179</v>
      </c>
    </row>
    <row r="70" customFormat="false" ht="15" hidden="false" customHeight="false" outlineLevel="0" collapsed="false">
      <c r="A70" s="0" t="s">
        <v>63</v>
      </c>
      <c r="B70" s="125" t="n">
        <v>45992</v>
      </c>
      <c r="C70" s="21" t="n">
        <f aca="false">G69</f>
        <v>375176.188814423</v>
      </c>
      <c r="D70" s="24" t="n">
        <f aca="false">C70*E$6</f>
        <v>1563.23412006009</v>
      </c>
      <c r="E70" s="25" t="n">
        <f aca="false">E$8-D70</f>
        <v>2390.73401364763</v>
      </c>
      <c r="F70" s="126" t="n">
        <v>0</v>
      </c>
      <c r="G70" s="24" t="n">
        <f aca="false">C70-E70-F70</f>
        <v>372785.454800775</v>
      </c>
      <c r="I70" s="25" t="n">
        <f aca="false">I69+E70</f>
        <v>127214.545199225</v>
      </c>
      <c r="J70" s="24" t="n">
        <f aca="false">J69+D70</f>
        <v>110023.542823239</v>
      </c>
    </row>
    <row r="71" customFormat="false" ht="15" hidden="true" customHeight="false" outlineLevel="1" collapsed="false">
      <c r="B71" s="125" t="n">
        <v>46023</v>
      </c>
      <c r="C71" s="21" t="n">
        <f aca="false">G70</f>
        <v>372785.454800775</v>
      </c>
      <c r="D71" s="24" t="n">
        <f aca="false">C71*E$6</f>
        <v>1553.27272833656</v>
      </c>
      <c r="E71" s="25" t="n">
        <f aca="false">E$8-D71</f>
        <v>2400.69540537116</v>
      </c>
      <c r="F71" s="127" t="n">
        <v>0</v>
      </c>
      <c r="G71" s="24" t="n">
        <f aca="false">C71-E71-F71</f>
        <v>370384.759395404</v>
      </c>
      <c r="I71" s="25" t="n">
        <f aca="false">I70+E71</f>
        <v>129615.240604596</v>
      </c>
      <c r="J71" s="24" t="n">
        <f aca="false">J70+D71</f>
        <v>111576.815551575</v>
      </c>
    </row>
    <row r="72" customFormat="false" ht="15" hidden="true" customHeight="false" outlineLevel="1" collapsed="false">
      <c r="B72" s="125" t="n">
        <v>46054</v>
      </c>
      <c r="C72" s="21" t="n">
        <f aca="false">G71</f>
        <v>370384.759395404</v>
      </c>
      <c r="D72" s="24" t="n">
        <f aca="false">C72*E$6</f>
        <v>1543.26983081418</v>
      </c>
      <c r="E72" s="25" t="n">
        <f aca="false">E$8-D72</f>
        <v>2410.69830289354</v>
      </c>
      <c r="F72" s="126" t="n">
        <v>0</v>
      </c>
      <c r="G72" s="24" t="n">
        <f aca="false">C72-E72-F72</f>
        <v>367974.06109251</v>
      </c>
      <c r="I72" s="25" t="n">
        <f aca="false">I71+E72</f>
        <v>132025.938907489</v>
      </c>
      <c r="J72" s="24" t="n">
        <f aca="false">J71+D72</f>
        <v>113120.085382389</v>
      </c>
    </row>
    <row r="73" customFormat="false" ht="15" hidden="true" customHeight="false" outlineLevel="1" collapsed="false">
      <c r="B73" s="125" t="n">
        <v>46082</v>
      </c>
      <c r="C73" s="21" t="n">
        <f aca="false">G72</f>
        <v>367974.06109251</v>
      </c>
      <c r="D73" s="24" t="n">
        <f aca="false">C73*E$6</f>
        <v>1533.22525455213</v>
      </c>
      <c r="E73" s="25" t="n">
        <f aca="false">E$8-D73</f>
        <v>2420.7428791556</v>
      </c>
      <c r="F73" s="127" t="n">
        <v>0</v>
      </c>
      <c r="G73" s="24" t="n">
        <f aca="false">C73-E73-F73</f>
        <v>365553.318213355</v>
      </c>
      <c r="I73" s="25" t="n">
        <f aca="false">I72+E73</f>
        <v>134446.681786645</v>
      </c>
      <c r="J73" s="24" t="n">
        <f aca="false">J72+D73</f>
        <v>114653.310636942</v>
      </c>
    </row>
    <row r="74" customFormat="false" ht="15" hidden="true" customHeight="false" outlineLevel="1" collapsed="false">
      <c r="B74" s="125" t="n">
        <v>46113</v>
      </c>
      <c r="C74" s="21" t="n">
        <f aca="false">G73</f>
        <v>365553.318213355</v>
      </c>
      <c r="D74" s="24" t="n">
        <f aca="false">C74*E$6</f>
        <v>1523.13882588898</v>
      </c>
      <c r="E74" s="25" t="n">
        <f aca="false">E$8-D74</f>
        <v>2430.82930781875</v>
      </c>
      <c r="F74" s="126" t="n">
        <v>0</v>
      </c>
      <c r="G74" s="24" t="n">
        <f aca="false">C74-E74-F74</f>
        <v>363122.488905536</v>
      </c>
      <c r="I74" s="25" t="n">
        <f aca="false">I73+E74</f>
        <v>136877.511094464</v>
      </c>
      <c r="J74" s="24" t="n">
        <f aca="false">J73+D74</f>
        <v>116176.44946283</v>
      </c>
    </row>
    <row r="75" customFormat="false" ht="15" hidden="true" customHeight="false" outlineLevel="1" collapsed="false">
      <c r="B75" s="125" t="n">
        <v>46143</v>
      </c>
      <c r="C75" s="21" t="n">
        <f aca="false">G74</f>
        <v>363122.488905536</v>
      </c>
      <c r="D75" s="24" t="n">
        <f aca="false">C75*E$6</f>
        <v>1513.01037043973</v>
      </c>
      <c r="E75" s="25" t="n">
        <f aca="false">E$8-D75</f>
        <v>2440.95776326799</v>
      </c>
      <c r="F75" s="127" t="n">
        <v>0</v>
      </c>
      <c r="G75" s="24" t="n">
        <f aca="false">C75-E75-F75</f>
        <v>360681.531142268</v>
      </c>
      <c r="I75" s="25" t="n">
        <f aca="false">I74+E75</f>
        <v>139318.468857732</v>
      </c>
      <c r="J75" s="24" t="n">
        <f aca="false">J74+D75</f>
        <v>117689.45983327</v>
      </c>
    </row>
    <row r="76" customFormat="false" ht="15" hidden="true" customHeight="false" outlineLevel="1" collapsed="false">
      <c r="B76" s="125" t="n">
        <v>46174</v>
      </c>
      <c r="C76" s="21" t="n">
        <f aca="false">G75</f>
        <v>360681.531142268</v>
      </c>
      <c r="D76" s="24" t="n">
        <f aca="false">C76*E$6</f>
        <v>1502.83971309278</v>
      </c>
      <c r="E76" s="25" t="n">
        <f aca="false">E$8-D76</f>
        <v>2451.12842061494</v>
      </c>
      <c r="F76" s="126" t="n">
        <v>0</v>
      </c>
      <c r="G76" s="24" t="n">
        <f aca="false">C76-E76-F76</f>
        <v>358230.402721653</v>
      </c>
      <c r="I76" s="25" t="n">
        <f aca="false">I75+E76</f>
        <v>141769.597278347</v>
      </c>
      <c r="J76" s="24" t="n">
        <f aca="false">J75+D76</f>
        <v>119192.299546363</v>
      </c>
    </row>
    <row r="77" customFormat="false" ht="15" hidden="true" customHeight="false" outlineLevel="1" collapsed="false">
      <c r="B77" s="125" t="n">
        <v>46204</v>
      </c>
      <c r="C77" s="21" t="n">
        <f aca="false">G76</f>
        <v>358230.402721653</v>
      </c>
      <c r="D77" s="24" t="n">
        <f aca="false">C77*E$6</f>
        <v>1492.62667800689</v>
      </c>
      <c r="E77" s="25" t="n">
        <f aca="false">E$8-D77</f>
        <v>2461.34145570084</v>
      </c>
      <c r="F77" s="127" t="n">
        <v>0</v>
      </c>
      <c r="G77" s="24" t="n">
        <f aca="false">C77-E77-F77</f>
        <v>355769.061265952</v>
      </c>
      <c r="I77" s="25" t="n">
        <f aca="false">I76+E77</f>
        <v>144230.938734048</v>
      </c>
      <c r="J77" s="24" t="n">
        <f aca="false">J76+D77</f>
        <v>120684.92622437</v>
      </c>
    </row>
    <row r="78" customFormat="false" ht="15" hidden="true" customHeight="false" outlineLevel="1" collapsed="false">
      <c r="B78" s="125" t="n">
        <v>46235</v>
      </c>
      <c r="C78" s="21" t="n">
        <f aca="false">G77</f>
        <v>355769.061265952</v>
      </c>
      <c r="D78" s="24" t="n">
        <f aca="false">C78*E$6</f>
        <v>1482.37108860813</v>
      </c>
      <c r="E78" s="25" t="n">
        <f aca="false">E$8-D78</f>
        <v>2471.59704509959</v>
      </c>
      <c r="F78" s="126" t="n">
        <v>0</v>
      </c>
      <c r="G78" s="24" t="n">
        <f aca="false">C78-E78-F78</f>
        <v>353297.464220853</v>
      </c>
      <c r="I78" s="25" t="n">
        <f aca="false">I77+E78</f>
        <v>146702.535779147</v>
      </c>
      <c r="J78" s="24" t="n">
        <f aca="false">J77+D78</f>
        <v>122167.297312978</v>
      </c>
    </row>
    <row r="79" customFormat="false" ht="15" hidden="true" customHeight="false" outlineLevel="1" collapsed="false">
      <c r="B79" s="125" t="n">
        <v>46266</v>
      </c>
      <c r="C79" s="21" t="n">
        <f aca="false">G78</f>
        <v>353297.464220853</v>
      </c>
      <c r="D79" s="24" t="n">
        <f aca="false">C79*E$6</f>
        <v>1472.07276758689</v>
      </c>
      <c r="E79" s="25" t="n">
        <f aca="false">E$8-D79</f>
        <v>2481.89536612084</v>
      </c>
      <c r="F79" s="127" t="n">
        <v>0</v>
      </c>
      <c r="G79" s="24" t="n">
        <f aca="false">C79-E79-F79</f>
        <v>350815.568854732</v>
      </c>
      <c r="I79" s="25" t="n">
        <f aca="false">I78+E79</f>
        <v>149184.431145268</v>
      </c>
      <c r="J79" s="24" t="n">
        <f aca="false">J78+D79</f>
        <v>123639.370080565</v>
      </c>
    </row>
    <row r="80" customFormat="false" ht="15" hidden="true" customHeight="false" outlineLevel="1" collapsed="false">
      <c r="B80" s="125" t="n">
        <v>46296</v>
      </c>
      <c r="C80" s="21" t="n">
        <f aca="false">G79</f>
        <v>350815.568854732</v>
      </c>
      <c r="D80" s="24" t="n">
        <f aca="false">C80*E$6</f>
        <v>1461.73153689472</v>
      </c>
      <c r="E80" s="25" t="n">
        <f aca="false">E$8-D80</f>
        <v>2492.23659681301</v>
      </c>
      <c r="F80" s="126" t="n">
        <v>0</v>
      </c>
      <c r="G80" s="24" t="n">
        <f aca="false">C80-E80-F80</f>
        <v>348323.332257919</v>
      </c>
      <c r="I80" s="25" t="n">
        <f aca="false">I79+E80</f>
        <v>151676.667742081</v>
      </c>
      <c r="J80" s="24" t="n">
        <f aca="false">J79+D80</f>
        <v>125101.10161746</v>
      </c>
    </row>
    <row r="81" customFormat="false" ht="15" hidden="true" customHeight="false" outlineLevel="1" collapsed="false">
      <c r="B81" s="125" t="n">
        <v>46327</v>
      </c>
      <c r="C81" s="21" t="n">
        <f aca="false">G80</f>
        <v>348323.332257919</v>
      </c>
      <c r="D81" s="24" t="n">
        <f aca="false">C81*E$6</f>
        <v>1451.34721774133</v>
      </c>
      <c r="E81" s="25" t="n">
        <f aca="false">E$8-D81</f>
        <v>2502.62091596639</v>
      </c>
      <c r="F81" s="127" t="n">
        <v>0</v>
      </c>
      <c r="G81" s="24" t="n">
        <f aca="false">C81-E81-F81</f>
        <v>345820.711341952</v>
      </c>
      <c r="I81" s="25" t="n">
        <f aca="false">I80+E81</f>
        <v>154179.288658047</v>
      </c>
      <c r="J81" s="24" t="n">
        <f aca="false">J80+D81</f>
        <v>126552.448835201</v>
      </c>
    </row>
    <row r="82" customFormat="false" ht="15" hidden="true" customHeight="false" outlineLevel="1" collapsed="false">
      <c r="B82" s="125" t="n">
        <v>46357</v>
      </c>
      <c r="C82" s="21" t="n">
        <f aca="false">G81</f>
        <v>345820.711341952</v>
      </c>
      <c r="D82" s="24" t="n">
        <f aca="false">C82*E$6</f>
        <v>1440.91963059147</v>
      </c>
      <c r="E82" s="25" t="n">
        <f aca="false">E$8-D82</f>
        <v>2513.04850311625</v>
      </c>
      <c r="F82" s="126" t="n">
        <v>0</v>
      </c>
      <c r="G82" s="24" t="n">
        <f aca="false">C82-E82-F82</f>
        <v>343307.662838836</v>
      </c>
      <c r="I82" s="25" t="n">
        <f aca="false">I81+E82</f>
        <v>156692.337161164</v>
      </c>
      <c r="J82" s="24" t="n">
        <f aca="false">J81+D82</f>
        <v>127993.368465792</v>
      </c>
    </row>
    <row r="83" customFormat="false" ht="15" hidden="true" customHeight="false" outlineLevel="1" collapsed="false">
      <c r="B83" s="125" t="n">
        <v>46388</v>
      </c>
      <c r="C83" s="21" t="n">
        <f aca="false">G82</f>
        <v>343307.662838836</v>
      </c>
      <c r="D83" s="24" t="n">
        <f aca="false">C83*E$6</f>
        <v>1430.44859516182</v>
      </c>
      <c r="E83" s="25" t="n">
        <f aca="false">E$8-D83</f>
        <v>2523.51953854591</v>
      </c>
      <c r="F83" s="127" t="n">
        <v>0</v>
      </c>
      <c r="G83" s="24" t="n">
        <f aca="false">C83-E83-F83</f>
        <v>340784.14330029</v>
      </c>
      <c r="I83" s="25" t="n">
        <f aca="false">I82+E83</f>
        <v>159215.85669971</v>
      </c>
      <c r="J83" s="24" t="n">
        <f aca="false">J82+D83</f>
        <v>129423.817060954</v>
      </c>
    </row>
    <row r="84" customFormat="false" ht="15" hidden="true" customHeight="false" outlineLevel="1" collapsed="false">
      <c r="B84" s="125" t="n">
        <v>46419</v>
      </c>
      <c r="C84" s="21" t="n">
        <f aca="false">G83</f>
        <v>340784.14330029</v>
      </c>
      <c r="D84" s="24" t="n">
        <f aca="false">C84*E$6</f>
        <v>1419.93393041788</v>
      </c>
      <c r="E84" s="25" t="n">
        <f aca="false">E$8-D84</f>
        <v>2534.03420328985</v>
      </c>
      <c r="F84" s="126" t="n">
        <v>0</v>
      </c>
      <c r="G84" s="24" t="n">
        <f aca="false">C84-E84-F84</f>
        <v>338250.109097</v>
      </c>
      <c r="I84" s="25" t="n">
        <f aca="false">I83+E84</f>
        <v>161749.890902999</v>
      </c>
      <c r="J84" s="24" t="n">
        <f aca="false">J83+D84</f>
        <v>130843.750991372</v>
      </c>
    </row>
    <row r="85" customFormat="false" ht="15" hidden="true" customHeight="false" outlineLevel="1" collapsed="false">
      <c r="B85" s="125" t="n">
        <v>46447</v>
      </c>
      <c r="C85" s="21" t="n">
        <f aca="false">G84</f>
        <v>338250.109097</v>
      </c>
      <c r="D85" s="24" t="n">
        <f aca="false">C85*E$6</f>
        <v>1409.37545457084</v>
      </c>
      <c r="E85" s="25" t="n">
        <f aca="false">E$8-D85</f>
        <v>2544.59267913689</v>
      </c>
      <c r="F85" s="127" t="n">
        <v>0</v>
      </c>
      <c r="G85" s="24" t="n">
        <f aca="false">C85-E85-F85</f>
        <v>335705.516417864</v>
      </c>
      <c r="I85" s="25" t="n">
        <f aca="false">I84+E85</f>
        <v>164294.483582136</v>
      </c>
      <c r="J85" s="24" t="n">
        <f aca="false">J84+D85</f>
        <v>132253.126445943</v>
      </c>
    </row>
    <row r="86" customFormat="false" ht="15" hidden="true" customHeight="false" outlineLevel="1" collapsed="false">
      <c r="B86" s="125" t="n">
        <v>46478</v>
      </c>
      <c r="C86" s="21" t="n">
        <f aca="false">G85</f>
        <v>335705.516417864</v>
      </c>
      <c r="D86" s="24" t="n">
        <f aca="false">C86*E$6</f>
        <v>1398.77298507443</v>
      </c>
      <c r="E86" s="25" t="n">
        <f aca="false">E$8-D86</f>
        <v>2555.19514863329</v>
      </c>
      <c r="F86" s="126" t="n">
        <v>0</v>
      </c>
      <c r="G86" s="24" t="n">
        <f aca="false">C86-E86-F86</f>
        <v>333150.32126923</v>
      </c>
      <c r="I86" s="25" t="n">
        <f aca="false">I85+E86</f>
        <v>166849.67873077</v>
      </c>
      <c r="J86" s="24" t="n">
        <f aca="false">J85+D86</f>
        <v>133651.899431017</v>
      </c>
    </row>
    <row r="87" customFormat="false" ht="15" hidden="true" customHeight="false" outlineLevel="1" collapsed="false">
      <c r="B87" s="125" t="n">
        <v>46508</v>
      </c>
      <c r="C87" s="21" t="n">
        <f aca="false">G86</f>
        <v>333150.32126923</v>
      </c>
      <c r="D87" s="24" t="n">
        <f aca="false">C87*E$6</f>
        <v>1388.12633862179</v>
      </c>
      <c r="E87" s="25" t="n">
        <f aca="false">E$8-D87</f>
        <v>2565.84179508593</v>
      </c>
      <c r="F87" s="127" t="n">
        <v>0</v>
      </c>
      <c r="G87" s="24" t="n">
        <f aca="false">C87-E87-F87</f>
        <v>330584.479474144</v>
      </c>
      <c r="I87" s="25" t="n">
        <f aca="false">I86+E87</f>
        <v>169415.520525856</v>
      </c>
      <c r="J87" s="24" t="n">
        <f aca="false">J86+D87</f>
        <v>135040.025769639</v>
      </c>
    </row>
    <row r="88" customFormat="false" ht="15" hidden="true" customHeight="false" outlineLevel="1" collapsed="false">
      <c r="B88" s="125" t="n">
        <v>46539</v>
      </c>
      <c r="C88" s="21" t="n">
        <f aca="false">G87</f>
        <v>330584.479474144</v>
      </c>
      <c r="D88" s="24" t="n">
        <f aca="false">C88*E$6</f>
        <v>1377.43533114227</v>
      </c>
      <c r="E88" s="25" t="n">
        <f aca="false">E$8-D88</f>
        <v>2576.53280256546</v>
      </c>
      <c r="F88" s="126" t="n">
        <v>0</v>
      </c>
      <c r="G88" s="24" t="n">
        <f aca="false">C88-E88-F88</f>
        <v>328007.946671579</v>
      </c>
      <c r="I88" s="25" t="n">
        <f aca="false">I87+E88</f>
        <v>171992.053328421</v>
      </c>
      <c r="J88" s="24" t="n">
        <f aca="false">J87+D88</f>
        <v>136417.461100781</v>
      </c>
    </row>
    <row r="89" customFormat="false" ht="15" hidden="true" customHeight="false" outlineLevel="1" collapsed="false">
      <c r="B89" s="125" t="n">
        <v>46569</v>
      </c>
      <c r="C89" s="21" t="n">
        <f aca="false">G88</f>
        <v>328007.946671579</v>
      </c>
      <c r="D89" s="24" t="n">
        <f aca="false">C89*E$6</f>
        <v>1366.69977779825</v>
      </c>
      <c r="E89" s="25" t="n">
        <f aca="false">E$8-D89</f>
        <v>2587.26835590948</v>
      </c>
      <c r="F89" s="127" t="n">
        <v>0</v>
      </c>
      <c r="G89" s="24" t="n">
        <f aca="false">C89-E89-F89</f>
        <v>325420.678315669</v>
      </c>
      <c r="I89" s="25" t="n">
        <f aca="false">I88+E89</f>
        <v>174579.32168433</v>
      </c>
      <c r="J89" s="24" t="n">
        <f aca="false">J88+D89</f>
        <v>137784.16087858</v>
      </c>
    </row>
    <row r="90" customFormat="false" ht="15" hidden="true" customHeight="false" outlineLevel="1" collapsed="false">
      <c r="B90" s="125" t="n">
        <v>46600</v>
      </c>
      <c r="C90" s="21" t="n">
        <f aca="false">G89</f>
        <v>325420.678315669</v>
      </c>
      <c r="D90" s="24" t="n">
        <f aca="false">C90*E$6</f>
        <v>1355.91949298196</v>
      </c>
      <c r="E90" s="25" t="n">
        <f aca="false">E$8-D90</f>
        <v>2598.04864072577</v>
      </c>
      <c r="F90" s="126" t="n">
        <v>0</v>
      </c>
      <c r="G90" s="24" t="n">
        <f aca="false">C90-E90-F90</f>
        <v>322822.629674944</v>
      </c>
      <c r="I90" s="25" t="n">
        <f aca="false">I89+E90</f>
        <v>177177.370325056</v>
      </c>
      <c r="J90" s="24" t="n">
        <f aca="false">J89+D90</f>
        <v>139140.080371562</v>
      </c>
    </row>
    <row r="91" customFormat="false" ht="15" hidden="true" customHeight="false" outlineLevel="1" collapsed="false">
      <c r="B91" s="125" t="n">
        <v>46631</v>
      </c>
      <c r="C91" s="21" t="n">
        <f aca="false">G90</f>
        <v>322822.629674944</v>
      </c>
      <c r="D91" s="24" t="n">
        <f aca="false">C91*E$6</f>
        <v>1345.09429031226</v>
      </c>
      <c r="E91" s="25" t="n">
        <f aca="false">E$8-D91</f>
        <v>2608.87384339546</v>
      </c>
      <c r="F91" s="127" t="n">
        <v>0</v>
      </c>
      <c r="G91" s="24" t="n">
        <f aca="false">C91-E91-F91</f>
        <v>320213.755831548</v>
      </c>
      <c r="I91" s="25" t="n">
        <f aca="false">I90+E91</f>
        <v>179786.244168452</v>
      </c>
      <c r="J91" s="24" t="n">
        <f aca="false">J90+D91</f>
        <v>140485.174661874</v>
      </c>
    </row>
    <row r="92" customFormat="false" ht="15" hidden="true" customHeight="false" outlineLevel="1" collapsed="false">
      <c r="B92" s="125" t="n">
        <v>46661</v>
      </c>
      <c r="C92" s="21" t="n">
        <f aca="false">G91</f>
        <v>320213.755831548</v>
      </c>
      <c r="D92" s="24" t="n">
        <f aca="false">C92*E$6</f>
        <v>1334.22398263145</v>
      </c>
      <c r="E92" s="25" t="n">
        <f aca="false">E$8-D92</f>
        <v>2619.74415107627</v>
      </c>
      <c r="F92" s="126" t="n">
        <v>0</v>
      </c>
      <c r="G92" s="24" t="n">
        <f aca="false">C92-E92-F92</f>
        <v>317594.011680472</v>
      </c>
      <c r="I92" s="25" t="n">
        <f aca="false">I91+E92</f>
        <v>182405.988319528</v>
      </c>
      <c r="J92" s="24" t="n">
        <f aca="false">J91+D92</f>
        <v>141819.398644505</v>
      </c>
    </row>
    <row r="93" customFormat="false" ht="15" hidden="true" customHeight="false" outlineLevel="1" collapsed="false">
      <c r="B93" s="125" t="n">
        <v>46692</v>
      </c>
      <c r="C93" s="21" t="n">
        <f aca="false">G92</f>
        <v>317594.011680472</v>
      </c>
      <c r="D93" s="24" t="n">
        <f aca="false">C93*E$6</f>
        <v>1323.30838200197</v>
      </c>
      <c r="E93" s="25" t="n">
        <f aca="false">E$8-D93</f>
        <v>2630.65975170576</v>
      </c>
      <c r="F93" s="127" t="n">
        <v>0</v>
      </c>
      <c r="G93" s="24" t="n">
        <f aca="false">C93-E93-F93</f>
        <v>314963.351928766</v>
      </c>
      <c r="I93" s="25" t="n">
        <f aca="false">I92+E93</f>
        <v>185036.648071234</v>
      </c>
      <c r="J93" s="24" t="n">
        <f aca="false">J92+D93</f>
        <v>143142.707026507</v>
      </c>
    </row>
    <row r="94" customFormat="false" ht="15" hidden="true" customHeight="false" outlineLevel="1" collapsed="false">
      <c r="B94" s="125" t="n">
        <v>46722</v>
      </c>
      <c r="C94" s="21" t="n">
        <f aca="false">G93</f>
        <v>314963.351928766</v>
      </c>
      <c r="D94" s="24" t="n">
        <f aca="false">C94*E$6</f>
        <v>1312.34729970319</v>
      </c>
      <c r="E94" s="25" t="n">
        <f aca="false">E$8-D94</f>
        <v>2641.62083400453</v>
      </c>
      <c r="F94" s="126" t="n">
        <v>0</v>
      </c>
      <c r="G94" s="24" t="n">
        <f aca="false">C94-E94-F94</f>
        <v>312321.731094762</v>
      </c>
      <c r="I94" s="25" t="n">
        <f aca="false">I93+E94</f>
        <v>187678.268905238</v>
      </c>
      <c r="J94" s="24" t="n">
        <f aca="false">J93+D94</f>
        <v>144455.054326211</v>
      </c>
    </row>
    <row r="95" customFormat="false" ht="15" hidden="true" customHeight="false" outlineLevel="1" collapsed="false">
      <c r="B95" s="125" t="n">
        <v>46753</v>
      </c>
      <c r="C95" s="21" t="n">
        <f aca="false">G94</f>
        <v>312321.731094762</v>
      </c>
      <c r="D95" s="24" t="n">
        <f aca="false">C95*E$6</f>
        <v>1301.34054622817</v>
      </c>
      <c r="E95" s="25" t="n">
        <f aca="false">E$8-D95</f>
        <v>2652.62758747955</v>
      </c>
      <c r="F95" s="127" t="n">
        <v>0</v>
      </c>
      <c r="G95" s="24" t="n">
        <f aca="false">C95-E95-F95</f>
        <v>309669.103507282</v>
      </c>
      <c r="I95" s="25" t="n">
        <f aca="false">I94+E95</f>
        <v>190330.896492718</v>
      </c>
      <c r="J95" s="24" t="n">
        <f aca="false">J94+D95</f>
        <v>145756.394872439</v>
      </c>
    </row>
    <row r="96" customFormat="false" ht="15" hidden="true" customHeight="false" outlineLevel="1" collapsed="false">
      <c r="B96" s="125" t="n">
        <v>46784</v>
      </c>
      <c r="C96" s="21" t="n">
        <f aca="false">G95</f>
        <v>309669.103507282</v>
      </c>
      <c r="D96" s="24" t="n">
        <f aca="false">C96*E$6</f>
        <v>1290.28793128034</v>
      </c>
      <c r="E96" s="25" t="n">
        <f aca="false">E$8-D96</f>
        <v>2663.68020242738</v>
      </c>
      <c r="F96" s="126" t="n">
        <v>0</v>
      </c>
      <c r="G96" s="24" t="n">
        <f aca="false">C96-E96-F96</f>
        <v>307005.423304855</v>
      </c>
      <c r="I96" s="25" t="n">
        <f aca="false">I95+E96</f>
        <v>192994.576695145</v>
      </c>
      <c r="J96" s="24" t="n">
        <f aca="false">J95+D96</f>
        <v>147046.682803719</v>
      </c>
    </row>
    <row r="97" customFormat="false" ht="15" hidden="true" customHeight="false" outlineLevel="1" collapsed="false">
      <c r="B97" s="125" t="n">
        <v>46813</v>
      </c>
      <c r="C97" s="21" t="n">
        <f aca="false">G96</f>
        <v>307005.423304855</v>
      </c>
      <c r="D97" s="24" t="n">
        <f aca="false">C97*E$6</f>
        <v>1279.18926377023</v>
      </c>
      <c r="E97" s="25" t="n">
        <f aca="false">E$8-D97</f>
        <v>2674.7788699375</v>
      </c>
      <c r="F97" s="127" t="n">
        <v>0</v>
      </c>
      <c r="G97" s="24" t="n">
        <f aca="false">C97-E97-F97</f>
        <v>304330.644434917</v>
      </c>
      <c r="I97" s="25" t="n">
        <f aca="false">I96+E97</f>
        <v>195669.355565083</v>
      </c>
      <c r="J97" s="24" t="n">
        <f aca="false">J96+D97</f>
        <v>148325.872067489</v>
      </c>
    </row>
    <row r="98" customFormat="false" ht="15" hidden="true" customHeight="false" outlineLevel="1" collapsed="false">
      <c r="B98" s="125" t="n">
        <v>46844</v>
      </c>
      <c r="C98" s="21" t="n">
        <f aca="false">G97</f>
        <v>304330.644434917</v>
      </c>
      <c r="D98" s="24" t="n">
        <f aca="false">C98*E$6</f>
        <v>1268.04435181215</v>
      </c>
      <c r="E98" s="25" t="n">
        <f aca="false">E$8-D98</f>
        <v>2685.92378189557</v>
      </c>
      <c r="F98" s="126" t="n">
        <v>0</v>
      </c>
      <c r="G98" s="24" t="n">
        <f aca="false">C98-E98-F98</f>
        <v>301644.720653022</v>
      </c>
      <c r="I98" s="25" t="n">
        <f aca="false">I97+E98</f>
        <v>198355.279346978</v>
      </c>
      <c r="J98" s="24" t="n">
        <f aca="false">J97+D98</f>
        <v>149593.916419301</v>
      </c>
    </row>
    <row r="99" customFormat="false" ht="15" hidden="true" customHeight="false" outlineLevel="1" collapsed="false">
      <c r="B99" s="125" t="n">
        <v>46874</v>
      </c>
      <c r="C99" s="21" t="n">
        <f aca="false">G98</f>
        <v>301644.720653022</v>
      </c>
      <c r="D99" s="24" t="n">
        <f aca="false">C99*E$6</f>
        <v>1256.85300272092</v>
      </c>
      <c r="E99" s="25" t="n">
        <f aca="false">E$8-D99</f>
        <v>2697.1151309868</v>
      </c>
      <c r="F99" s="127" t="n">
        <v>0</v>
      </c>
      <c r="G99" s="24" t="n">
        <f aca="false">C99-E99-F99</f>
        <v>298947.605522035</v>
      </c>
      <c r="I99" s="25" t="n">
        <f aca="false">I98+E99</f>
        <v>201052.394477965</v>
      </c>
      <c r="J99" s="24" t="n">
        <f aca="false">J98+D99</f>
        <v>150850.769422022</v>
      </c>
    </row>
    <row r="100" customFormat="false" ht="15" hidden="true" customHeight="false" outlineLevel="1" collapsed="false">
      <c r="B100" s="125" t="n">
        <v>46905</v>
      </c>
      <c r="C100" s="21" t="n">
        <f aca="false">G99</f>
        <v>298947.605522035</v>
      </c>
      <c r="D100" s="24" t="n">
        <f aca="false">C100*E$6</f>
        <v>1245.61502300848</v>
      </c>
      <c r="E100" s="25" t="n">
        <f aca="false">E$8-D100</f>
        <v>2708.35311069924</v>
      </c>
      <c r="F100" s="126" t="n">
        <v>0</v>
      </c>
      <c r="G100" s="24" t="n">
        <f aca="false">C100-E100-F100</f>
        <v>296239.252411336</v>
      </c>
      <c r="I100" s="25" t="n">
        <f aca="false">I99+E100</f>
        <v>203760.747588664</v>
      </c>
      <c r="J100" s="24" t="n">
        <f aca="false">J99+D100</f>
        <v>152096.384445031</v>
      </c>
    </row>
    <row r="101" customFormat="false" ht="15" hidden="true" customHeight="false" outlineLevel="1" collapsed="false">
      <c r="B101" s="125" t="n">
        <v>46935</v>
      </c>
      <c r="C101" s="21" t="n">
        <f aca="false">G100</f>
        <v>296239.252411336</v>
      </c>
      <c r="D101" s="24" t="n">
        <f aca="false">C101*E$6</f>
        <v>1234.33021838057</v>
      </c>
      <c r="E101" s="25" t="n">
        <f aca="false">E$8-D101</f>
        <v>2719.63791532716</v>
      </c>
      <c r="F101" s="127" t="n">
        <v>0</v>
      </c>
      <c r="G101" s="24" t="n">
        <f aca="false">C101-E101-F101</f>
        <v>293519.614496008</v>
      </c>
      <c r="I101" s="25" t="n">
        <f aca="false">I100+E101</f>
        <v>206480.385503991</v>
      </c>
      <c r="J101" s="24" t="n">
        <f aca="false">J100+D101</f>
        <v>153330.714663411</v>
      </c>
    </row>
    <row r="102" customFormat="false" ht="15" hidden="true" customHeight="false" outlineLevel="1" collapsed="false">
      <c r="B102" s="125" t="n">
        <v>46966</v>
      </c>
      <c r="C102" s="21" t="n">
        <f aca="false">G101</f>
        <v>293519.614496008</v>
      </c>
      <c r="D102" s="24" t="n">
        <f aca="false">C102*E$6</f>
        <v>1222.99839373337</v>
      </c>
      <c r="E102" s="25" t="n">
        <f aca="false">E$8-D102</f>
        <v>2730.96973997435</v>
      </c>
      <c r="F102" s="126" t="n">
        <v>0</v>
      </c>
      <c r="G102" s="24" t="n">
        <f aca="false">C102-E102-F102</f>
        <v>290788.644756034</v>
      </c>
      <c r="I102" s="25" t="n">
        <f aca="false">I101+E102</f>
        <v>209211.355243966</v>
      </c>
      <c r="J102" s="24" t="n">
        <f aca="false">J101+D102</f>
        <v>154553.713057145</v>
      </c>
    </row>
    <row r="103" customFormat="false" ht="15" hidden="true" customHeight="false" outlineLevel="1" collapsed="false">
      <c r="B103" s="125" t="n">
        <v>46997</v>
      </c>
      <c r="C103" s="21" t="n">
        <f aca="false">G102</f>
        <v>290788.644756034</v>
      </c>
      <c r="D103" s="24" t="n">
        <f aca="false">C103*E$6</f>
        <v>1211.61935315014</v>
      </c>
      <c r="E103" s="25" t="n">
        <f aca="false">E$8-D103</f>
        <v>2742.34878055758</v>
      </c>
      <c r="F103" s="127" t="n">
        <v>0</v>
      </c>
      <c r="G103" s="24" t="n">
        <f aca="false">C103-E103-F103</f>
        <v>288046.295975477</v>
      </c>
      <c r="I103" s="25" t="n">
        <f aca="false">I102+E103</f>
        <v>211953.704024523</v>
      </c>
      <c r="J103" s="24" t="n">
        <f aca="false">J102+D103</f>
        <v>155765.332410295</v>
      </c>
    </row>
    <row r="104" customFormat="false" ht="15" hidden="true" customHeight="false" outlineLevel="1" collapsed="false">
      <c r="B104" s="125" t="n">
        <v>47027</v>
      </c>
      <c r="C104" s="21" t="n">
        <f aca="false">G103</f>
        <v>288046.295975477</v>
      </c>
      <c r="D104" s="24" t="n">
        <f aca="false">C104*E$6</f>
        <v>1200.19289989782</v>
      </c>
      <c r="E104" s="25" t="n">
        <f aca="false">E$8-D104</f>
        <v>2753.7752338099</v>
      </c>
      <c r="F104" s="126" t="n">
        <v>0</v>
      </c>
      <c r="G104" s="24" t="n">
        <f aca="false">C104-E104-F104</f>
        <v>285292.520741667</v>
      </c>
      <c r="I104" s="25" t="n">
        <f aca="false">I103+E104</f>
        <v>214707.479258333</v>
      </c>
      <c r="J104" s="24" t="n">
        <f aca="false">J103+D104</f>
        <v>156965.525310193</v>
      </c>
    </row>
    <row r="105" customFormat="false" ht="15" hidden="true" customHeight="false" outlineLevel="1" collapsed="false">
      <c r="B105" s="125" t="n">
        <v>47058</v>
      </c>
      <c r="C105" s="21" t="n">
        <f aca="false">G104</f>
        <v>285292.520741667</v>
      </c>
      <c r="D105" s="24" t="n">
        <f aca="false">C105*E$6</f>
        <v>1188.71883642361</v>
      </c>
      <c r="E105" s="25" t="n">
        <f aca="false">E$8-D105</f>
        <v>2765.24929728411</v>
      </c>
      <c r="F105" s="127" t="n">
        <v>0</v>
      </c>
      <c r="G105" s="24" t="n">
        <f aca="false">C105-E105-F105</f>
        <v>282527.271444383</v>
      </c>
      <c r="I105" s="25" t="n">
        <f aca="false">I104+E105</f>
        <v>217472.728555617</v>
      </c>
      <c r="J105" s="24" t="n">
        <f aca="false">J104+D105</f>
        <v>158154.244146616</v>
      </c>
    </row>
    <row r="106" customFormat="false" ht="15" hidden="true" customHeight="false" outlineLevel="1" collapsed="false">
      <c r="B106" s="125" t="n">
        <v>47088</v>
      </c>
      <c r="C106" s="21" t="n">
        <f aca="false">G105</f>
        <v>282527.271444383</v>
      </c>
      <c r="D106" s="24" t="n">
        <f aca="false">C106*E$6</f>
        <v>1177.19696435159</v>
      </c>
      <c r="E106" s="25" t="n">
        <f aca="false">E$8-D106</f>
        <v>2776.77116935613</v>
      </c>
      <c r="F106" s="126" t="n">
        <v>0</v>
      </c>
      <c r="G106" s="24" t="n">
        <f aca="false">C106-E106-F106</f>
        <v>279750.500275026</v>
      </c>
      <c r="I106" s="25" t="n">
        <f aca="false">I105+E106</f>
        <v>220249.499724974</v>
      </c>
      <c r="J106" s="24" t="n">
        <f aca="false">J105+D106</f>
        <v>159331.441110968</v>
      </c>
    </row>
    <row r="107" customFormat="false" ht="15" hidden="true" customHeight="false" outlineLevel="1" collapsed="false">
      <c r="B107" s="125" t="n">
        <v>47119</v>
      </c>
      <c r="C107" s="21" t="n">
        <f aca="false">G106</f>
        <v>279750.500275026</v>
      </c>
      <c r="D107" s="24" t="n">
        <f aca="false">C107*E$6</f>
        <v>1165.62708447928</v>
      </c>
      <c r="E107" s="25" t="n">
        <f aca="false">E$8-D107</f>
        <v>2788.34104922845</v>
      </c>
      <c r="F107" s="127" t="n">
        <v>0</v>
      </c>
      <c r="G107" s="24" t="n">
        <f aca="false">C107-E107-F107</f>
        <v>276962.159225798</v>
      </c>
      <c r="I107" s="25" t="n">
        <f aca="false">I106+E107</f>
        <v>223037.840774202</v>
      </c>
      <c r="J107" s="24" t="n">
        <f aca="false">J106+D107</f>
        <v>160497.068195447</v>
      </c>
    </row>
    <row r="108" customFormat="false" ht="15" hidden="true" customHeight="false" outlineLevel="1" collapsed="false">
      <c r="B108" s="125" t="n">
        <v>47150</v>
      </c>
      <c r="C108" s="21" t="n">
        <f aca="false">G107</f>
        <v>276962.159225798</v>
      </c>
      <c r="D108" s="24" t="n">
        <f aca="false">C108*E$6</f>
        <v>1154.00899677416</v>
      </c>
      <c r="E108" s="25" t="n">
        <f aca="false">E$8-D108</f>
        <v>2799.95913693357</v>
      </c>
      <c r="F108" s="126" t="n">
        <v>0</v>
      </c>
      <c r="G108" s="24" t="n">
        <f aca="false">C108-E108-F108</f>
        <v>274162.200088864</v>
      </c>
      <c r="I108" s="25" t="n">
        <f aca="false">I107+E108</f>
        <v>225837.799911136</v>
      </c>
      <c r="J108" s="24" t="n">
        <f aca="false">J107+D108</f>
        <v>161651.077192221</v>
      </c>
    </row>
    <row r="109" customFormat="false" ht="15" hidden="true" customHeight="false" outlineLevel="1" collapsed="false">
      <c r="B109" s="125" t="n">
        <v>47178</v>
      </c>
      <c r="C109" s="21" t="n">
        <f aca="false">G108</f>
        <v>274162.200088864</v>
      </c>
      <c r="D109" s="24" t="n">
        <f aca="false">C109*E$6</f>
        <v>1142.34250037027</v>
      </c>
      <c r="E109" s="25" t="n">
        <f aca="false">E$8-D109</f>
        <v>2811.62563333745</v>
      </c>
      <c r="F109" s="127" t="n">
        <v>0</v>
      </c>
      <c r="G109" s="24" t="n">
        <f aca="false">C109-E109-F109</f>
        <v>271350.574455527</v>
      </c>
      <c r="I109" s="25" t="n">
        <f aca="false">I108+E109</f>
        <v>228649.425544473</v>
      </c>
      <c r="J109" s="24" t="n">
        <f aca="false">J108+D109</f>
        <v>162793.419692592</v>
      </c>
    </row>
    <row r="110" customFormat="false" ht="15" hidden="true" customHeight="false" outlineLevel="1" collapsed="false">
      <c r="B110" s="125" t="n">
        <v>47209</v>
      </c>
      <c r="C110" s="21" t="n">
        <f aca="false">G109</f>
        <v>271350.574455527</v>
      </c>
      <c r="D110" s="24" t="n">
        <f aca="false">C110*E$6</f>
        <v>1130.6273935647</v>
      </c>
      <c r="E110" s="25" t="n">
        <f aca="false">E$8-D110</f>
        <v>2823.34074014303</v>
      </c>
      <c r="F110" s="126" t="n">
        <v>0</v>
      </c>
      <c r="G110" s="24" t="n">
        <f aca="false">C110-E110-F110</f>
        <v>268527.233715384</v>
      </c>
      <c r="I110" s="25" t="n">
        <f aca="false">I109+E110</f>
        <v>231472.766284616</v>
      </c>
      <c r="J110" s="24" t="n">
        <f aca="false">J109+D110</f>
        <v>163924.047086156</v>
      </c>
    </row>
    <row r="111" customFormat="false" ht="15" hidden="true" customHeight="false" outlineLevel="1" collapsed="false">
      <c r="B111" s="125" t="n">
        <v>47239</v>
      </c>
      <c r="C111" s="21" t="n">
        <f aca="false">G110</f>
        <v>268527.233715384</v>
      </c>
      <c r="D111" s="24" t="n">
        <f aca="false">C111*E$6</f>
        <v>1118.8634738141</v>
      </c>
      <c r="E111" s="25" t="n">
        <f aca="false">E$8-D111</f>
        <v>2835.10465989362</v>
      </c>
      <c r="F111" s="127" t="n">
        <v>0</v>
      </c>
      <c r="G111" s="24" t="n">
        <f aca="false">C111-E111-F111</f>
        <v>265692.12905549</v>
      </c>
      <c r="I111" s="25" t="n">
        <f aca="false">I110+E111</f>
        <v>234307.87094451</v>
      </c>
      <c r="J111" s="24" t="n">
        <f aca="false">J110+D111</f>
        <v>165042.91055997</v>
      </c>
    </row>
    <row r="112" customFormat="false" ht="15" hidden="true" customHeight="false" outlineLevel="1" collapsed="false">
      <c r="B112" s="125" t="n">
        <v>47270</v>
      </c>
      <c r="C112" s="21" t="n">
        <f aca="false">G111</f>
        <v>265692.12905549</v>
      </c>
      <c r="D112" s="24" t="n">
        <f aca="false">C112*E$6</f>
        <v>1107.05053773121</v>
      </c>
      <c r="E112" s="25" t="n">
        <f aca="false">E$8-D112</f>
        <v>2846.91759597651</v>
      </c>
      <c r="F112" s="126" t="n">
        <v>0</v>
      </c>
      <c r="G112" s="24" t="n">
        <f aca="false">C112-E112-F112</f>
        <v>262845.211459514</v>
      </c>
      <c r="I112" s="25" t="n">
        <f aca="false">I111+E112</f>
        <v>237154.788540486</v>
      </c>
      <c r="J112" s="24" t="n">
        <f aca="false">J111+D112</f>
        <v>166149.961097702</v>
      </c>
    </row>
    <row r="113" customFormat="false" ht="15" hidden="true" customHeight="false" outlineLevel="1" collapsed="false">
      <c r="B113" s="125" t="n">
        <v>47300</v>
      </c>
      <c r="C113" s="21" t="n">
        <f aca="false">G112</f>
        <v>262845.211459514</v>
      </c>
      <c r="D113" s="24" t="n">
        <f aca="false">C113*E$6</f>
        <v>1095.18838108131</v>
      </c>
      <c r="E113" s="25" t="n">
        <f aca="false">E$8-D113</f>
        <v>2858.77975262642</v>
      </c>
      <c r="F113" s="127" t="n">
        <v>0</v>
      </c>
      <c r="G113" s="24" t="n">
        <f aca="false">C113-E113-F113</f>
        <v>259986.431706887</v>
      </c>
      <c r="I113" s="25" t="n">
        <f aca="false">I112+E113</f>
        <v>240013.568293113</v>
      </c>
      <c r="J113" s="24" t="n">
        <f aca="false">J112+D113</f>
        <v>167245.149478783</v>
      </c>
    </row>
    <row r="114" customFormat="false" ht="15" hidden="true" customHeight="false" outlineLevel="1" collapsed="false">
      <c r="B114" s="125" t="n">
        <v>47331</v>
      </c>
      <c r="C114" s="21" t="n">
        <f aca="false">G113</f>
        <v>259986.431706887</v>
      </c>
      <c r="D114" s="24" t="n">
        <f aca="false">C114*E$6</f>
        <v>1083.2767987787</v>
      </c>
      <c r="E114" s="25" t="n">
        <f aca="false">E$8-D114</f>
        <v>2870.69133492903</v>
      </c>
      <c r="F114" s="126" t="n">
        <v>0</v>
      </c>
      <c r="G114" s="24" t="n">
        <f aca="false">C114-E114-F114</f>
        <v>257115.740371958</v>
      </c>
      <c r="I114" s="25" t="n">
        <f aca="false">I113+E114</f>
        <v>242884.259628042</v>
      </c>
      <c r="J114" s="24" t="n">
        <f aca="false">J113+D114</f>
        <v>168328.426277562</v>
      </c>
    </row>
    <row r="115" customFormat="false" ht="15" hidden="true" customHeight="false" outlineLevel="1" collapsed="false">
      <c r="B115" s="125" t="n">
        <v>47362</v>
      </c>
      <c r="C115" s="21" t="n">
        <f aca="false">G114</f>
        <v>257115.740371958</v>
      </c>
      <c r="D115" s="24" t="n">
        <f aca="false">C115*E$6</f>
        <v>1071.31558488316</v>
      </c>
      <c r="E115" s="25" t="n">
        <f aca="false">E$8-D115</f>
        <v>2882.65254882456</v>
      </c>
      <c r="F115" s="127" t="n">
        <v>0</v>
      </c>
      <c r="G115" s="24" t="n">
        <f aca="false">C115-E115-F115</f>
        <v>254233.087823134</v>
      </c>
      <c r="I115" s="25" t="n">
        <f aca="false">I114+E115</f>
        <v>245766.912176866</v>
      </c>
      <c r="J115" s="24" t="n">
        <f aca="false">J114+D115</f>
        <v>169399.741862445</v>
      </c>
    </row>
    <row r="116" customFormat="false" ht="15" hidden="true" customHeight="false" outlineLevel="1" collapsed="false">
      <c r="B116" s="125" t="n">
        <v>47392</v>
      </c>
      <c r="C116" s="21" t="n">
        <f aca="false">G115</f>
        <v>254233.087823134</v>
      </c>
      <c r="D116" s="24" t="n">
        <f aca="false">C116*E$6</f>
        <v>1059.30453259639</v>
      </c>
      <c r="E116" s="25" t="n">
        <f aca="false">E$8-D116</f>
        <v>2894.66360111133</v>
      </c>
      <c r="F116" s="126" t="n">
        <v>0</v>
      </c>
      <c r="G116" s="24" t="n">
        <f aca="false">C116-E116-F116</f>
        <v>251338.424222022</v>
      </c>
      <c r="I116" s="25" t="n">
        <f aca="false">I115+E116</f>
        <v>248661.575777977</v>
      </c>
      <c r="J116" s="24" t="n">
        <f aca="false">J115+D116</f>
        <v>170459.046395041</v>
      </c>
    </row>
    <row r="117" customFormat="false" ht="15" hidden="true" customHeight="false" outlineLevel="1" collapsed="false">
      <c r="B117" s="125" t="n">
        <v>47423</v>
      </c>
      <c r="C117" s="21" t="n">
        <f aca="false">G116</f>
        <v>251338.424222022</v>
      </c>
      <c r="D117" s="24" t="n">
        <f aca="false">C117*E$6</f>
        <v>1047.24343425843</v>
      </c>
      <c r="E117" s="25" t="n">
        <f aca="false">E$8-D117</f>
        <v>2906.7246994493</v>
      </c>
      <c r="F117" s="127" t="n">
        <v>0</v>
      </c>
      <c r="G117" s="24" t="n">
        <f aca="false">C117-E117-F117</f>
        <v>248431.699522573</v>
      </c>
      <c r="I117" s="25" t="n">
        <f aca="false">I116+E117</f>
        <v>251568.300477427</v>
      </c>
      <c r="J117" s="24" t="n">
        <f aca="false">J116+D117</f>
        <v>171506.2898293</v>
      </c>
    </row>
    <row r="118" customFormat="false" ht="15" hidden="true" customHeight="false" outlineLevel="1" collapsed="false">
      <c r="B118" s="125" t="n">
        <v>47453</v>
      </c>
      <c r="C118" s="21" t="n">
        <f aca="false">G117</f>
        <v>248431.699522573</v>
      </c>
      <c r="D118" s="24" t="n">
        <f aca="false">C118*E$6</f>
        <v>1035.13208134405</v>
      </c>
      <c r="E118" s="25" t="n">
        <f aca="false">E$8-D118</f>
        <v>2918.83605236367</v>
      </c>
      <c r="F118" s="126" t="n">
        <v>0</v>
      </c>
      <c r="G118" s="24" t="n">
        <f aca="false">C118-E118-F118</f>
        <v>245512.863470209</v>
      </c>
      <c r="I118" s="25" t="n">
        <f aca="false">I117+E118</f>
        <v>254487.13652979</v>
      </c>
      <c r="J118" s="24" t="n">
        <f aca="false">J117+D118</f>
        <v>172541.421910644</v>
      </c>
    </row>
    <row r="119" customFormat="false" ht="15" hidden="true" customHeight="false" outlineLevel="1" collapsed="false">
      <c r="B119" s="125" t="n">
        <v>47484</v>
      </c>
      <c r="C119" s="21" t="n">
        <f aca="false">G118</f>
        <v>245512.863470209</v>
      </c>
      <c r="D119" s="24" t="n">
        <f aca="false">C119*E$6</f>
        <v>1022.97026445921</v>
      </c>
      <c r="E119" s="25" t="n">
        <f aca="false">E$8-D119</f>
        <v>2930.99786924852</v>
      </c>
      <c r="F119" s="127" t="n">
        <v>0</v>
      </c>
      <c r="G119" s="24" t="n">
        <f aca="false">C119-E119-F119</f>
        <v>242581.865600961</v>
      </c>
      <c r="I119" s="25" t="n">
        <f aca="false">I118+E119</f>
        <v>257418.134399039</v>
      </c>
      <c r="J119" s="24" t="n">
        <f aca="false">J118+D119</f>
        <v>173564.392175103</v>
      </c>
    </row>
    <row r="120" customFormat="false" ht="15" hidden="true" customHeight="false" outlineLevel="1" collapsed="false">
      <c r="B120" s="125" t="n">
        <v>47515</v>
      </c>
      <c r="C120" s="21" t="n">
        <f aca="false">G119</f>
        <v>242581.865600961</v>
      </c>
      <c r="D120" s="24" t="n">
        <f aca="false">C120*E$6</f>
        <v>1010.75777333734</v>
      </c>
      <c r="E120" s="25" t="n">
        <f aca="false">E$8-D120</f>
        <v>2943.21036037039</v>
      </c>
      <c r="F120" s="126" t="n">
        <v>0</v>
      </c>
      <c r="G120" s="24" t="n">
        <f aca="false">C120-E120-F120</f>
        <v>239638.655240591</v>
      </c>
      <c r="I120" s="25" t="n">
        <f aca="false">I119+E120</f>
        <v>260361.344759409</v>
      </c>
      <c r="J120" s="24" t="n">
        <f aca="false">J119+D120</f>
        <v>174575.14994844</v>
      </c>
    </row>
    <row r="121" customFormat="false" ht="15" hidden="true" customHeight="false" outlineLevel="1" collapsed="false">
      <c r="B121" s="125" t="n">
        <v>47543</v>
      </c>
      <c r="C121" s="21" t="n">
        <f aca="false">G120</f>
        <v>239638.655240591</v>
      </c>
      <c r="D121" s="24" t="n">
        <f aca="false">C121*E$6</f>
        <v>998.494396835794</v>
      </c>
      <c r="E121" s="25" t="n">
        <f aca="false">E$8-D121</f>
        <v>2955.47373687193</v>
      </c>
      <c r="F121" s="127" t="n">
        <v>0</v>
      </c>
      <c r="G121" s="24" t="n">
        <f aca="false">C121-E121-F121</f>
        <v>236683.181503719</v>
      </c>
      <c r="I121" s="25" t="n">
        <f aca="false">I120+E121</f>
        <v>263316.818496281</v>
      </c>
      <c r="J121" s="24" t="n">
        <f aca="false">J120+D121</f>
        <v>175573.644345276</v>
      </c>
    </row>
    <row r="122" customFormat="false" ht="15" hidden="true" customHeight="false" outlineLevel="1" collapsed="false">
      <c r="B122" s="125" t="n">
        <v>47574</v>
      </c>
      <c r="C122" s="21" t="n">
        <f aca="false">G121</f>
        <v>236683.181503719</v>
      </c>
      <c r="D122" s="24" t="n">
        <f aca="false">C122*E$6</f>
        <v>986.179922932161</v>
      </c>
      <c r="E122" s="25" t="n">
        <f aca="false">E$8-D122</f>
        <v>2967.78821077556</v>
      </c>
      <c r="F122" s="126" t="n">
        <v>0</v>
      </c>
      <c r="G122" s="24" t="n">
        <f aca="false">C122-E122-F122</f>
        <v>233715.393292943</v>
      </c>
      <c r="I122" s="25" t="n">
        <f aca="false">I121+E122</f>
        <v>266284.606707057</v>
      </c>
      <c r="J122" s="24" t="n">
        <f aca="false">J121+D122</f>
        <v>176559.824268208</v>
      </c>
    </row>
    <row r="123" customFormat="false" ht="15" hidden="true" customHeight="false" outlineLevel="1" collapsed="false">
      <c r="B123" s="125" t="n">
        <v>47604</v>
      </c>
      <c r="C123" s="21" t="n">
        <f aca="false">G122</f>
        <v>233715.393292943</v>
      </c>
      <c r="D123" s="24" t="n">
        <f aca="false">C123*E$6</f>
        <v>973.814138720596</v>
      </c>
      <c r="E123" s="25" t="n">
        <f aca="false">E$8-D123</f>
        <v>2980.15399498713</v>
      </c>
      <c r="F123" s="127" t="n">
        <v>0</v>
      </c>
      <c r="G123" s="24" t="n">
        <f aca="false">C123-E123-F123</f>
        <v>230735.239297956</v>
      </c>
      <c r="I123" s="25" t="n">
        <f aca="false">I122+E123</f>
        <v>269264.760702044</v>
      </c>
      <c r="J123" s="24" t="n">
        <f aca="false">J122+D123</f>
        <v>177533.638406929</v>
      </c>
    </row>
    <row r="124" customFormat="false" ht="15" hidden="true" customHeight="false" outlineLevel="1" collapsed="false">
      <c r="B124" s="125" t="n">
        <v>47635</v>
      </c>
      <c r="C124" s="21" t="n">
        <f aca="false">G123</f>
        <v>230735.239297956</v>
      </c>
      <c r="D124" s="24" t="n">
        <f aca="false">C124*E$6</f>
        <v>961.39683040815</v>
      </c>
      <c r="E124" s="25" t="n">
        <f aca="false">E$8-D124</f>
        <v>2992.57130329957</v>
      </c>
      <c r="F124" s="126" t="n">
        <v>0</v>
      </c>
      <c r="G124" s="24" t="n">
        <f aca="false">C124-E124-F124</f>
        <v>227742.667994656</v>
      </c>
      <c r="I124" s="25" t="n">
        <f aca="false">I123+E124</f>
        <v>272257.332005344</v>
      </c>
      <c r="J124" s="24" t="n">
        <f aca="false">J123+D124</f>
        <v>178495.035237337</v>
      </c>
    </row>
    <row r="125" customFormat="false" ht="15" hidden="true" customHeight="false" outlineLevel="1" collapsed="false">
      <c r="B125" s="125" t="n">
        <v>47665</v>
      </c>
      <c r="C125" s="21" t="n">
        <f aca="false">G124</f>
        <v>227742.667994656</v>
      </c>
      <c r="D125" s="24" t="n">
        <f aca="false">C125*E$6</f>
        <v>948.927783311068</v>
      </c>
      <c r="E125" s="25" t="n">
        <f aca="false">E$8-D125</f>
        <v>3005.04035039665</v>
      </c>
      <c r="F125" s="127" t="n">
        <v>0</v>
      </c>
      <c r="G125" s="24" t="n">
        <f aca="false">C125-E125-F125</f>
        <v>224737.62764426</v>
      </c>
      <c r="I125" s="25" t="n">
        <f aca="false">I124+E125</f>
        <v>275262.37235574</v>
      </c>
      <c r="J125" s="24" t="n">
        <f aca="false">J124+D125</f>
        <v>179443.963020648</v>
      </c>
    </row>
    <row r="126" customFormat="false" ht="15" hidden="true" customHeight="false" outlineLevel="1" collapsed="false">
      <c r="B126" s="125" t="n">
        <v>47696</v>
      </c>
      <c r="C126" s="21" t="n">
        <f aca="false">G125</f>
        <v>224737.62764426</v>
      </c>
      <c r="D126" s="24" t="n">
        <f aca="false">C126*E$6</f>
        <v>936.406781851082</v>
      </c>
      <c r="E126" s="25" t="n">
        <f aca="false">E$8-D126</f>
        <v>3017.56135185664</v>
      </c>
      <c r="F126" s="126" t="n">
        <v>0</v>
      </c>
      <c r="G126" s="24" t="n">
        <f aca="false">C126-E126-F126</f>
        <v>221720.066292403</v>
      </c>
      <c r="I126" s="25" t="n">
        <f aca="false">I125+E126</f>
        <v>278279.933707597</v>
      </c>
      <c r="J126" s="24" t="n">
        <f aca="false">J125+D126</f>
        <v>180380.369802499</v>
      </c>
    </row>
    <row r="127" customFormat="false" ht="15" hidden="true" customHeight="false" outlineLevel="1" collapsed="false">
      <c r="B127" s="125" t="n">
        <v>47727</v>
      </c>
      <c r="C127" s="21" t="n">
        <f aca="false">G126</f>
        <v>221720.066292403</v>
      </c>
      <c r="D127" s="24" t="n">
        <f aca="false">C127*E$6</f>
        <v>923.83360955168</v>
      </c>
      <c r="E127" s="25" t="n">
        <f aca="false">E$8-D127</f>
        <v>3030.13452415604</v>
      </c>
      <c r="F127" s="127" t="n">
        <v>0</v>
      </c>
      <c r="G127" s="24" t="n">
        <f aca="false">C127-E127-F127</f>
        <v>218689.931768247</v>
      </c>
      <c r="I127" s="25" t="n">
        <f aca="false">I126+E127</f>
        <v>281310.068231753</v>
      </c>
      <c r="J127" s="24" t="n">
        <f aca="false">J126+D127</f>
        <v>181304.203412051</v>
      </c>
    </row>
    <row r="128" customFormat="false" ht="15" hidden="true" customHeight="false" outlineLevel="1" collapsed="false">
      <c r="B128" s="125" t="n">
        <v>47757</v>
      </c>
      <c r="C128" s="21" t="n">
        <f aca="false">G127</f>
        <v>218689.931768247</v>
      </c>
      <c r="D128" s="24" t="n">
        <f aca="false">C128*E$6</f>
        <v>911.208049034363</v>
      </c>
      <c r="E128" s="25" t="n">
        <f aca="false">E$8-D128</f>
        <v>3042.76008467336</v>
      </c>
      <c r="F128" s="126" t="n">
        <v>0</v>
      </c>
      <c r="G128" s="24" t="n">
        <f aca="false">C128-E128-F128</f>
        <v>215647.171683574</v>
      </c>
      <c r="I128" s="25" t="n">
        <f aca="false">I127+E128</f>
        <v>284352.828316426</v>
      </c>
      <c r="J128" s="24" t="n">
        <f aca="false">J127+D128</f>
        <v>182215.411461085</v>
      </c>
    </row>
    <row r="129" customFormat="false" ht="15" hidden="true" customHeight="false" outlineLevel="1" collapsed="false">
      <c r="B129" s="125" t="n">
        <v>47788</v>
      </c>
      <c r="C129" s="21" t="n">
        <f aca="false">G128</f>
        <v>215647.171683574</v>
      </c>
      <c r="D129" s="24" t="n">
        <f aca="false">C129*E$6</f>
        <v>898.52988201489</v>
      </c>
      <c r="E129" s="25" t="n">
        <f aca="false">E$8-D129</f>
        <v>3055.43825169283</v>
      </c>
      <c r="F129" s="127" t="n">
        <v>0</v>
      </c>
      <c r="G129" s="24" t="n">
        <f aca="false">C129-E129-F129</f>
        <v>212591.733431881</v>
      </c>
      <c r="I129" s="25" t="n">
        <f aca="false">I128+E129</f>
        <v>287408.266568119</v>
      </c>
      <c r="J129" s="24" t="n">
        <f aca="false">J128+D129</f>
        <v>183113.9413431</v>
      </c>
    </row>
    <row r="130" customFormat="false" ht="15" hidden="true" customHeight="false" outlineLevel="1" collapsed="false">
      <c r="B130" s="125" t="n">
        <v>47818</v>
      </c>
      <c r="C130" s="21" t="n">
        <f aca="false">G129</f>
        <v>212591.733431881</v>
      </c>
      <c r="D130" s="24" t="n">
        <f aca="false">C130*E$6</f>
        <v>885.798889299504</v>
      </c>
      <c r="E130" s="25" t="n">
        <f aca="false">E$8-D130</f>
        <v>3068.16924440822</v>
      </c>
      <c r="F130" s="126" t="n">
        <v>0</v>
      </c>
      <c r="G130" s="24" t="n">
        <f aca="false">C130-E130-F130</f>
        <v>209523.564187473</v>
      </c>
      <c r="I130" s="25" t="n">
        <f aca="false">I129+E130</f>
        <v>290476.435812527</v>
      </c>
      <c r="J130" s="24" t="n">
        <f aca="false">J129+D130</f>
        <v>183999.7402324</v>
      </c>
    </row>
    <row r="131" customFormat="false" ht="15" hidden="true" customHeight="false" outlineLevel="1" collapsed="false">
      <c r="B131" s="125" t="n">
        <v>47849</v>
      </c>
      <c r="C131" s="21" t="n">
        <f aca="false">G130</f>
        <v>209523.564187473</v>
      </c>
      <c r="D131" s="24" t="n">
        <f aca="false">C131*E$6</f>
        <v>873.014850781136</v>
      </c>
      <c r="E131" s="25" t="n">
        <f aca="false">E$8-D131</f>
        <v>3080.95328292659</v>
      </c>
      <c r="F131" s="127" t="n">
        <v>0</v>
      </c>
      <c r="G131" s="24" t="n">
        <f aca="false">C131-E131-F131</f>
        <v>206442.610904546</v>
      </c>
      <c r="I131" s="25" t="n">
        <f aca="false">I130+E131</f>
        <v>293557.389095454</v>
      </c>
      <c r="J131" s="24" t="n">
        <f aca="false">J130+D131</f>
        <v>184872.755083181</v>
      </c>
    </row>
    <row r="132" customFormat="false" ht="15" hidden="true" customHeight="false" outlineLevel="1" collapsed="false">
      <c r="B132" s="125" t="n">
        <v>47880</v>
      </c>
      <c r="C132" s="21" t="n">
        <f aca="false">G131</f>
        <v>206442.610904546</v>
      </c>
      <c r="D132" s="24" t="n">
        <f aca="false">C132*E$6</f>
        <v>860.177545435609</v>
      </c>
      <c r="E132" s="25" t="n">
        <f aca="false">E$8-D132</f>
        <v>3093.79058827211</v>
      </c>
      <c r="F132" s="126" t="n">
        <v>0</v>
      </c>
      <c r="G132" s="24" t="n">
        <f aca="false">C132-E132-F132</f>
        <v>203348.820316274</v>
      </c>
      <c r="I132" s="25" t="n">
        <f aca="false">I131+E132</f>
        <v>296651.179683726</v>
      </c>
      <c r="J132" s="24" t="n">
        <f aca="false">J131+D132</f>
        <v>185732.932628616</v>
      </c>
    </row>
    <row r="133" customFormat="false" ht="15" hidden="true" customHeight="false" outlineLevel="1" collapsed="false">
      <c r="B133" s="125" t="n">
        <v>47908</v>
      </c>
      <c r="C133" s="21" t="n">
        <f aca="false">G132</f>
        <v>203348.820316274</v>
      </c>
      <c r="D133" s="24" t="n">
        <f aca="false">C133*E$6</f>
        <v>847.286751317808</v>
      </c>
      <c r="E133" s="25" t="n">
        <f aca="false">E$8-D133</f>
        <v>3106.68138238991</v>
      </c>
      <c r="F133" s="127" t="n">
        <v>0</v>
      </c>
      <c r="G133" s="24" t="n">
        <f aca="false">C133-E133-F133</f>
        <v>200242.138933884</v>
      </c>
      <c r="I133" s="25" t="n">
        <f aca="false">I132+E133</f>
        <v>299757.861066116</v>
      </c>
      <c r="J133" s="24" t="n">
        <f aca="false">J132+D133</f>
        <v>186580.219379934</v>
      </c>
    </row>
    <row r="134" customFormat="false" ht="15" hidden="true" customHeight="false" outlineLevel="1" collapsed="false">
      <c r="B134" s="125" t="n">
        <v>47939</v>
      </c>
      <c r="C134" s="21" t="n">
        <f aca="false">G133</f>
        <v>200242.138933884</v>
      </c>
      <c r="D134" s="24" t="n">
        <f aca="false">C134*E$6</f>
        <v>834.34224555785</v>
      </c>
      <c r="E134" s="25" t="n">
        <f aca="false">E$8-D134</f>
        <v>3119.62588814987</v>
      </c>
      <c r="F134" s="126" t="n">
        <v>0</v>
      </c>
      <c r="G134" s="24" t="n">
        <f aca="false">C134-E134-F134</f>
        <v>197122.513045734</v>
      </c>
      <c r="I134" s="25" t="n">
        <f aca="false">I133+E134</f>
        <v>302877.486954266</v>
      </c>
      <c r="J134" s="24" t="n">
        <f aca="false">J133+D134</f>
        <v>187414.561625492</v>
      </c>
    </row>
    <row r="135" customFormat="false" ht="15" hidden="true" customHeight="false" outlineLevel="1" collapsed="false">
      <c r="B135" s="125" t="n">
        <v>47969</v>
      </c>
      <c r="C135" s="21" t="n">
        <f aca="false">G134</f>
        <v>197122.513045734</v>
      </c>
      <c r="D135" s="24" t="n">
        <f aca="false">C135*E$6</f>
        <v>821.343804357226</v>
      </c>
      <c r="E135" s="25" t="n">
        <f aca="false">E$8-D135</f>
        <v>3132.6243293505</v>
      </c>
      <c r="F135" s="127" t="n">
        <v>0</v>
      </c>
      <c r="G135" s="24" t="n">
        <f aca="false">C135-E135-F135</f>
        <v>193989.888716384</v>
      </c>
      <c r="I135" s="25" t="n">
        <f aca="false">I134+E135</f>
        <v>306010.111283616</v>
      </c>
      <c r="J135" s="24" t="n">
        <f aca="false">J134+D135</f>
        <v>188235.905429849</v>
      </c>
    </row>
    <row r="136" customFormat="false" ht="15" hidden="true" customHeight="false" outlineLevel="1" collapsed="false">
      <c r="B136" s="125" t="n">
        <v>48000</v>
      </c>
      <c r="C136" s="21" t="n">
        <f aca="false">G135</f>
        <v>193989.888716384</v>
      </c>
      <c r="D136" s="24" t="n">
        <f aca="false">C136*E$6</f>
        <v>808.291202984932</v>
      </c>
      <c r="E136" s="25" t="n">
        <f aca="false">E$8-D136</f>
        <v>3145.67693072279</v>
      </c>
      <c r="F136" s="126" t="n">
        <v>0</v>
      </c>
      <c r="G136" s="24" t="n">
        <f aca="false">C136-E136-F136</f>
        <v>190844.211785661</v>
      </c>
      <c r="I136" s="25" t="n">
        <f aca="false">I135+E136</f>
        <v>309155.788214339</v>
      </c>
      <c r="J136" s="24" t="n">
        <f aca="false">J135+D136</f>
        <v>189044.196632834</v>
      </c>
    </row>
    <row r="137" customFormat="false" ht="15" hidden="true" customHeight="false" outlineLevel="1" collapsed="false">
      <c r="B137" s="125" t="n">
        <v>48030</v>
      </c>
      <c r="C137" s="21" t="n">
        <f aca="false">G136</f>
        <v>190844.211785661</v>
      </c>
      <c r="D137" s="24" t="n">
        <f aca="false">C137*E$6</f>
        <v>795.184215773587</v>
      </c>
      <c r="E137" s="25" t="n">
        <f aca="false">E$8-D137</f>
        <v>3158.78391793414</v>
      </c>
      <c r="F137" s="127" t="n">
        <v>0</v>
      </c>
      <c r="G137" s="24" t="n">
        <f aca="false">C137-E137-F137</f>
        <v>187685.427867727</v>
      </c>
      <c r="I137" s="25" t="n">
        <f aca="false">I136+E137</f>
        <v>312314.572132273</v>
      </c>
      <c r="J137" s="24" t="n">
        <f aca="false">J136+D137</f>
        <v>189839.380848608</v>
      </c>
    </row>
    <row r="138" customFormat="false" ht="15" hidden="true" customHeight="false" outlineLevel="1" collapsed="false">
      <c r="B138" s="125" t="n">
        <v>48061</v>
      </c>
      <c r="C138" s="21" t="n">
        <f aca="false">G137</f>
        <v>187685.427867727</v>
      </c>
      <c r="D138" s="24" t="n">
        <f aca="false">C138*E$6</f>
        <v>782.022616115528</v>
      </c>
      <c r="E138" s="25" t="n">
        <f aca="false">E$8-D138</f>
        <v>3171.9455175922</v>
      </c>
      <c r="F138" s="126" t="n">
        <v>0</v>
      </c>
      <c r="G138" s="24" t="n">
        <f aca="false">C138-E138-F138</f>
        <v>184513.482350135</v>
      </c>
      <c r="I138" s="25" t="n">
        <f aca="false">I137+E138</f>
        <v>315486.517649865</v>
      </c>
      <c r="J138" s="24" t="n">
        <f aca="false">J137+D138</f>
        <v>190621.403464723</v>
      </c>
    </row>
    <row r="139" customFormat="false" ht="15" hidden="true" customHeight="false" outlineLevel="1" collapsed="false">
      <c r="B139" s="125" t="n">
        <v>48092</v>
      </c>
      <c r="C139" s="21" t="n">
        <f aca="false">G138</f>
        <v>184513.482350135</v>
      </c>
      <c r="D139" s="24" t="n">
        <f aca="false">C139*E$6</f>
        <v>768.806176458894</v>
      </c>
      <c r="E139" s="25" t="n">
        <f aca="false">E$8-D139</f>
        <v>3185.16195724883</v>
      </c>
      <c r="F139" s="127" t="n">
        <v>0</v>
      </c>
      <c r="G139" s="24" t="n">
        <f aca="false">C139-E139-F139</f>
        <v>181328.320392886</v>
      </c>
      <c r="I139" s="25" t="n">
        <f aca="false">I138+E139</f>
        <v>318671.679607114</v>
      </c>
      <c r="J139" s="24" t="n">
        <f aca="false">J138+D139</f>
        <v>191390.209641182</v>
      </c>
    </row>
    <row r="140" customFormat="false" ht="15" hidden="true" customHeight="false" outlineLevel="1" collapsed="false">
      <c r="B140" s="125" t="n">
        <v>48122</v>
      </c>
      <c r="C140" s="21" t="n">
        <f aca="false">G139</f>
        <v>181328.320392886</v>
      </c>
      <c r="D140" s="24" t="n">
        <f aca="false">C140*E$6</f>
        <v>755.53466830369</v>
      </c>
      <c r="E140" s="25" t="n">
        <f aca="false">E$8-D140</f>
        <v>3198.43346540403</v>
      </c>
      <c r="F140" s="126" t="n">
        <v>0</v>
      </c>
      <c r="G140" s="24" t="n">
        <f aca="false">C140-E140-F140</f>
        <v>178129.886927482</v>
      </c>
      <c r="I140" s="25" t="n">
        <f aca="false">I139+E140</f>
        <v>321870.113072518</v>
      </c>
      <c r="J140" s="24" t="n">
        <f aca="false">J139+D140</f>
        <v>192145.744309486</v>
      </c>
    </row>
    <row r="141" customFormat="false" ht="15" hidden="true" customHeight="false" outlineLevel="1" collapsed="false">
      <c r="B141" s="125" t="n">
        <v>48153</v>
      </c>
      <c r="C141" s="21" t="n">
        <f aca="false">G140</f>
        <v>178129.886927482</v>
      </c>
      <c r="D141" s="24" t="n">
        <f aca="false">C141*E$6</f>
        <v>742.20786219784</v>
      </c>
      <c r="E141" s="25" t="n">
        <f aca="false">E$8-D141</f>
        <v>3211.76027150988</v>
      </c>
      <c r="F141" s="127" t="n">
        <v>0</v>
      </c>
      <c r="G141" s="24" t="n">
        <f aca="false">C141-E141-F141</f>
        <v>174918.126655972</v>
      </c>
      <c r="I141" s="25" t="n">
        <f aca="false">I140+E141</f>
        <v>325081.873344028</v>
      </c>
      <c r="J141" s="24" t="n">
        <f aca="false">J140+D141</f>
        <v>192887.952171684</v>
      </c>
    </row>
    <row r="142" customFormat="false" ht="15" hidden="true" customHeight="false" outlineLevel="1" collapsed="false">
      <c r="B142" s="125" t="n">
        <v>48183</v>
      </c>
      <c r="C142" s="21" t="n">
        <f aca="false">G141</f>
        <v>174918.126655972</v>
      </c>
      <c r="D142" s="24" t="n">
        <f aca="false">C142*E$6</f>
        <v>728.825527733216</v>
      </c>
      <c r="E142" s="25" t="n">
        <f aca="false">E$8-D142</f>
        <v>3225.14260597451</v>
      </c>
      <c r="F142" s="126" t="n">
        <v>0</v>
      </c>
      <c r="G142" s="24" t="n">
        <f aca="false">C142-E142-F142</f>
        <v>171692.984049997</v>
      </c>
      <c r="I142" s="25" t="n">
        <f aca="false">I141+E142</f>
        <v>328307.015950003</v>
      </c>
      <c r="J142" s="24" t="n">
        <f aca="false">J141+D142</f>
        <v>193616.777699417</v>
      </c>
    </row>
    <row r="143" customFormat="false" ht="15" hidden="true" customHeight="false" outlineLevel="1" collapsed="false">
      <c r="B143" s="125" t="n">
        <v>48214</v>
      </c>
      <c r="C143" s="21" t="n">
        <f aca="false">G142</f>
        <v>171692.984049997</v>
      </c>
      <c r="D143" s="24" t="n">
        <f aca="false">C143*E$6</f>
        <v>715.387433541655</v>
      </c>
      <c r="E143" s="25" t="n">
        <f aca="false">E$8-D143</f>
        <v>3238.58070016607</v>
      </c>
      <c r="F143" s="127" t="n">
        <v>0</v>
      </c>
      <c r="G143" s="24" t="n">
        <f aca="false">C143-E143-F143</f>
        <v>168454.403349831</v>
      </c>
      <c r="I143" s="25" t="n">
        <f aca="false">I142+E143</f>
        <v>331545.596650169</v>
      </c>
      <c r="J143" s="24" t="n">
        <f aca="false">J142+D143</f>
        <v>194332.165132958</v>
      </c>
    </row>
    <row r="144" customFormat="false" ht="15" hidden="true" customHeight="false" outlineLevel="1" collapsed="false">
      <c r="B144" s="125" t="n">
        <v>48245</v>
      </c>
      <c r="C144" s="21" t="n">
        <f aca="false">G143</f>
        <v>168454.403349831</v>
      </c>
      <c r="D144" s="24" t="n">
        <f aca="false">C144*E$6</f>
        <v>701.893347290963</v>
      </c>
      <c r="E144" s="25" t="n">
        <f aca="false">E$8-D144</f>
        <v>3252.07478641676</v>
      </c>
      <c r="F144" s="126" t="n">
        <v>0</v>
      </c>
      <c r="G144" s="24" t="n">
        <f aca="false">C144-E144-F144</f>
        <v>165202.328563414</v>
      </c>
      <c r="I144" s="25" t="n">
        <f aca="false">I143+E144</f>
        <v>334797.671436585</v>
      </c>
      <c r="J144" s="24" t="n">
        <f aca="false">J143+D144</f>
        <v>195034.058480249</v>
      </c>
    </row>
    <row r="145" customFormat="false" ht="15" hidden="true" customHeight="false" outlineLevel="1" collapsed="false">
      <c r="B145" s="125" t="n">
        <v>48274</v>
      </c>
      <c r="C145" s="21" t="n">
        <f aca="false">G144</f>
        <v>165202.328563414</v>
      </c>
      <c r="D145" s="24" t="n">
        <f aca="false">C145*E$6</f>
        <v>688.343035680894</v>
      </c>
      <c r="E145" s="25" t="n">
        <f aca="false">E$8-D145</f>
        <v>3265.62509802683</v>
      </c>
      <c r="F145" s="127" t="n">
        <v>0</v>
      </c>
      <c r="G145" s="24" t="n">
        <f aca="false">C145-E145-F145</f>
        <v>161936.703465388</v>
      </c>
      <c r="I145" s="25" t="n">
        <f aca="false">I144+E145</f>
        <v>338063.296534612</v>
      </c>
      <c r="J145" s="24" t="n">
        <f aca="false">J144+D145</f>
        <v>195722.40151593</v>
      </c>
    </row>
    <row r="146" customFormat="false" ht="15" hidden="true" customHeight="false" outlineLevel="1" collapsed="false">
      <c r="B146" s="125" t="n">
        <v>48305</v>
      </c>
      <c r="C146" s="21" t="n">
        <f aca="false">G145</f>
        <v>161936.703465388</v>
      </c>
      <c r="D146" s="24" t="n">
        <f aca="false">C146*E$6</f>
        <v>674.736264439115</v>
      </c>
      <c r="E146" s="25" t="n">
        <f aca="false">E$8-D146</f>
        <v>3279.23186926861</v>
      </c>
      <c r="F146" s="126" t="n">
        <v>0</v>
      </c>
      <c r="G146" s="24" t="n">
        <f aca="false">C146-E146-F146</f>
        <v>158657.471596119</v>
      </c>
      <c r="I146" s="25" t="n">
        <f aca="false">I145+E146</f>
        <v>341342.528403881</v>
      </c>
      <c r="J146" s="24" t="n">
        <f aca="false">J145+D146</f>
        <v>196397.137780369</v>
      </c>
    </row>
    <row r="147" customFormat="false" ht="15" hidden="true" customHeight="false" outlineLevel="1" collapsed="false">
      <c r="B147" s="125" t="n">
        <v>48335</v>
      </c>
      <c r="C147" s="21" t="n">
        <f aca="false">G146</f>
        <v>158657.471596119</v>
      </c>
      <c r="D147" s="24" t="n">
        <f aca="false">C147*E$6</f>
        <v>661.072798317163</v>
      </c>
      <c r="E147" s="25" t="n">
        <f aca="false">E$8-D147</f>
        <v>3292.89533539056</v>
      </c>
      <c r="F147" s="127" t="n">
        <v>0</v>
      </c>
      <c r="G147" s="24" t="n">
        <f aca="false">C147-E147-F147</f>
        <v>155364.576260728</v>
      </c>
      <c r="I147" s="25" t="n">
        <f aca="false">I146+E147</f>
        <v>344635.423739271</v>
      </c>
      <c r="J147" s="24" t="n">
        <f aca="false">J146+D147</f>
        <v>197058.210578687</v>
      </c>
    </row>
    <row r="148" customFormat="false" ht="15" hidden="true" customHeight="false" outlineLevel="1" collapsed="false">
      <c r="B148" s="125" t="n">
        <v>48366</v>
      </c>
      <c r="C148" s="21" t="n">
        <f aca="false">G147</f>
        <v>155364.576260728</v>
      </c>
      <c r="D148" s="24" t="n">
        <f aca="false">C148*E$6</f>
        <v>647.352401086369</v>
      </c>
      <c r="E148" s="25" t="n">
        <f aca="false">E$8-D148</f>
        <v>3306.61573262135</v>
      </c>
      <c r="F148" s="126" t="n">
        <v>0</v>
      </c>
      <c r="G148" s="24" t="n">
        <f aca="false">C148-E148-F148</f>
        <v>152057.960528107</v>
      </c>
      <c r="I148" s="25" t="n">
        <f aca="false">I147+E148</f>
        <v>347942.039471893</v>
      </c>
      <c r="J148" s="24" t="n">
        <f aca="false">J147+D148</f>
        <v>197705.562979773</v>
      </c>
    </row>
    <row r="149" customFormat="false" ht="15" hidden="true" customHeight="false" outlineLevel="1" collapsed="false">
      <c r="B149" s="125" t="n">
        <v>48396</v>
      </c>
      <c r="C149" s="21" t="n">
        <f aca="false">G148</f>
        <v>152057.960528107</v>
      </c>
      <c r="D149" s="24" t="n">
        <f aca="false">C149*E$6</f>
        <v>633.57483553378</v>
      </c>
      <c r="E149" s="25" t="n">
        <f aca="false">E$8-D149</f>
        <v>3320.39329817394</v>
      </c>
      <c r="F149" s="127" t="n">
        <v>0</v>
      </c>
      <c r="G149" s="24" t="n">
        <f aca="false">C149-E149-F149</f>
        <v>148737.567229933</v>
      </c>
      <c r="I149" s="25" t="n">
        <f aca="false">I148+E149</f>
        <v>351262.432770067</v>
      </c>
      <c r="J149" s="24" t="n">
        <f aca="false">J148+D149</f>
        <v>198339.137815307</v>
      </c>
    </row>
    <row r="150" customFormat="false" ht="15" hidden="true" customHeight="false" outlineLevel="1" collapsed="false">
      <c r="B150" s="125" t="n">
        <v>48427</v>
      </c>
      <c r="C150" s="21" t="n">
        <f aca="false">G149</f>
        <v>148737.567229933</v>
      </c>
      <c r="D150" s="24" t="n">
        <f aca="false">C150*E$6</f>
        <v>619.739863458055</v>
      </c>
      <c r="E150" s="25" t="n">
        <f aca="false">E$8-D150</f>
        <v>3334.22827024967</v>
      </c>
      <c r="F150" s="126" t="n">
        <v>0</v>
      </c>
      <c r="G150" s="24" t="n">
        <f aca="false">C150-E150-F150</f>
        <v>145403.338959684</v>
      </c>
      <c r="I150" s="25" t="n">
        <f aca="false">I149+E150</f>
        <v>354596.661040316</v>
      </c>
      <c r="J150" s="24" t="n">
        <f aca="false">J149+D150</f>
        <v>198958.877678765</v>
      </c>
    </row>
    <row r="151" customFormat="false" ht="15" hidden="true" customHeight="false" outlineLevel="1" collapsed="false">
      <c r="B151" s="125" t="n">
        <v>48458</v>
      </c>
      <c r="C151" s="21" t="n">
        <f aca="false">G150</f>
        <v>145403.338959684</v>
      </c>
      <c r="D151" s="24" t="n">
        <f aca="false">C151*E$6</f>
        <v>605.847245665348</v>
      </c>
      <c r="E151" s="25" t="n">
        <f aca="false">E$8-D151</f>
        <v>3348.12088804237</v>
      </c>
      <c r="F151" s="127" t="n">
        <v>0</v>
      </c>
      <c r="G151" s="24" t="n">
        <f aca="false">C151-E151-F151</f>
        <v>142055.218071641</v>
      </c>
      <c r="I151" s="25" t="n">
        <f aca="false">I150+E151</f>
        <v>357944.781928359</v>
      </c>
      <c r="J151" s="24" t="n">
        <f aca="false">J150+D151</f>
        <v>199564.72492443</v>
      </c>
    </row>
    <row r="152" customFormat="false" ht="15" hidden="true" customHeight="false" outlineLevel="1" collapsed="false">
      <c r="B152" s="125" t="n">
        <v>48488</v>
      </c>
      <c r="C152" s="21" t="n">
        <f aca="false">G151</f>
        <v>142055.218071641</v>
      </c>
      <c r="D152" s="24" t="n">
        <f aca="false">C152*E$6</f>
        <v>591.896741965171</v>
      </c>
      <c r="E152" s="25" t="n">
        <f aca="false">E$8-D152</f>
        <v>3362.07139174255</v>
      </c>
      <c r="F152" s="126" t="n">
        <v>0</v>
      </c>
      <c r="G152" s="24" t="n">
        <f aca="false">C152-E152-F152</f>
        <v>138693.146679899</v>
      </c>
      <c r="I152" s="25" t="n">
        <f aca="false">I151+E152</f>
        <v>361306.853320101</v>
      </c>
      <c r="J152" s="24" t="n">
        <f aca="false">J151+D152</f>
        <v>200156.621666395</v>
      </c>
    </row>
    <row r="153" customFormat="false" ht="15" hidden="true" customHeight="false" outlineLevel="1" collapsed="false">
      <c r="B153" s="125" t="n">
        <v>48519</v>
      </c>
      <c r="C153" s="21" t="n">
        <f aca="false">G152</f>
        <v>138693.146679899</v>
      </c>
      <c r="D153" s="24" t="n">
        <f aca="false">C153*E$6</f>
        <v>577.888111166244</v>
      </c>
      <c r="E153" s="25" t="n">
        <f aca="false">E$8-D153</f>
        <v>3376.08002254148</v>
      </c>
      <c r="F153" s="127" t="n">
        <v>0</v>
      </c>
      <c r="G153" s="24" t="n">
        <f aca="false">C153-E153-F153</f>
        <v>135317.066657357</v>
      </c>
      <c r="I153" s="25" t="n">
        <f aca="false">I152+E153</f>
        <v>364682.933342643</v>
      </c>
      <c r="J153" s="24" t="n">
        <f aca="false">J152+D153</f>
        <v>200734.509777562</v>
      </c>
    </row>
    <row r="154" customFormat="false" ht="15" hidden="true" customHeight="false" outlineLevel="1" collapsed="false">
      <c r="B154" s="125" t="n">
        <v>48549</v>
      </c>
      <c r="C154" s="21" t="n">
        <f aca="false">G153</f>
        <v>135317.066657357</v>
      </c>
      <c r="D154" s="24" t="n">
        <f aca="false">C154*E$6</f>
        <v>563.821111072321</v>
      </c>
      <c r="E154" s="25" t="n">
        <f aca="false">E$8-D154</f>
        <v>3390.1470226354</v>
      </c>
      <c r="F154" s="126" t="n">
        <v>0</v>
      </c>
      <c r="G154" s="24" t="n">
        <f aca="false">C154-E154-F154</f>
        <v>131926.919634722</v>
      </c>
      <c r="I154" s="25" t="n">
        <f aca="false">I153+E154</f>
        <v>368073.080365278</v>
      </c>
      <c r="J154" s="24" t="n">
        <f aca="false">J153+D154</f>
        <v>201298.330888634</v>
      </c>
    </row>
    <row r="155" customFormat="false" ht="15" hidden="true" customHeight="false" outlineLevel="1" collapsed="false">
      <c r="B155" s="125" t="n">
        <v>48580</v>
      </c>
      <c r="C155" s="21" t="n">
        <f aca="false">G154</f>
        <v>131926.919634722</v>
      </c>
      <c r="D155" s="24" t="n">
        <f aca="false">C155*E$6</f>
        <v>549.695498478007</v>
      </c>
      <c r="E155" s="25" t="n">
        <f aca="false">E$8-D155</f>
        <v>3404.27263522972</v>
      </c>
      <c r="F155" s="127" t="n">
        <v>0</v>
      </c>
      <c r="G155" s="24" t="n">
        <f aca="false">C155-E155-F155</f>
        <v>128522.646999492</v>
      </c>
      <c r="I155" s="25" t="n">
        <f aca="false">I154+E155</f>
        <v>371477.353000508</v>
      </c>
      <c r="J155" s="24" t="n">
        <f aca="false">J154+D155</f>
        <v>201848.026387112</v>
      </c>
    </row>
    <row r="156" customFormat="false" ht="15" hidden="true" customHeight="false" outlineLevel="1" collapsed="false">
      <c r="B156" s="125" t="n">
        <v>48611</v>
      </c>
      <c r="C156" s="21" t="n">
        <f aca="false">G155</f>
        <v>128522.646999492</v>
      </c>
      <c r="D156" s="24" t="n">
        <f aca="false">C156*E$6</f>
        <v>535.51102916455</v>
      </c>
      <c r="E156" s="25" t="n">
        <f aca="false">E$8-D156</f>
        <v>3418.45710454317</v>
      </c>
      <c r="F156" s="126" t="n">
        <v>0</v>
      </c>
      <c r="G156" s="24" t="n">
        <f aca="false">C156-E156-F156</f>
        <v>125104.189894949</v>
      </c>
      <c r="I156" s="25" t="n">
        <f aca="false">I155+E156</f>
        <v>374895.810105051</v>
      </c>
      <c r="J156" s="24" t="n">
        <f aca="false">J155+D156</f>
        <v>202383.537416276</v>
      </c>
    </row>
    <row r="157" customFormat="false" ht="15" hidden="true" customHeight="false" outlineLevel="1" collapsed="false">
      <c r="B157" s="125" t="n">
        <v>48639</v>
      </c>
      <c r="C157" s="21" t="n">
        <f aca="false">G156</f>
        <v>125104.189894949</v>
      </c>
      <c r="D157" s="24" t="n">
        <f aca="false">C157*E$6</f>
        <v>521.26745789562</v>
      </c>
      <c r="E157" s="25" t="n">
        <f aca="false">E$8-D157</f>
        <v>3432.7006758121</v>
      </c>
      <c r="F157" s="127" t="n">
        <v>0</v>
      </c>
      <c r="G157" s="24" t="n">
        <f aca="false">C157-E157-F157</f>
        <v>121671.489219137</v>
      </c>
      <c r="I157" s="25" t="n">
        <f aca="false">I156+E157</f>
        <v>378328.510780863</v>
      </c>
      <c r="J157" s="24" t="n">
        <f aca="false">J156+D157</f>
        <v>202904.804874172</v>
      </c>
    </row>
    <row r="158" customFormat="false" ht="15" hidden="true" customHeight="false" outlineLevel="1" collapsed="false">
      <c r="B158" s="125" t="n">
        <v>48670</v>
      </c>
      <c r="C158" s="21" t="n">
        <f aca="false">G157</f>
        <v>121671.489219137</v>
      </c>
      <c r="D158" s="24" t="n">
        <f aca="false">C158*E$6</f>
        <v>506.96453841307</v>
      </c>
      <c r="E158" s="25" t="n">
        <f aca="false">E$8-D158</f>
        <v>3447.00359529465</v>
      </c>
      <c r="F158" s="126" t="n">
        <v>0</v>
      </c>
      <c r="G158" s="24" t="n">
        <f aca="false">C158-E158-F158</f>
        <v>118224.485623842</v>
      </c>
      <c r="I158" s="25" t="n">
        <f aca="false">I157+E158</f>
        <v>381775.514376158</v>
      </c>
      <c r="J158" s="24" t="n">
        <f aca="false">J157+D158</f>
        <v>203411.769412585</v>
      </c>
    </row>
    <row r="159" customFormat="false" ht="15" hidden="true" customHeight="false" outlineLevel="1" collapsed="false">
      <c r="B159" s="125" t="n">
        <v>48700</v>
      </c>
      <c r="C159" s="21" t="n">
        <f aca="false">G158</f>
        <v>118224.485623842</v>
      </c>
      <c r="D159" s="24" t="n">
        <f aca="false">C159*E$6</f>
        <v>492.602023432675</v>
      </c>
      <c r="E159" s="25" t="n">
        <f aca="false">E$8-D159</f>
        <v>3461.36611027505</v>
      </c>
      <c r="F159" s="127" t="n">
        <v>0</v>
      </c>
      <c r="G159" s="24" t="n">
        <f aca="false">C159-E159-F159</f>
        <v>114763.119513567</v>
      </c>
      <c r="I159" s="25" t="n">
        <f aca="false">I158+E159</f>
        <v>385236.880486433</v>
      </c>
      <c r="J159" s="24" t="n">
        <f aca="false">J158+D159</f>
        <v>203904.371436018</v>
      </c>
    </row>
    <row r="160" customFormat="false" ht="15" hidden="true" customHeight="false" outlineLevel="1" collapsed="false">
      <c r="B160" s="125" t="n">
        <v>48731</v>
      </c>
      <c r="C160" s="21" t="n">
        <f aca="false">G159</f>
        <v>114763.119513567</v>
      </c>
      <c r="D160" s="24" t="n">
        <f aca="false">C160*E$6</f>
        <v>478.179664639863</v>
      </c>
      <c r="E160" s="25" t="n">
        <f aca="false">E$8-D160</f>
        <v>3475.78846906786</v>
      </c>
      <c r="F160" s="126" t="n">
        <v>0</v>
      </c>
      <c r="G160" s="24" t="n">
        <f aca="false">C160-E160-F160</f>
        <v>111287.331044499</v>
      </c>
      <c r="I160" s="25" t="n">
        <f aca="false">I159+E160</f>
        <v>388712.668955501</v>
      </c>
      <c r="J160" s="24" t="n">
        <f aca="false">J159+D160</f>
        <v>204382.551100658</v>
      </c>
    </row>
    <row r="161" customFormat="false" ht="15" hidden="true" customHeight="false" outlineLevel="1" collapsed="false">
      <c r="B161" s="125" t="n">
        <v>48761</v>
      </c>
      <c r="C161" s="21" t="n">
        <f aca="false">G160</f>
        <v>111287.331044499</v>
      </c>
      <c r="D161" s="24" t="n">
        <f aca="false">C161*E$6</f>
        <v>463.697212685413</v>
      </c>
      <c r="E161" s="25" t="n">
        <f aca="false">E$8-D161</f>
        <v>3490.27092102231</v>
      </c>
      <c r="F161" s="127" t="n">
        <v>0</v>
      </c>
      <c r="G161" s="24" t="n">
        <f aca="false">C161-E161-F161</f>
        <v>107797.060123477</v>
      </c>
      <c r="I161" s="25" t="n">
        <f aca="false">I160+E161</f>
        <v>392202.939876523</v>
      </c>
      <c r="J161" s="24" t="n">
        <f aca="false">J160+D161</f>
        <v>204846.248313343</v>
      </c>
    </row>
    <row r="162" customFormat="false" ht="15" hidden="true" customHeight="false" outlineLevel="1" collapsed="false">
      <c r="B162" s="125" t="n">
        <v>48792</v>
      </c>
      <c r="C162" s="21" t="n">
        <f aca="false">G161</f>
        <v>107797.060123477</v>
      </c>
      <c r="D162" s="24" t="n">
        <f aca="false">C162*E$6</f>
        <v>449.154417181153</v>
      </c>
      <c r="E162" s="25" t="n">
        <f aca="false">E$8-D162</f>
        <v>3504.81371652657</v>
      </c>
      <c r="F162" s="126" t="n">
        <v>0</v>
      </c>
      <c r="G162" s="24" t="n">
        <f aca="false">C162-E162-F162</f>
        <v>104292.24640695</v>
      </c>
      <c r="I162" s="25" t="n">
        <f aca="false">I161+E162</f>
        <v>395707.75359305</v>
      </c>
      <c r="J162" s="24" t="n">
        <f aca="false">J161+D162</f>
        <v>205295.402730524</v>
      </c>
    </row>
    <row r="163" customFormat="false" ht="15" hidden="true" customHeight="false" outlineLevel="1" collapsed="false">
      <c r="B163" s="125" t="n">
        <v>48823</v>
      </c>
      <c r="C163" s="21" t="n">
        <f aca="false">G162</f>
        <v>104292.24640695</v>
      </c>
      <c r="D163" s="24" t="n">
        <f aca="false">C163*E$6</f>
        <v>434.551026695626</v>
      </c>
      <c r="E163" s="25" t="n">
        <f aca="false">E$8-D163</f>
        <v>3519.4171070121</v>
      </c>
      <c r="F163" s="127" t="n">
        <v>0</v>
      </c>
      <c r="G163" s="24" t="n">
        <f aca="false">C163-E163-F163</f>
        <v>100772.829299938</v>
      </c>
      <c r="I163" s="25" t="n">
        <f aca="false">I162+E163</f>
        <v>399227.170700062</v>
      </c>
      <c r="J163" s="24" t="n">
        <f aca="false">J162+D163</f>
        <v>205729.95375722</v>
      </c>
    </row>
    <row r="164" customFormat="false" ht="15" hidden="true" customHeight="false" outlineLevel="1" collapsed="false">
      <c r="B164" s="125" t="n">
        <v>48853</v>
      </c>
      <c r="C164" s="21" t="n">
        <f aca="false">G163</f>
        <v>100772.829299938</v>
      </c>
      <c r="D164" s="24" t="n">
        <f aca="false">C164*E$6</f>
        <v>419.886788749742</v>
      </c>
      <c r="E164" s="25" t="n">
        <f aca="false">E$8-D164</f>
        <v>3534.08134495798</v>
      </c>
      <c r="F164" s="126" t="n">
        <v>0</v>
      </c>
      <c r="G164" s="24" t="n">
        <f aca="false">C164-E164-F164</f>
        <v>97238.7479549802</v>
      </c>
      <c r="I164" s="25" t="n">
        <f aca="false">I163+E164</f>
        <v>402761.25204502</v>
      </c>
      <c r="J164" s="24" t="n">
        <f aca="false">J163+D164</f>
        <v>206149.84054597</v>
      </c>
    </row>
    <row r="165" customFormat="false" ht="15" hidden="true" customHeight="false" outlineLevel="1" collapsed="false">
      <c r="B165" s="125" t="n">
        <v>48884</v>
      </c>
      <c r="C165" s="21" t="n">
        <f aca="false">G164</f>
        <v>97238.7479549802</v>
      </c>
      <c r="D165" s="24" t="n">
        <f aca="false">C165*E$6</f>
        <v>405.161449812417</v>
      </c>
      <c r="E165" s="25" t="n">
        <f aca="false">E$8-D165</f>
        <v>3548.80668389531</v>
      </c>
      <c r="F165" s="127" t="n">
        <v>0</v>
      </c>
      <c r="G165" s="24" t="n">
        <f aca="false">C165-E165-F165</f>
        <v>93689.9412710849</v>
      </c>
      <c r="I165" s="25" t="n">
        <f aca="false">I164+E165</f>
        <v>406310.058728915</v>
      </c>
      <c r="J165" s="24" t="n">
        <f aca="false">J164+D165</f>
        <v>206555.001995782</v>
      </c>
    </row>
    <row r="166" customFormat="false" ht="15" hidden="true" customHeight="false" outlineLevel="1" collapsed="false">
      <c r="B166" s="125" t="n">
        <v>48914</v>
      </c>
      <c r="C166" s="21" t="n">
        <f aca="false">G165</f>
        <v>93689.9412710849</v>
      </c>
      <c r="D166" s="24" t="n">
        <f aca="false">C166*E$6</f>
        <v>390.374755296187</v>
      </c>
      <c r="E166" s="25" t="n">
        <f aca="false">E$8-D166</f>
        <v>3563.59337841154</v>
      </c>
      <c r="F166" s="126" t="n">
        <v>0</v>
      </c>
      <c r="G166" s="24" t="n">
        <f aca="false">C166-E166-F166</f>
        <v>90126.3478926733</v>
      </c>
      <c r="I166" s="25" t="n">
        <f aca="false">I165+E166</f>
        <v>409873.652107326</v>
      </c>
      <c r="J166" s="24" t="n">
        <f aca="false">J165+D166</f>
        <v>206945.376751078</v>
      </c>
    </row>
    <row r="167" customFormat="false" ht="15" hidden="true" customHeight="false" outlineLevel="1" collapsed="false">
      <c r="B167" s="125" t="n">
        <v>48945</v>
      </c>
      <c r="C167" s="21" t="n">
        <f aca="false">G166</f>
        <v>90126.3478926733</v>
      </c>
      <c r="D167" s="24" t="n">
        <f aca="false">C167*E$6</f>
        <v>375.526449552806</v>
      </c>
      <c r="E167" s="25" t="n">
        <f aca="false">E$8-D167</f>
        <v>3578.44168415492</v>
      </c>
      <c r="F167" s="127" t="n">
        <v>0</v>
      </c>
      <c r="G167" s="24" t="n">
        <f aca="false">C167-E167-F167</f>
        <v>86547.9062085184</v>
      </c>
      <c r="I167" s="25" t="n">
        <f aca="false">I166+E167</f>
        <v>413452.093791481</v>
      </c>
      <c r="J167" s="24" t="n">
        <f aca="false">J166+D167</f>
        <v>207320.903200631</v>
      </c>
    </row>
    <row r="168" customFormat="false" ht="15" hidden="true" customHeight="false" outlineLevel="1" collapsed="false">
      <c r="B168" s="125" t="n">
        <v>48976</v>
      </c>
      <c r="C168" s="21" t="n">
        <f aca="false">G167</f>
        <v>86547.9062085184</v>
      </c>
      <c r="D168" s="24" t="n">
        <f aca="false">C168*E$6</f>
        <v>360.616275868827</v>
      </c>
      <c r="E168" s="25" t="n">
        <f aca="false">E$8-D168</f>
        <v>3593.3518578389</v>
      </c>
      <c r="F168" s="126" t="n">
        <v>0</v>
      </c>
      <c r="G168" s="24" t="n">
        <f aca="false">C168-E168-F168</f>
        <v>82954.5543506795</v>
      </c>
      <c r="I168" s="25" t="n">
        <f aca="false">I167+E168</f>
        <v>417045.44564932</v>
      </c>
      <c r="J168" s="24" t="n">
        <f aca="false">J167+D168</f>
        <v>207681.5194765</v>
      </c>
    </row>
    <row r="169" customFormat="false" ht="15" hidden="true" customHeight="false" outlineLevel="1" collapsed="false">
      <c r="B169" s="125" t="n">
        <v>49004</v>
      </c>
      <c r="C169" s="21" t="n">
        <f aca="false">G168</f>
        <v>82954.5543506795</v>
      </c>
      <c r="D169" s="24" t="n">
        <f aca="false">C169*E$6</f>
        <v>345.643976461165</v>
      </c>
      <c r="E169" s="25" t="n">
        <f aca="false">E$8-D169</f>
        <v>3608.32415724656</v>
      </c>
      <c r="F169" s="127" t="n">
        <v>0</v>
      </c>
      <c r="G169" s="24" t="n">
        <f aca="false">C169-E169-F169</f>
        <v>79346.230193433</v>
      </c>
      <c r="I169" s="25" t="n">
        <f aca="false">I168+E169</f>
        <v>420653.769806567</v>
      </c>
      <c r="J169" s="24" t="n">
        <f aca="false">J168+D169</f>
        <v>208027.163452961</v>
      </c>
    </row>
    <row r="170" customFormat="false" ht="15" hidden="true" customHeight="false" outlineLevel="1" collapsed="false">
      <c r="B170" s="125" t="n">
        <v>49035</v>
      </c>
      <c r="C170" s="21" t="n">
        <f aca="false">G169</f>
        <v>79346.230193433</v>
      </c>
      <c r="D170" s="24" t="n">
        <f aca="false">C170*E$6</f>
        <v>330.609292472637</v>
      </c>
      <c r="E170" s="25" t="n">
        <f aca="false">E$8-D170</f>
        <v>3623.35884123509</v>
      </c>
      <c r="F170" s="126" t="n">
        <v>0</v>
      </c>
      <c r="G170" s="24" t="n">
        <f aca="false">C170-E170-F170</f>
        <v>75722.8713521979</v>
      </c>
      <c r="I170" s="25" t="n">
        <f aca="false">I169+E170</f>
        <v>424277.128647802</v>
      </c>
      <c r="J170" s="24" t="n">
        <f aca="false">J169+D170</f>
        <v>208357.772745434</v>
      </c>
    </row>
    <row r="171" customFormat="false" ht="15" hidden="true" customHeight="false" outlineLevel="1" collapsed="false">
      <c r="B171" s="125" t="n">
        <v>49065</v>
      </c>
      <c r="C171" s="21" t="n">
        <f aca="false">G170</f>
        <v>75722.8713521979</v>
      </c>
      <c r="D171" s="24" t="n">
        <f aca="false">C171*E$6</f>
        <v>315.511963967491</v>
      </c>
      <c r="E171" s="25" t="n">
        <f aca="false">E$8-D171</f>
        <v>3638.45616974023</v>
      </c>
      <c r="F171" s="127" t="n">
        <v>0</v>
      </c>
      <c r="G171" s="24" t="n">
        <f aca="false">C171-E171-F171</f>
        <v>72084.4151824577</v>
      </c>
      <c r="I171" s="25" t="n">
        <f aca="false">I170+E171</f>
        <v>427915.584817542</v>
      </c>
      <c r="J171" s="24" t="n">
        <f aca="false">J170+D171</f>
        <v>208673.284709401</v>
      </c>
    </row>
    <row r="172" customFormat="false" ht="15" hidden="true" customHeight="false" outlineLevel="1" collapsed="false">
      <c r="B172" s="125" t="n">
        <v>49096</v>
      </c>
      <c r="C172" s="21" t="n">
        <f aca="false">G171</f>
        <v>72084.4151824577</v>
      </c>
      <c r="D172" s="24" t="n">
        <f aca="false">C172*E$6</f>
        <v>300.351729926907</v>
      </c>
      <c r="E172" s="25" t="n">
        <f aca="false">E$8-D172</f>
        <v>3653.61640378082</v>
      </c>
      <c r="F172" s="126" t="n">
        <v>0</v>
      </c>
      <c r="G172" s="24" t="n">
        <f aca="false">C172-E172-F172</f>
        <v>68430.7987786768</v>
      </c>
      <c r="I172" s="25" t="n">
        <f aca="false">I171+E172</f>
        <v>431569.201221323</v>
      </c>
      <c r="J172" s="24" t="n">
        <f aca="false">J171+D172</f>
        <v>208973.636439328</v>
      </c>
    </row>
    <row r="173" customFormat="false" ht="15" hidden="true" customHeight="false" outlineLevel="1" collapsed="false">
      <c r="B173" s="125" t="n">
        <v>49126</v>
      </c>
      <c r="C173" s="21" t="n">
        <f aca="false">G172</f>
        <v>68430.7987786768</v>
      </c>
      <c r="D173" s="24" t="n">
        <f aca="false">C173*E$6</f>
        <v>285.128328244487</v>
      </c>
      <c r="E173" s="25" t="n">
        <f aca="false">E$8-D173</f>
        <v>3668.83980546324</v>
      </c>
      <c r="F173" s="127" t="n">
        <v>0</v>
      </c>
      <c r="G173" s="24" t="n">
        <f aca="false">C173-E173-F173</f>
        <v>64761.9589732136</v>
      </c>
      <c r="I173" s="25" t="n">
        <f aca="false">I172+E173</f>
        <v>435238.041026786</v>
      </c>
      <c r="J173" s="24" t="n">
        <f aca="false">J172+D173</f>
        <v>209258.764767573</v>
      </c>
    </row>
    <row r="174" customFormat="false" ht="15" hidden="true" customHeight="false" outlineLevel="1" collapsed="false">
      <c r="B174" s="125" t="n">
        <v>49157</v>
      </c>
      <c r="C174" s="21" t="n">
        <f aca="false">G173</f>
        <v>64761.9589732136</v>
      </c>
      <c r="D174" s="24" t="n">
        <f aca="false">C174*E$6</f>
        <v>269.841495721723</v>
      </c>
      <c r="E174" s="25" t="n">
        <f aca="false">E$8-D174</f>
        <v>3684.126637986</v>
      </c>
      <c r="F174" s="126" t="n">
        <v>0</v>
      </c>
      <c r="G174" s="24" t="n">
        <f aca="false">C174-E174-F174</f>
        <v>61077.8323352276</v>
      </c>
      <c r="I174" s="25" t="n">
        <f aca="false">I173+E174</f>
        <v>438922.167664772</v>
      </c>
      <c r="J174" s="24" t="n">
        <f aca="false">J173+D174</f>
        <v>209528.606263294</v>
      </c>
    </row>
    <row r="175" customFormat="false" ht="15" hidden="true" customHeight="false" outlineLevel="1" collapsed="false">
      <c r="B175" s="125" t="n">
        <v>49188</v>
      </c>
      <c r="C175" s="21" t="n">
        <f aca="false">G174</f>
        <v>61077.8323352276</v>
      </c>
      <c r="D175" s="24" t="n">
        <f aca="false">C175*E$6</f>
        <v>254.490968063448</v>
      </c>
      <c r="E175" s="25" t="n">
        <f aca="false">E$8-D175</f>
        <v>3699.47716564427</v>
      </c>
      <c r="F175" s="127" t="n">
        <v>0</v>
      </c>
      <c r="G175" s="24" t="n">
        <f aca="false">C175-E175-F175</f>
        <v>57378.3551695833</v>
      </c>
      <c r="I175" s="25" t="n">
        <f aca="false">I174+E175</f>
        <v>442621.644830417</v>
      </c>
      <c r="J175" s="24" t="n">
        <f aca="false">J174+D175</f>
        <v>209783.097231358</v>
      </c>
    </row>
    <row r="176" customFormat="false" ht="15" hidden="true" customHeight="false" outlineLevel="1" collapsed="false">
      <c r="B176" s="125" t="n">
        <v>49218</v>
      </c>
      <c r="C176" s="21" t="n">
        <f aca="false">G175</f>
        <v>57378.3551695833</v>
      </c>
      <c r="D176" s="24" t="n">
        <f aca="false">C176*E$6</f>
        <v>239.076479873264</v>
      </c>
      <c r="E176" s="25" t="n">
        <f aca="false">E$8-D176</f>
        <v>3714.89165383446</v>
      </c>
      <c r="F176" s="126" t="n">
        <v>0</v>
      </c>
      <c r="G176" s="24" t="n">
        <f aca="false">C176-E176-F176</f>
        <v>53663.4635157489</v>
      </c>
      <c r="I176" s="25" t="n">
        <f aca="false">I175+E176</f>
        <v>446336.536484251</v>
      </c>
      <c r="J176" s="24" t="n">
        <f aca="false">J175+D176</f>
        <v>210022.173711231</v>
      </c>
    </row>
    <row r="177" customFormat="false" ht="15" hidden="true" customHeight="false" outlineLevel="1" collapsed="false">
      <c r="B177" s="125" t="n">
        <v>49249</v>
      </c>
      <c r="C177" s="21" t="n">
        <f aca="false">G176</f>
        <v>53663.4635157489</v>
      </c>
      <c r="D177" s="24" t="n">
        <f aca="false">C177*E$6</f>
        <v>223.597764648954</v>
      </c>
      <c r="E177" s="25" t="n">
        <f aca="false">E$8-D177</f>
        <v>3730.37036905877</v>
      </c>
      <c r="F177" s="127" t="n">
        <v>0</v>
      </c>
      <c r="G177" s="24" t="n">
        <f aca="false">C177-E177-F177</f>
        <v>49933.0931466901</v>
      </c>
      <c r="I177" s="25" t="n">
        <f aca="false">I176+E177</f>
        <v>450066.90685331</v>
      </c>
      <c r="J177" s="24" t="n">
        <f aca="false">J176+D177</f>
        <v>210245.77147588</v>
      </c>
    </row>
    <row r="178" customFormat="false" ht="15" hidden="true" customHeight="false" outlineLevel="1" collapsed="false">
      <c r="B178" s="125" t="n">
        <v>49279</v>
      </c>
      <c r="C178" s="21" t="n">
        <f aca="false">G177</f>
        <v>49933.0931466901</v>
      </c>
      <c r="D178" s="24" t="n">
        <f aca="false">C178*E$6</f>
        <v>208.054554777875</v>
      </c>
      <c r="E178" s="25" t="n">
        <f aca="false">E$8-D178</f>
        <v>3745.91357892985</v>
      </c>
      <c r="F178" s="126" t="n">
        <v>0</v>
      </c>
      <c r="G178" s="24" t="n">
        <f aca="false">C178-E178-F178</f>
        <v>46187.1795677603</v>
      </c>
      <c r="I178" s="25" t="n">
        <f aca="false">I177+E178</f>
        <v>453812.82043224</v>
      </c>
      <c r="J178" s="24" t="n">
        <f aca="false">J177+D178</f>
        <v>210453.826030658</v>
      </c>
    </row>
    <row r="179" customFormat="false" ht="15" hidden="true" customHeight="false" outlineLevel="1" collapsed="false">
      <c r="B179" s="125" t="n">
        <v>49310</v>
      </c>
      <c r="C179" s="21" t="n">
        <f aca="false">G178</f>
        <v>46187.1795677603</v>
      </c>
      <c r="D179" s="24" t="n">
        <f aca="false">C179*E$6</f>
        <v>192.446581532334</v>
      </c>
      <c r="E179" s="25" t="n">
        <f aca="false">E$8-D179</f>
        <v>3761.52155217539</v>
      </c>
      <c r="F179" s="127" t="n">
        <v>0</v>
      </c>
      <c r="G179" s="24" t="n">
        <f aca="false">C179-E179-F179</f>
        <v>42425.6580155849</v>
      </c>
      <c r="I179" s="25" t="n">
        <f aca="false">I178+E179</f>
        <v>457574.341984415</v>
      </c>
      <c r="J179" s="24" t="n">
        <f aca="false">J178+D179</f>
        <v>210646.27261219</v>
      </c>
    </row>
    <row r="180" customFormat="false" ht="15" hidden="true" customHeight="false" outlineLevel="1" collapsed="false">
      <c r="B180" s="125" t="n">
        <v>49341</v>
      </c>
      <c r="C180" s="21" t="n">
        <f aca="false">G179</f>
        <v>42425.6580155849</v>
      </c>
      <c r="D180" s="24" t="n">
        <f aca="false">C180*E$6</f>
        <v>176.773575064937</v>
      </c>
      <c r="E180" s="25" t="n">
        <f aca="false">E$8-D180</f>
        <v>3777.19455864279</v>
      </c>
      <c r="F180" s="126" t="n">
        <v>0</v>
      </c>
      <c r="G180" s="24" t="n">
        <f aca="false">C180-E180-F180</f>
        <v>38648.4634569421</v>
      </c>
      <c r="I180" s="25" t="n">
        <f aca="false">I179+E180</f>
        <v>461351.536543058</v>
      </c>
      <c r="J180" s="24" t="n">
        <f aca="false">J179+D180</f>
        <v>210823.046187255</v>
      </c>
    </row>
    <row r="181" customFormat="false" ht="15" hidden="true" customHeight="false" outlineLevel="1" collapsed="false">
      <c r="B181" s="125" t="n">
        <v>49369</v>
      </c>
      <c r="C181" s="21" t="n">
        <f aca="false">G180</f>
        <v>38648.4634569421</v>
      </c>
      <c r="D181" s="24" t="n">
        <f aca="false">C181*E$6</f>
        <v>161.035264403925</v>
      </c>
      <c r="E181" s="25" t="n">
        <f aca="false">E$8-D181</f>
        <v>3792.9328693038</v>
      </c>
      <c r="F181" s="127" t="n">
        <v>0</v>
      </c>
      <c r="G181" s="24" t="n">
        <f aca="false">C181-E181-F181</f>
        <v>34855.5305876383</v>
      </c>
      <c r="I181" s="25" t="n">
        <f aca="false">I180+E181</f>
        <v>465144.469412362</v>
      </c>
      <c r="J181" s="24" t="n">
        <f aca="false">J180+D181</f>
        <v>210984.081451659</v>
      </c>
    </row>
    <row r="182" customFormat="false" ht="15" hidden="true" customHeight="false" outlineLevel="1" collapsed="false">
      <c r="B182" s="125" t="n">
        <v>49400</v>
      </c>
      <c r="C182" s="21" t="n">
        <f aca="false">G181</f>
        <v>34855.5305876383</v>
      </c>
      <c r="D182" s="24" t="n">
        <f aca="false">C182*E$6</f>
        <v>145.231377448493</v>
      </c>
      <c r="E182" s="25" t="n">
        <f aca="false">E$8-D182</f>
        <v>3808.73675625923</v>
      </c>
      <c r="F182" s="126" t="n">
        <v>0</v>
      </c>
      <c r="G182" s="24" t="n">
        <f aca="false">C182-E182-F182</f>
        <v>31046.7938313791</v>
      </c>
      <c r="I182" s="25" t="n">
        <f aca="false">I181+E182</f>
        <v>468953.206168621</v>
      </c>
      <c r="J182" s="24" t="n">
        <f aca="false">J181+D182</f>
        <v>211129.312829107</v>
      </c>
    </row>
    <row r="183" customFormat="false" ht="15" hidden="true" customHeight="false" outlineLevel="1" collapsed="false">
      <c r="B183" s="125" t="n">
        <v>49430</v>
      </c>
      <c r="C183" s="21" t="n">
        <f aca="false">G182</f>
        <v>31046.7938313791</v>
      </c>
      <c r="D183" s="24" t="n">
        <f aca="false">C183*E$6</f>
        <v>129.361640964079</v>
      </c>
      <c r="E183" s="25" t="n">
        <f aca="false">E$8-D183</f>
        <v>3824.60649274364</v>
      </c>
      <c r="F183" s="127" t="n">
        <v>0</v>
      </c>
      <c r="G183" s="24" t="n">
        <f aca="false">C183-E183-F183</f>
        <v>27222.1873386354</v>
      </c>
      <c r="I183" s="25" t="n">
        <f aca="false">I182+E183</f>
        <v>472777.812661364</v>
      </c>
      <c r="J183" s="24" t="n">
        <f aca="false">J182+D183</f>
        <v>211258.674470072</v>
      </c>
    </row>
    <row r="184" customFormat="false" ht="15" hidden="true" customHeight="false" outlineLevel="1" collapsed="false">
      <c r="B184" s="125" t="n">
        <v>49461</v>
      </c>
      <c r="C184" s="21" t="n">
        <f aca="false">G183</f>
        <v>27222.1873386354</v>
      </c>
      <c r="D184" s="24" t="n">
        <f aca="false">C184*E$6</f>
        <v>113.425780577648</v>
      </c>
      <c r="E184" s="25" t="n">
        <f aca="false">E$8-D184</f>
        <v>3840.54235313008</v>
      </c>
      <c r="F184" s="126" t="n">
        <v>0</v>
      </c>
      <c r="G184" s="24" t="n">
        <f aca="false">C184-E184-F184</f>
        <v>23381.6449855053</v>
      </c>
      <c r="I184" s="25" t="n">
        <f aca="false">I183+E184</f>
        <v>476618.355014494</v>
      </c>
      <c r="J184" s="24" t="n">
        <f aca="false">J183+D184</f>
        <v>211372.100250649</v>
      </c>
    </row>
    <row r="185" customFormat="false" ht="15" hidden="true" customHeight="false" outlineLevel="1" collapsed="false">
      <c r="B185" s="125" t="n">
        <v>49491</v>
      </c>
      <c r="C185" s="21" t="n">
        <f aca="false">G184</f>
        <v>23381.6449855053</v>
      </c>
      <c r="D185" s="24" t="n">
        <f aca="false">C185*E$6</f>
        <v>97.4235207729389</v>
      </c>
      <c r="E185" s="25" t="n">
        <f aca="false">E$8-D185</f>
        <v>3856.54461293478</v>
      </c>
      <c r="F185" s="127" t="n">
        <v>0</v>
      </c>
      <c r="G185" s="24" t="n">
        <f aca="false">C185-E185-F185</f>
        <v>19525.1003725706</v>
      </c>
      <c r="I185" s="25" t="n">
        <f aca="false">I184+E185</f>
        <v>480474.899627429</v>
      </c>
      <c r="J185" s="24" t="n">
        <f aca="false">J184+D185</f>
        <v>211469.523771422</v>
      </c>
    </row>
    <row r="186" customFormat="false" ht="15" hidden="true" customHeight="false" outlineLevel="1" collapsed="false">
      <c r="B186" s="125" t="n">
        <v>49522</v>
      </c>
      <c r="C186" s="21" t="n">
        <f aca="false">G185</f>
        <v>19525.1003725706</v>
      </c>
      <c r="D186" s="24" t="n">
        <f aca="false">C186*E$6</f>
        <v>81.3545848857106</v>
      </c>
      <c r="E186" s="25" t="n">
        <f aca="false">E$8-D186</f>
        <v>3872.61354882201</v>
      </c>
      <c r="F186" s="126" t="n">
        <v>0</v>
      </c>
      <c r="G186" s="24" t="n">
        <f aca="false">C186-E186-F186</f>
        <v>15652.4868237485</v>
      </c>
      <c r="I186" s="25" t="n">
        <f aca="false">I185+E186</f>
        <v>484347.513176251</v>
      </c>
      <c r="J186" s="24" t="n">
        <f aca="false">J185+D186</f>
        <v>211550.878356308</v>
      </c>
    </row>
    <row r="187" customFormat="false" ht="15" hidden="true" customHeight="false" outlineLevel="1" collapsed="false">
      <c r="B187" s="125" t="n">
        <v>49553</v>
      </c>
      <c r="C187" s="21" t="n">
        <f aca="false">G186</f>
        <v>15652.4868237485</v>
      </c>
      <c r="D187" s="24" t="n">
        <f aca="false">C187*E$6</f>
        <v>65.2186950989523</v>
      </c>
      <c r="E187" s="25" t="n">
        <f aca="false">E$8-D187</f>
        <v>3888.74943860877</v>
      </c>
      <c r="F187" s="127" t="n">
        <v>0</v>
      </c>
      <c r="G187" s="24" t="n">
        <f aca="false">C187-E187-F187</f>
        <v>11763.7373851398</v>
      </c>
      <c r="I187" s="25" t="n">
        <f aca="false">I186+E187</f>
        <v>488236.26261486</v>
      </c>
      <c r="J187" s="24" t="n">
        <f aca="false">J186+D187</f>
        <v>211616.097051407</v>
      </c>
    </row>
    <row r="188" customFormat="false" ht="15" hidden="true" customHeight="false" outlineLevel="1" collapsed="false">
      <c r="B188" s="125" t="n">
        <v>49583</v>
      </c>
      <c r="C188" s="21" t="n">
        <f aca="false">G187</f>
        <v>11763.7373851398</v>
      </c>
      <c r="D188" s="24" t="n">
        <f aca="false">C188*E$6</f>
        <v>49.0155724380824</v>
      </c>
      <c r="E188" s="25" t="n">
        <f aca="false">E$8-D188</f>
        <v>3904.95256126964</v>
      </c>
      <c r="F188" s="126" t="n">
        <v>0</v>
      </c>
      <c r="G188" s="24" t="n">
        <f aca="false">C188-E188-F188</f>
        <v>7858.78482387013</v>
      </c>
      <c r="I188" s="25" t="n">
        <f aca="false">I187+E188</f>
        <v>492141.21517613</v>
      </c>
      <c r="J188" s="24" t="n">
        <f aca="false">J187+D188</f>
        <v>211665.112623845</v>
      </c>
    </row>
    <row r="189" customFormat="false" ht="15" hidden="true" customHeight="false" outlineLevel="1" collapsed="false">
      <c r="B189" s="125" t="n">
        <v>49614</v>
      </c>
      <c r="C189" s="21" t="n">
        <f aca="false">G188</f>
        <v>7858.78482387013</v>
      </c>
      <c r="D189" s="24" t="n">
        <f aca="false">C189*E$6</f>
        <v>32.7449367661255</v>
      </c>
      <c r="E189" s="25" t="n">
        <f aca="false">E$8-D189</f>
        <v>3921.2231969416</v>
      </c>
      <c r="F189" s="127" t="n">
        <v>0</v>
      </c>
      <c r="G189" s="24" t="n">
        <f aca="false">C189-E189-F189</f>
        <v>3937.56162692853</v>
      </c>
      <c r="I189" s="25" t="n">
        <f aca="false">I188+E189</f>
        <v>496062.438373071</v>
      </c>
      <c r="J189" s="24" t="n">
        <f aca="false">J188+D189</f>
        <v>211697.857560611</v>
      </c>
    </row>
    <row r="190" customFormat="false" ht="15" hidden="true" customHeight="false" outlineLevel="1" collapsed="false">
      <c r="B190" s="125" t="n">
        <v>49644</v>
      </c>
      <c r="C190" s="21" t="n">
        <f aca="false">G189</f>
        <v>3937.56162692853</v>
      </c>
      <c r="D190" s="24" t="n">
        <f aca="false">C190*E$6</f>
        <v>16.4065067788689</v>
      </c>
      <c r="E190" s="25" t="n">
        <f aca="false">E$8-D190</f>
        <v>3937.56162692885</v>
      </c>
      <c r="F190" s="126" t="n">
        <v>0</v>
      </c>
      <c r="G190" s="24" t="n">
        <f aca="false">C190-E190-F190</f>
        <v>-3.21051629725844E-010</v>
      </c>
      <c r="I190" s="25" t="n">
        <f aca="false">I189+E190</f>
        <v>500000</v>
      </c>
      <c r="J190" s="24" t="n">
        <f aca="false">J189+D190</f>
        <v>211714.26406739</v>
      </c>
    </row>
    <row r="191" customFormat="false" ht="15" hidden="true" customHeight="false" outlineLevel="1" collapsed="false">
      <c r="B191" s="125" t="n">
        <v>49675</v>
      </c>
      <c r="C191" s="21" t="n">
        <f aca="false">G190</f>
        <v>-3.21051629725844E-010</v>
      </c>
      <c r="D191" s="24" t="n">
        <f aca="false">C191*E$6</f>
        <v>-1.33771512385768E-012</v>
      </c>
      <c r="E191" s="25" t="n">
        <f aca="false">E$8-D191</f>
        <v>3953.96813370772</v>
      </c>
      <c r="F191" s="127" t="n">
        <v>0</v>
      </c>
      <c r="G191" s="24" t="n">
        <f aca="false">C191-E191-F191</f>
        <v>-3953.96813370805</v>
      </c>
      <c r="I191" s="25" t="n">
        <f aca="false">I190+E191</f>
        <v>503953.968133708</v>
      </c>
      <c r="J191" s="24" t="n">
        <f aca="false">J190+D191</f>
        <v>211714.26406739</v>
      </c>
    </row>
    <row r="192" customFormat="false" ht="15" hidden="true" customHeight="false" outlineLevel="1" collapsed="false">
      <c r="B192" s="125" t="n">
        <v>49706</v>
      </c>
      <c r="C192" s="21" t="n">
        <f aca="false">G191</f>
        <v>-3953.96813370805</v>
      </c>
      <c r="D192" s="24" t="n">
        <f aca="false">C192*E$6</f>
        <v>-16.4748672237835</v>
      </c>
      <c r="E192" s="25" t="n">
        <f aca="false">E$8-D192</f>
        <v>3970.44300093151</v>
      </c>
      <c r="F192" s="126" t="n">
        <v>0</v>
      </c>
      <c r="G192" s="24" t="n">
        <f aca="false">C192-E192-F192</f>
        <v>-7924.41113463955</v>
      </c>
      <c r="I192" s="25" t="n">
        <f aca="false">I191+E192</f>
        <v>507924.411134639</v>
      </c>
      <c r="J192" s="24" t="n">
        <f aca="false">J191+D192</f>
        <v>211697.789200166</v>
      </c>
    </row>
    <row r="193" customFormat="false" ht="15" hidden="true" customHeight="false" outlineLevel="1" collapsed="false">
      <c r="B193" s="125" t="n">
        <v>49735</v>
      </c>
      <c r="C193" s="21" t="n">
        <f aca="false">G192</f>
        <v>-7924.41113463955</v>
      </c>
      <c r="D193" s="24" t="n">
        <f aca="false">C193*E$6</f>
        <v>-33.0183797276648</v>
      </c>
      <c r="E193" s="25" t="n">
        <f aca="false">E$8-D193</f>
        <v>3986.98651343539</v>
      </c>
      <c r="F193" s="127" t="n">
        <v>0</v>
      </c>
      <c r="G193" s="24" t="n">
        <f aca="false">C193-E193-F193</f>
        <v>-11911.3976480749</v>
      </c>
      <c r="I193" s="25" t="n">
        <f aca="false">I192+E193</f>
        <v>511911.397648075</v>
      </c>
      <c r="J193" s="24" t="n">
        <f aca="false">J192+D193</f>
        <v>211664.770820438</v>
      </c>
    </row>
    <row r="194" customFormat="false" ht="15" hidden="true" customHeight="false" outlineLevel="1" collapsed="false">
      <c r="B194" s="125" t="n">
        <v>49766</v>
      </c>
      <c r="C194" s="21" t="n">
        <f aca="false">G193</f>
        <v>-11911.3976480749</v>
      </c>
      <c r="D194" s="24" t="n">
        <f aca="false">C194*E$6</f>
        <v>-49.6308235336456</v>
      </c>
      <c r="E194" s="25" t="n">
        <f aca="false">E$8-D194</f>
        <v>4003.59895724137</v>
      </c>
      <c r="F194" s="126" t="n">
        <v>0</v>
      </c>
      <c r="G194" s="24" t="n">
        <f aca="false">C194-E194-F194</f>
        <v>-15914.9966053163</v>
      </c>
      <c r="I194" s="25" t="n">
        <f aca="false">I193+E194</f>
        <v>515914.996605316</v>
      </c>
      <c r="J194" s="24" t="n">
        <f aca="false">J193+D194</f>
        <v>211615.139996905</v>
      </c>
    </row>
    <row r="195" customFormat="false" ht="15" hidden="true" customHeight="false" outlineLevel="1" collapsed="false">
      <c r="B195" s="125" t="n">
        <v>49796</v>
      </c>
      <c r="C195" s="21" t="n">
        <f aca="false">G194</f>
        <v>-15914.9966053163</v>
      </c>
      <c r="D195" s="24" t="n">
        <f aca="false">C195*E$6</f>
        <v>-66.3124858554846</v>
      </c>
      <c r="E195" s="25" t="n">
        <f aca="false">E$8-D195</f>
        <v>4020.28061956321</v>
      </c>
      <c r="F195" s="127" t="n">
        <v>0</v>
      </c>
      <c r="G195" s="24" t="n">
        <f aca="false">C195-E195-F195</f>
        <v>-19935.2772248795</v>
      </c>
      <c r="I195" s="25" t="n">
        <f aca="false">I194+E195</f>
        <v>519935.277224879</v>
      </c>
      <c r="J195" s="24" t="n">
        <f aca="false">J194+D195</f>
        <v>211548.827511049</v>
      </c>
    </row>
    <row r="196" customFormat="false" ht="15" hidden="true" customHeight="false" outlineLevel="1" collapsed="false">
      <c r="B196" s="125" t="n">
        <v>49827</v>
      </c>
      <c r="C196" s="21" t="n">
        <f aca="false">G195</f>
        <v>-19935.2772248795</v>
      </c>
      <c r="D196" s="24" t="n">
        <f aca="false">C196*E$6</f>
        <v>-83.0636551036646</v>
      </c>
      <c r="E196" s="25" t="n">
        <f aca="false">E$8-D196</f>
        <v>4037.03178881139</v>
      </c>
      <c r="F196" s="126" t="n">
        <v>0</v>
      </c>
      <c r="G196" s="24" t="n">
        <f aca="false">C196-E196-F196</f>
        <v>-23972.3090136909</v>
      </c>
      <c r="I196" s="25" t="n">
        <f aca="false">I195+E196</f>
        <v>523972.309013691</v>
      </c>
      <c r="J196" s="24" t="n">
        <f aca="false">J195+D196</f>
        <v>211465.763855946</v>
      </c>
    </row>
    <row r="197" customFormat="false" ht="15" hidden="true" customHeight="false" outlineLevel="1" collapsed="false">
      <c r="B197" s="125" t="n">
        <v>49857</v>
      </c>
      <c r="C197" s="21" t="n">
        <f aca="false">G196</f>
        <v>-23972.3090136909</v>
      </c>
      <c r="D197" s="24" t="n">
        <f aca="false">C197*E$6</f>
        <v>-99.8846208903788</v>
      </c>
      <c r="E197" s="25" t="n">
        <f aca="false">E$8-D197</f>
        <v>4053.8527545981</v>
      </c>
      <c r="F197" s="127" t="n">
        <v>0</v>
      </c>
      <c r="G197" s="24" t="n">
        <f aca="false">C197-E197-F197</f>
        <v>-28026.161768289</v>
      </c>
      <c r="I197" s="25" t="n">
        <f aca="false">I196+E197</f>
        <v>528026.161768289</v>
      </c>
      <c r="J197" s="24" t="n">
        <f aca="false">J196+D197</f>
        <v>211365.879235055</v>
      </c>
    </row>
    <row r="198" customFormat="false" ht="15" hidden="true" customHeight="false" outlineLevel="1" collapsed="false">
      <c r="B198" s="125" t="n">
        <v>49888</v>
      </c>
      <c r="C198" s="21" t="n">
        <f aca="false">G197</f>
        <v>-28026.161768289</v>
      </c>
      <c r="D198" s="24" t="n">
        <f aca="false">C198*E$6</f>
        <v>-116.775674034538</v>
      </c>
      <c r="E198" s="25" t="n">
        <f aca="false">E$8-D198</f>
        <v>4070.74380774226</v>
      </c>
      <c r="F198" s="126" t="n">
        <v>0</v>
      </c>
      <c r="G198" s="24" t="n">
        <f aca="false">C198-E198-F198</f>
        <v>-32096.9055760313</v>
      </c>
      <c r="I198" s="25" t="n">
        <f aca="false">I197+E198</f>
        <v>532096.905576031</v>
      </c>
      <c r="J198" s="24" t="n">
        <f aca="false">J197+D198</f>
        <v>211249.103561021</v>
      </c>
    </row>
    <row r="199" customFormat="false" ht="15" hidden="true" customHeight="false" outlineLevel="1" collapsed="false">
      <c r="B199" s="125" t="n">
        <v>49919</v>
      </c>
      <c r="C199" s="21" t="n">
        <f aca="false">G198</f>
        <v>-32096.9055760313</v>
      </c>
      <c r="D199" s="24" t="n">
        <f aca="false">C199*E$6</f>
        <v>-133.737106566797</v>
      </c>
      <c r="E199" s="25" t="n">
        <f aca="false">E$8-D199</f>
        <v>4087.70524027452</v>
      </c>
      <c r="F199" s="127" t="n">
        <v>0</v>
      </c>
      <c r="G199" s="24" t="n">
        <f aca="false">C199-E199-F199</f>
        <v>-36184.6108163058</v>
      </c>
      <c r="I199" s="25" t="n">
        <f aca="false">I198+E199</f>
        <v>536184.610816306</v>
      </c>
      <c r="J199" s="24" t="n">
        <f aca="false">J198+D199</f>
        <v>211115.366454454</v>
      </c>
    </row>
    <row r="200" customFormat="false" ht="15" hidden="true" customHeight="false" outlineLevel="1" collapsed="false">
      <c r="B200" s="125" t="n">
        <v>49949</v>
      </c>
      <c r="C200" s="21" t="n">
        <f aca="false">G199</f>
        <v>-36184.6108163058</v>
      </c>
      <c r="D200" s="24" t="n">
        <f aca="false">C200*E$6</f>
        <v>-150.769211734607</v>
      </c>
      <c r="E200" s="25" t="n">
        <f aca="false">E$8-D200</f>
        <v>4104.73734544233</v>
      </c>
      <c r="F200" s="126" t="n">
        <v>0</v>
      </c>
      <c r="G200" s="24" t="n">
        <f aca="false">C200-E200-F200</f>
        <v>-40289.3481617481</v>
      </c>
      <c r="I200" s="25" t="n">
        <f aca="false">I199+E200</f>
        <v>540289.348161748</v>
      </c>
      <c r="J200" s="24" t="n">
        <f aca="false">J199+D200</f>
        <v>210964.597242719</v>
      </c>
    </row>
    <row r="201" customFormat="false" ht="15" hidden="true" customHeight="false" outlineLevel="1" collapsed="false">
      <c r="B201" s="125" t="n">
        <v>49980</v>
      </c>
      <c r="C201" s="21" t="n">
        <f aca="false">G200</f>
        <v>-40289.3481617481</v>
      </c>
      <c r="D201" s="24" t="n">
        <f aca="false">C201*E$6</f>
        <v>-167.872284007284</v>
      </c>
      <c r="E201" s="25" t="n">
        <f aca="false">E$8-D201</f>
        <v>4121.84041771501</v>
      </c>
      <c r="F201" s="127" t="n">
        <v>0</v>
      </c>
      <c r="G201" s="24" t="n">
        <f aca="false">C201-E201-F201</f>
        <v>-44411.1885794631</v>
      </c>
      <c r="I201" s="25" t="n">
        <f aca="false">I200+E201</f>
        <v>544411.188579463</v>
      </c>
      <c r="J201" s="24" t="n">
        <f aca="false">J200+D201</f>
        <v>210796.724958712</v>
      </c>
    </row>
    <row r="202" customFormat="false" ht="15" hidden="true" customHeight="false" outlineLevel="1" collapsed="false">
      <c r="B202" s="125" t="n">
        <v>50010</v>
      </c>
      <c r="C202" s="21" t="n">
        <f aca="false">G201</f>
        <v>-44411.1885794631</v>
      </c>
      <c r="D202" s="24" t="n">
        <f aca="false">C202*E$6</f>
        <v>-185.046619081096</v>
      </c>
      <c r="E202" s="25" t="n">
        <f aca="false">E$8-D202</f>
        <v>4139.01475278882</v>
      </c>
      <c r="F202" s="126" t="n">
        <v>0</v>
      </c>
      <c r="G202" s="24" t="n">
        <f aca="false">C202-E202-F202</f>
        <v>-48550.2033322519</v>
      </c>
      <c r="I202" s="25" t="n">
        <f aca="false">I201+E202</f>
        <v>548550.203332252</v>
      </c>
      <c r="J202" s="24" t="n">
        <f aca="false">J201+D202</f>
        <v>210611.678339631</v>
      </c>
    </row>
    <row r="203" customFormat="false" ht="15" hidden="true" customHeight="false" outlineLevel="1" collapsed="false">
      <c r="B203" s="125" t="n">
        <v>50041</v>
      </c>
      <c r="C203" s="21" t="n">
        <f aca="false">G202</f>
        <v>-48550.2033322519</v>
      </c>
      <c r="D203" s="24" t="n">
        <f aca="false">C203*E$6</f>
        <v>-202.292513884383</v>
      </c>
      <c r="E203" s="25" t="n">
        <f aca="false">E$8-D203</f>
        <v>4156.26064759211</v>
      </c>
      <c r="F203" s="127" t="n">
        <v>0</v>
      </c>
      <c r="G203" s="24" t="n">
        <f aca="false">C203-E203-F203</f>
        <v>-52706.463979844</v>
      </c>
      <c r="I203" s="25" t="n">
        <f aca="false">I202+E203</f>
        <v>552706.463979844</v>
      </c>
      <c r="J203" s="24" t="n">
        <f aca="false">J202+D203</f>
        <v>210409.385825747</v>
      </c>
    </row>
    <row r="204" customFormat="false" ht="15" hidden="true" customHeight="false" outlineLevel="1" collapsed="false">
      <c r="B204" s="125" t="n">
        <v>50072</v>
      </c>
      <c r="C204" s="21" t="n">
        <f aca="false">G203</f>
        <v>-52706.463979844</v>
      </c>
      <c r="D204" s="24" t="n">
        <f aca="false">C204*E$6</f>
        <v>-219.610266582684</v>
      </c>
      <c r="E204" s="25" t="n">
        <f aca="false">E$8-D204</f>
        <v>4173.57840029041</v>
      </c>
      <c r="F204" s="126" t="n">
        <v>0</v>
      </c>
      <c r="G204" s="24" t="n">
        <f aca="false">C204-E204-F204</f>
        <v>-56880.0423801344</v>
      </c>
      <c r="I204" s="25" t="n">
        <f aca="false">I203+E204</f>
        <v>556880.042380134</v>
      </c>
      <c r="J204" s="24" t="n">
        <f aca="false">J203+D204</f>
        <v>210189.775559164</v>
      </c>
    </row>
    <row r="205" customFormat="false" ht="15" hidden="true" customHeight="false" outlineLevel="1" collapsed="false">
      <c r="B205" s="125" t="n">
        <v>50100</v>
      </c>
      <c r="C205" s="21" t="n">
        <f aca="false">G204</f>
        <v>-56880.0423801344</v>
      </c>
      <c r="D205" s="24" t="n">
        <f aca="false">C205*E$6</f>
        <v>-237.000176583894</v>
      </c>
      <c r="E205" s="25" t="n">
        <f aca="false">E$8-D205</f>
        <v>4190.96831029162</v>
      </c>
      <c r="F205" s="127" t="n">
        <v>0</v>
      </c>
      <c r="G205" s="24" t="n">
        <f aca="false">C205-E205-F205</f>
        <v>-61071.0106904261</v>
      </c>
      <c r="I205" s="25" t="n">
        <f aca="false">I204+E205</f>
        <v>561071.010690426</v>
      </c>
      <c r="J205" s="24" t="n">
        <f aca="false">J204+D205</f>
        <v>209952.77538258</v>
      </c>
    </row>
    <row r="206" customFormat="false" ht="15" hidden="true" customHeight="false" outlineLevel="1" collapsed="false">
      <c r="B206" s="125" t="n">
        <v>50131</v>
      </c>
      <c r="C206" s="21" t="n">
        <f aca="false">G205</f>
        <v>-61071.0106904261</v>
      </c>
      <c r="D206" s="24" t="n">
        <f aca="false">C206*E$6</f>
        <v>-254.462544543442</v>
      </c>
      <c r="E206" s="25" t="n">
        <f aca="false">E$8-D206</f>
        <v>4208.43067825117</v>
      </c>
      <c r="F206" s="126" t="n">
        <v>0</v>
      </c>
      <c r="G206" s="24" t="n">
        <f aca="false">C206-E206-F206</f>
        <v>-65279.4413686772</v>
      </c>
      <c r="I206" s="25" t="n">
        <f aca="false">I205+E206</f>
        <v>565279.441368677</v>
      </c>
      <c r="J206" s="24" t="n">
        <f aca="false">J205+D206</f>
        <v>209698.312838037</v>
      </c>
    </row>
    <row r="207" customFormat="false" ht="15" hidden="true" customHeight="false" outlineLevel="1" collapsed="false">
      <c r="B207" s="125" t="n">
        <v>50161</v>
      </c>
      <c r="C207" s="21" t="n">
        <f aca="false">G206</f>
        <v>-65279.4413686772</v>
      </c>
      <c r="D207" s="24" t="n">
        <f aca="false">C207*E$6</f>
        <v>-271.997672369488</v>
      </c>
      <c r="E207" s="25" t="n">
        <f aca="false">E$8-D207</f>
        <v>4225.96580607721</v>
      </c>
      <c r="F207" s="127" t="n">
        <v>0</v>
      </c>
      <c r="G207" s="24" t="n">
        <f aca="false">C207-E207-F207</f>
        <v>-69505.4071747544</v>
      </c>
      <c r="I207" s="25" t="n">
        <f aca="false">I206+E207</f>
        <v>569505.407174754</v>
      </c>
      <c r="J207" s="24" t="n">
        <f aca="false">J206+D207</f>
        <v>209426.315165667</v>
      </c>
    </row>
    <row r="208" customFormat="false" ht="15" hidden="true" customHeight="false" outlineLevel="1" collapsed="false">
      <c r="B208" s="125" t="n">
        <v>50192</v>
      </c>
      <c r="C208" s="21" t="n">
        <f aca="false">G207</f>
        <v>-69505.4071747544</v>
      </c>
      <c r="D208" s="24" t="n">
        <f aca="false">C208*E$6</f>
        <v>-289.605863228144</v>
      </c>
      <c r="E208" s="25" t="n">
        <f aca="false">E$8-D208</f>
        <v>4243.57399693587</v>
      </c>
      <c r="F208" s="126" t="n">
        <v>0</v>
      </c>
      <c r="G208" s="24" t="n">
        <f aca="false">C208-E208-F208</f>
        <v>-73748.9811716903</v>
      </c>
      <c r="I208" s="25" t="n">
        <f aca="false">I207+E208</f>
        <v>573748.98117169</v>
      </c>
      <c r="J208" s="24" t="n">
        <f aca="false">J207+D208</f>
        <v>209136.709302439</v>
      </c>
    </row>
    <row r="209" customFormat="false" ht="15" hidden="true" customHeight="false" outlineLevel="1" collapsed="false">
      <c r="B209" s="125" t="n">
        <v>50222</v>
      </c>
      <c r="C209" s="21" t="n">
        <f aca="false">G208</f>
        <v>-73748.9811716903</v>
      </c>
      <c r="D209" s="24" t="n">
        <f aca="false">C209*E$6</f>
        <v>-307.28742154871</v>
      </c>
      <c r="E209" s="25" t="n">
        <f aca="false">E$8-D209</f>
        <v>4261.25555525643</v>
      </c>
      <c r="F209" s="127" t="n">
        <v>0</v>
      </c>
      <c r="G209" s="24" t="n">
        <f aca="false">C209-E209-F209</f>
        <v>-78010.2367269467</v>
      </c>
      <c r="I209" s="25" t="n">
        <f aca="false">I208+E209</f>
        <v>578010.236726947</v>
      </c>
      <c r="J209" s="24" t="n">
        <f aca="false">J208+D209</f>
        <v>208829.42188089</v>
      </c>
    </row>
    <row r="210" customFormat="false" ht="15" hidden="true" customHeight="false" outlineLevel="1" collapsed="false">
      <c r="B210" s="125" t="n">
        <v>50253</v>
      </c>
      <c r="C210" s="21" t="n">
        <f aca="false">G209</f>
        <v>-78010.2367269467</v>
      </c>
      <c r="D210" s="24" t="n">
        <f aca="false">C210*E$6</f>
        <v>-325.042653028945</v>
      </c>
      <c r="E210" s="25" t="n">
        <f aca="false">E$8-D210</f>
        <v>4279.01078673667</v>
      </c>
      <c r="F210" s="126" t="n">
        <v>0</v>
      </c>
      <c r="G210" s="24" t="n">
        <f aca="false">C210-E210-F210</f>
        <v>-82289.2475136834</v>
      </c>
      <c r="I210" s="25" t="n">
        <f aca="false">I209+E210</f>
        <v>582289.247513683</v>
      </c>
      <c r="J210" s="24" t="n">
        <f aca="false">J209+D210</f>
        <v>208504.379227861</v>
      </c>
    </row>
    <row r="211" customFormat="false" ht="15" hidden="true" customHeight="false" outlineLevel="1" collapsed="false">
      <c r="B211" s="125" t="n">
        <v>50284</v>
      </c>
      <c r="C211" s="21" t="n">
        <f aca="false">G210</f>
        <v>-82289.2475136834</v>
      </c>
      <c r="D211" s="24" t="n">
        <f aca="false">C211*E$6</f>
        <v>-342.871864640348</v>
      </c>
      <c r="E211" s="25" t="n">
        <f aca="false">E$8-D211</f>
        <v>4296.83999834807</v>
      </c>
      <c r="F211" s="127" t="n">
        <v>0</v>
      </c>
      <c r="G211" s="24" t="n">
        <f aca="false">C211-E211-F211</f>
        <v>-86586.0875120315</v>
      </c>
      <c r="I211" s="25" t="n">
        <f aca="false">I210+E211</f>
        <v>586586.087512031</v>
      </c>
      <c r="J211" s="24" t="n">
        <f aca="false">J210+D211</f>
        <v>208161.507363221</v>
      </c>
    </row>
    <row r="212" customFormat="false" ht="15" hidden="true" customHeight="false" outlineLevel="1" collapsed="false">
      <c r="B212" s="125" t="n">
        <v>50314</v>
      </c>
      <c r="C212" s="21" t="n">
        <f aca="false">G211</f>
        <v>-86586.0875120315</v>
      </c>
      <c r="D212" s="24" t="n">
        <f aca="false">C212*E$6</f>
        <v>-360.775364633464</v>
      </c>
      <c r="E212" s="25" t="n">
        <f aca="false">E$8-D212</f>
        <v>4314.74349834119</v>
      </c>
      <c r="F212" s="126" t="n">
        <v>0</v>
      </c>
      <c r="G212" s="24" t="n">
        <f aca="false">C212-E212-F212</f>
        <v>-90900.8310103726</v>
      </c>
      <c r="I212" s="25" t="n">
        <f aca="false">I211+E212</f>
        <v>590900.831010372</v>
      </c>
      <c r="J212" s="24" t="n">
        <f aca="false">J211+D212</f>
        <v>207800.731998587</v>
      </c>
    </row>
    <row r="213" customFormat="false" ht="15" hidden="true" customHeight="false" outlineLevel="1" collapsed="false">
      <c r="B213" s="125" t="n">
        <v>50345</v>
      </c>
      <c r="C213" s="21" t="n">
        <f aca="false">G212</f>
        <v>-90900.8310103726</v>
      </c>
      <c r="D213" s="24" t="n">
        <f aca="false">C213*E$6</f>
        <v>-378.753462543219</v>
      </c>
      <c r="E213" s="25" t="n">
        <f aca="false">E$8-D213</f>
        <v>4332.72159625094</v>
      </c>
      <c r="F213" s="127" t="n">
        <v>0</v>
      </c>
      <c r="G213" s="24" t="n">
        <f aca="false">C213-E213-F213</f>
        <v>-95233.5526066236</v>
      </c>
      <c r="I213" s="25" t="n">
        <f aca="false">I212+E213</f>
        <v>595233.552606623</v>
      </c>
      <c r="J213" s="24" t="n">
        <f aca="false">J212+D213</f>
        <v>207421.978536044</v>
      </c>
    </row>
    <row r="214" customFormat="false" ht="15" hidden="true" customHeight="false" outlineLevel="1" collapsed="false">
      <c r="B214" s="125" t="n">
        <v>50375</v>
      </c>
      <c r="C214" s="21" t="n">
        <f aca="false">G213</f>
        <v>-95233.5526066236</v>
      </c>
      <c r="D214" s="24" t="n">
        <f aca="false">C214*E$6</f>
        <v>-396.806469194265</v>
      </c>
      <c r="E214" s="25" t="n">
        <f aca="false">E$8-D214</f>
        <v>4350.77460290199</v>
      </c>
      <c r="F214" s="126" t="n">
        <v>0</v>
      </c>
      <c r="G214" s="24" t="n">
        <f aca="false">C214-E214-F214</f>
        <v>-99584.3272095256</v>
      </c>
      <c r="I214" s="25" t="n">
        <f aca="false">I213+E214</f>
        <v>599584.327209525</v>
      </c>
      <c r="J214" s="24" t="n">
        <f aca="false">J213+D214</f>
        <v>207025.17206685</v>
      </c>
    </row>
    <row r="215" customFormat="false" ht="15" hidden="true" customHeight="false" outlineLevel="1" collapsed="false">
      <c r="B215" s="125" t="n">
        <v>50406</v>
      </c>
      <c r="C215" s="21" t="n">
        <f aca="false">G214</f>
        <v>-99584.3272095256</v>
      </c>
      <c r="D215" s="24" t="n">
        <f aca="false">C215*E$6</f>
        <v>-414.934696706357</v>
      </c>
      <c r="E215" s="25" t="n">
        <f aca="false">E$8-D215</f>
        <v>4368.90283041408</v>
      </c>
      <c r="F215" s="127" t="n">
        <v>0</v>
      </c>
      <c r="G215" s="24" t="n">
        <f aca="false">C215-E215-F215</f>
        <v>-103953.23003994</v>
      </c>
      <c r="I215" s="25" t="n">
        <f aca="false">I214+E215</f>
        <v>603953.230039939</v>
      </c>
      <c r="J215" s="24" t="n">
        <f aca="false">J214+D215</f>
        <v>206610.237370144</v>
      </c>
    </row>
    <row r="216" customFormat="false" ht="15" hidden="true" customHeight="false" outlineLevel="1" collapsed="false">
      <c r="B216" s="125" t="n">
        <v>50437</v>
      </c>
      <c r="C216" s="21" t="n">
        <f aca="false">G215</f>
        <v>-103953.23003994</v>
      </c>
      <c r="D216" s="24" t="n">
        <f aca="false">C216*E$6</f>
        <v>-433.138458499749</v>
      </c>
      <c r="E216" s="25" t="n">
        <f aca="false">E$8-D216</f>
        <v>4387.10659220747</v>
      </c>
      <c r="F216" s="126" t="n">
        <v>0</v>
      </c>
      <c r="G216" s="24" t="n">
        <f aca="false">C216-E216-F216</f>
        <v>-108340.336632147</v>
      </c>
      <c r="I216" s="25" t="n">
        <f aca="false">I215+E216</f>
        <v>608340.336632147</v>
      </c>
      <c r="J216" s="24" t="n">
        <f aca="false">J215+D216</f>
        <v>206177.098911644</v>
      </c>
    </row>
    <row r="217" customFormat="false" ht="15" hidden="true" customHeight="false" outlineLevel="1" collapsed="false">
      <c r="B217" s="125" t="n">
        <v>50465</v>
      </c>
      <c r="C217" s="21" t="n">
        <f aca="false">G216</f>
        <v>-108340.336632147</v>
      </c>
      <c r="D217" s="24" t="n">
        <f aca="false">C217*E$6</f>
        <v>-451.418069300613</v>
      </c>
      <c r="E217" s="25" t="n">
        <f aca="false">E$8-D217</f>
        <v>4405.38620300834</v>
      </c>
      <c r="F217" s="127" t="n">
        <v>0</v>
      </c>
      <c r="G217" s="24" t="n">
        <f aca="false">C217-E217-F217</f>
        <v>-112745.722835155</v>
      </c>
      <c r="I217" s="25" t="n">
        <f aca="false">I216+E217</f>
        <v>612745.722835155</v>
      </c>
      <c r="J217" s="24" t="n">
        <f aca="false">J216+D217</f>
        <v>205725.680842343</v>
      </c>
    </row>
    <row r="218" customFormat="false" ht="15" hidden="true" customHeight="false" outlineLevel="1" collapsed="false">
      <c r="B218" s="125" t="n">
        <v>50496</v>
      </c>
      <c r="C218" s="21" t="n">
        <f aca="false">G217</f>
        <v>-112745.722835155</v>
      </c>
      <c r="D218" s="24" t="n">
        <f aca="false">C218*E$6</f>
        <v>-469.773845146481</v>
      </c>
      <c r="E218" s="25" t="n">
        <f aca="false">E$8-D218</f>
        <v>4423.7419788542</v>
      </c>
      <c r="F218" s="126" t="n">
        <v>0</v>
      </c>
      <c r="G218" s="24" t="n">
        <f aca="false">C218-E218-F218</f>
        <v>-117169.46481401</v>
      </c>
      <c r="I218" s="25" t="n">
        <f aca="false">I217+E218</f>
        <v>617169.464814009</v>
      </c>
      <c r="J218" s="24" t="n">
        <f aca="false">J217+D218</f>
        <v>205255.906997197</v>
      </c>
    </row>
    <row r="219" customFormat="false" ht="15" hidden="true" customHeight="false" outlineLevel="1" collapsed="false">
      <c r="B219" s="125" t="n">
        <v>50526</v>
      </c>
      <c r="C219" s="21" t="n">
        <f aca="false">G218</f>
        <v>-117169.46481401</v>
      </c>
      <c r="D219" s="24" t="n">
        <f aca="false">C219*E$6</f>
        <v>-488.206103391707</v>
      </c>
      <c r="E219" s="25" t="n">
        <f aca="false">E$8-D219</f>
        <v>4442.17423709943</v>
      </c>
      <c r="F219" s="127" t="n">
        <v>0</v>
      </c>
      <c r="G219" s="24" t="n">
        <f aca="false">C219-E219-F219</f>
        <v>-121611.639051109</v>
      </c>
      <c r="I219" s="25" t="n">
        <f aca="false">I218+E219</f>
        <v>621611.639051109</v>
      </c>
      <c r="J219" s="24" t="n">
        <f aca="false">J218+D219</f>
        <v>204767.700893805</v>
      </c>
    </row>
    <row r="220" customFormat="false" ht="15" hidden="true" customHeight="false" outlineLevel="1" collapsed="false">
      <c r="B220" s="125" t="n">
        <v>50557</v>
      </c>
      <c r="C220" s="21" t="n">
        <f aca="false">G219</f>
        <v>-121611.639051109</v>
      </c>
      <c r="D220" s="24" t="n">
        <f aca="false">C220*E$6</f>
        <v>-506.715162712955</v>
      </c>
      <c r="E220" s="25" t="n">
        <f aca="false">E$8-D220</f>
        <v>4460.68329642068</v>
      </c>
      <c r="F220" s="126" t="n">
        <v>0</v>
      </c>
      <c r="G220" s="24" t="n">
        <f aca="false">C220-E220-F220</f>
        <v>-126072.32234753</v>
      </c>
      <c r="I220" s="25" t="n">
        <f aca="false">I219+E220</f>
        <v>626072.32234753</v>
      </c>
      <c r="J220" s="24" t="n">
        <f aca="false">J219+D220</f>
        <v>204260.985731092</v>
      </c>
    </row>
    <row r="221" customFormat="false" ht="15" hidden="true" customHeight="false" outlineLevel="1" collapsed="false">
      <c r="B221" s="125" t="n">
        <v>50587</v>
      </c>
      <c r="C221" s="21" t="n">
        <f aca="false">G220</f>
        <v>-126072.32234753</v>
      </c>
      <c r="D221" s="24" t="n">
        <f aca="false">C221*E$6</f>
        <v>-525.301343114707</v>
      </c>
      <c r="E221" s="25" t="n">
        <f aca="false">E$8-D221</f>
        <v>4479.26947682243</v>
      </c>
      <c r="F221" s="127" t="n">
        <v>0</v>
      </c>
      <c r="G221" s="24" t="n">
        <f aca="false">C221-E221-F221</f>
        <v>-130551.591824352</v>
      </c>
      <c r="I221" s="25" t="n">
        <f aca="false">I220+E221</f>
        <v>630551.591824352</v>
      </c>
      <c r="J221" s="24" t="n">
        <f aca="false">J220+D221</f>
        <v>203735.684387977</v>
      </c>
    </row>
    <row r="222" customFormat="false" ht="15" hidden="true" customHeight="false" outlineLevel="1" collapsed="false">
      <c r="B222" s="125" t="n">
        <v>50618</v>
      </c>
      <c r="C222" s="21" t="n">
        <f aca="false">G221</f>
        <v>-130551.591824352</v>
      </c>
      <c r="D222" s="24" t="n">
        <f aca="false">C222*E$6</f>
        <v>-543.964965934801</v>
      </c>
      <c r="E222" s="25" t="n">
        <f aca="false">E$8-D222</f>
        <v>4497.93309964252</v>
      </c>
      <c r="F222" s="126" t="n">
        <v>0</v>
      </c>
      <c r="G222" s="24" t="n">
        <f aca="false">C222-E222-F222</f>
        <v>-135049.524923995</v>
      </c>
      <c r="I222" s="25" t="n">
        <f aca="false">I221+E222</f>
        <v>635049.524923995</v>
      </c>
      <c r="J222" s="24" t="n">
        <f aca="false">J221+D222</f>
        <v>203191.719422043</v>
      </c>
    </row>
    <row r="223" customFormat="false" ht="15" hidden="true" customHeight="false" outlineLevel="1" collapsed="false">
      <c r="B223" s="125" t="n">
        <v>50649</v>
      </c>
      <c r="C223" s="21" t="n">
        <f aca="false">G222</f>
        <v>-135049.524923995</v>
      </c>
      <c r="D223" s="24" t="n">
        <f aca="false">C223*E$6</f>
        <v>-562.706353849978</v>
      </c>
      <c r="E223" s="25" t="n">
        <f aca="false">E$8-D223</f>
        <v>4516.6744875577</v>
      </c>
      <c r="F223" s="127" t="n">
        <v>0</v>
      </c>
      <c r="G223" s="24" t="n">
        <f aca="false">C223-E223-F223</f>
        <v>-139566.199411552</v>
      </c>
      <c r="I223" s="25" t="n">
        <f aca="false">I222+E223</f>
        <v>639566.199411552</v>
      </c>
      <c r="J223" s="24" t="n">
        <f aca="false">J222+D223</f>
        <v>202629.013068193</v>
      </c>
    </row>
    <row r="224" customFormat="false" ht="15" hidden="true" customHeight="false" outlineLevel="1" collapsed="false">
      <c r="B224" s="125" t="n">
        <v>50679</v>
      </c>
      <c r="C224" s="21" t="n">
        <f aca="false">G223</f>
        <v>-139566.199411552</v>
      </c>
      <c r="D224" s="24" t="n">
        <f aca="false">C224*E$6</f>
        <v>-581.525830881468</v>
      </c>
      <c r="E224" s="25" t="n">
        <f aca="false">E$8-D224</f>
        <v>4535.49396458919</v>
      </c>
      <c r="F224" s="126" t="n">
        <v>0</v>
      </c>
      <c r="G224" s="24" t="n">
        <f aca="false">C224-E224-F224</f>
        <v>-144101.693376142</v>
      </c>
      <c r="I224" s="25" t="n">
        <f aca="false">I223+E224</f>
        <v>644101.693376142</v>
      </c>
      <c r="J224" s="24" t="n">
        <f aca="false">J223+D224</f>
        <v>202047.487237311</v>
      </c>
    </row>
    <row r="225" customFormat="false" ht="15" hidden="true" customHeight="false" outlineLevel="1" collapsed="false">
      <c r="B225" s="125" t="n">
        <v>50710</v>
      </c>
      <c r="C225" s="21" t="n">
        <f aca="false">G224</f>
        <v>-144101.693376142</v>
      </c>
      <c r="D225" s="24" t="n">
        <f aca="false">C225*E$6</f>
        <v>-600.42372240059</v>
      </c>
      <c r="E225" s="25" t="n">
        <f aca="false">E$8-D225</f>
        <v>4554.39185610831</v>
      </c>
      <c r="F225" s="127" t="n">
        <v>0</v>
      </c>
      <c r="G225" s="24" t="n">
        <f aca="false">C225-E225-F225</f>
        <v>-148656.08523225</v>
      </c>
      <c r="I225" s="25" t="n">
        <f aca="false">I224+E225</f>
        <v>648656.08523225</v>
      </c>
      <c r="J225" s="24" t="n">
        <f aca="false">J224+D225</f>
        <v>201447.063514911</v>
      </c>
    </row>
    <row r="226" customFormat="false" ht="15" hidden="true" customHeight="false" outlineLevel="1" collapsed="false">
      <c r="B226" s="125" t="n">
        <v>50740</v>
      </c>
      <c r="C226" s="21" t="n">
        <f aca="false">G225</f>
        <v>-148656.08523225</v>
      </c>
      <c r="D226" s="24" t="n">
        <f aca="false">C226*E$6</f>
        <v>-619.400355134375</v>
      </c>
      <c r="E226" s="25" t="n">
        <f aca="false">E$8-D226</f>
        <v>4573.3684888421</v>
      </c>
      <c r="F226" s="126" t="n">
        <v>0</v>
      </c>
      <c r="G226" s="24" t="n">
        <f aca="false">C226-E226-F226</f>
        <v>-153229.453721092</v>
      </c>
      <c r="I226" s="25" t="n">
        <f aca="false">I225+E226</f>
        <v>653229.453721092</v>
      </c>
      <c r="J226" s="24" t="n">
        <f aca="false">J225+D226</f>
        <v>200827.663159776</v>
      </c>
    </row>
    <row r="227" customFormat="false" ht="15" hidden="true" customHeight="false" outlineLevel="1" collapsed="false">
      <c r="B227" s="125" t="n">
        <v>50771</v>
      </c>
      <c r="C227" s="21" t="n">
        <f aca="false">G226</f>
        <v>-153229.453721092</v>
      </c>
      <c r="D227" s="24" t="n">
        <f aca="false">C227*E$6</f>
        <v>-638.456057171217</v>
      </c>
      <c r="E227" s="25" t="n">
        <f aca="false">E$8-D227</f>
        <v>4592.42419087894</v>
      </c>
      <c r="F227" s="127" t="n">
        <v>0</v>
      </c>
      <c r="G227" s="24" t="n">
        <f aca="false">C227-E227-F227</f>
        <v>-157821.877911971</v>
      </c>
      <c r="I227" s="25" t="n">
        <f aca="false">I226+E227</f>
        <v>657821.877911971</v>
      </c>
      <c r="J227" s="24" t="n">
        <f aca="false">J226+D227</f>
        <v>200189.207102605</v>
      </c>
    </row>
    <row r="228" customFormat="false" ht="15" hidden="true" customHeight="false" outlineLevel="1" collapsed="false">
      <c r="B228" s="125" t="n">
        <v>50802</v>
      </c>
      <c r="C228" s="21" t="n">
        <f aca="false">G227</f>
        <v>-157821.877911971</v>
      </c>
      <c r="D228" s="24" t="n">
        <f aca="false">C228*E$6</f>
        <v>-657.591157966546</v>
      </c>
      <c r="E228" s="25" t="n">
        <f aca="false">E$8-D228</f>
        <v>4611.55929167427</v>
      </c>
      <c r="F228" s="126" t="n">
        <v>0</v>
      </c>
      <c r="G228" s="24" t="n">
        <f aca="false">C228-E228-F228</f>
        <v>-162433.437203645</v>
      </c>
      <c r="I228" s="25" t="n">
        <f aca="false">I227+E228</f>
        <v>662433.437203645</v>
      </c>
      <c r="J228" s="24" t="n">
        <f aca="false">J227+D228</f>
        <v>199531.615944638</v>
      </c>
    </row>
    <row r="229" customFormat="false" ht="15" hidden="true" customHeight="false" outlineLevel="1" collapsed="false">
      <c r="B229" s="125" t="n">
        <v>50830</v>
      </c>
      <c r="C229" s="21" t="n">
        <f aca="false">G228</f>
        <v>-162433.437203645</v>
      </c>
      <c r="D229" s="24" t="n">
        <f aca="false">C229*E$6</f>
        <v>-676.805988348522</v>
      </c>
      <c r="E229" s="25" t="n">
        <f aca="false">E$8-D229</f>
        <v>4630.77412205625</v>
      </c>
      <c r="F229" s="127" t="n">
        <v>0</v>
      </c>
      <c r="G229" s="24" t="n">
        <f aca="false">C229-E229-F229</f>
        <v>-167064.211325701</v>
      </c>
      <c r="I229" s="25" t="n">
        <f aca="false">I228+E229</f>
        <v>667064.211325701</v>
      </c>
      <c r="J229" s="24" t="n">
        <f aca="false">J228+D229</f>
        <v>198854.80995629</v>
      </c>
    </row>
    <row r="230" customFormat="false" ht="15" hidden="true" customHeight="false" outlineLevel="1" collapsed="false">
      <c r="B230" s="125" t="n">
        <v>50861</v>
      </c>
      <c r="C230" s="21" t="n">
        <f aca="false">G229</f>
        <v>-167064.211325701</v>
      </c>
      <c r="D230" s="24" t="n">
        <f aca="false">C230*E$6</f>
        <v>-696.100880523756</v>
      </c>
      <c r="E230" s="25" t="n">
        <f aca="false">E$8-D230</f>
        <v>4650.06901423148</v>
      </c>
      <c r="F230" s="126" t="n">
        <v>0</v>
      </c>
      <c r="G230" s="24" t="n">
        <f aca="false">C230-E230-F230</f>
        <v>-171714.280339933</v>
      </c>
      <c r="I230" s="25" t="n">
        <f aca="false">I229+E230</f>
        <v>671714.280339933</v>
      </c>
      <c r="J230" s="24" t="n">
        <f aca="false">J229+D230</f>
        <v>198158.709075766</v>
      </c>
    </row>
    <row r="231" customFormat="false" ht="15" hidden="true" customHeight="false" outlineLevel="1" collapsed="false">
      <c r="B231" s="125" t="n">
        <v>50891</v>
      </c>
      <c r="C231" s="21" t="n">
        <f aca="false">G230</f>
        <v>-171714.280339933</v>
      </c>
      <c r="D231" s="24" t="n">
        <f aca="false">C231*E$6</f>
        <v>-715.476168083054</v>
      </c>
      <c r="E231" s="25" t="n">
        <f aca="false">E$8-D231</f>
        <v>4669.44430179078</v>
      </c>
      <c r="F231" s="127" t="n">
        <v>0</v>
      </c>
      <c r="G231" s="24" t="n">
        <f aca="false">C231-E231-F231</f>
        <v>-176383.724641724</v>
      </c>
      <c r="I231" s="25" t="n">
        <f aca="false">I230+E231</f>
        <v>676383.724641724</v>
      </c>
      <c r="J231" s="24" t="n">
        <f aca="false">J230+D231</f>
        <v>197443.232907683</v>
      </c>
    </row>
    <row r="232" customFormat="false" ht="15" hidden="true" customHeight="false" outlineLevel="1" collapsed="false">
      <c r="B232" s="125" t="n">
        <v>50922</v>
      </c>
      <c r="C232" s="21" t="n">
        <f aca="false">G231</f>
        <v>-176383.724641724</v>
      </c>
      <c r="D232" s="24" t="n">
        <f aca="false">C232*E$6</f>
        <v>-734.932186007182</v>
      </c>
      <c r="E232" s="25" t="n">
        <f aca="false">E$8-D232</f>
        <v>4688.90031971491</v>
      </c>
      <c r="F232" s="126" t="n">
        <v>0</v>
      </c>
      <c r="G232" s="24" t="n">
        <f aca="false">C232-E232-F232</f>
        <v>-181072.624961439</v>
      </c>
      <c r="I232" s="25" t="n">
        <f aca="false">I231+E232</f>
        <v>681072.624961439</v>
      </c>
      <c r="J232" s="24" t="n">
        <f aca="false">J231+D232</f>
        <v>196708.300721676</v>
      </c>
    </row>
    <row r="233" customFormat="false" ht="15" hidden="true" customHeight="false" outlineLevel="1" collapsed="false">
      <c r="B233" s="125" t="n">
        <v>50952</v>
      </c>
      <c r="C233" s="21" t="n">
        <f aca="false">G232</f>
        <v>-181072.624961439</v>
      </c>
      <c r="D233" s="24" t="n">
        <f aca="false">C233*E$6</f>
        <v>-754.469270672661</v>
      </c>
      <c r="E233" s="25" t="n">
        <f aca="false">E$8-D233</f>
        <v>4708.43740438038</v>
      </c>
      <c r="F233" s="127" t="n">
        <v>0</v>
      </c>
      <c r="G233" s="24" t="n">
        <f aca="false">C233-E233-F233</f>
        <v>-185781.062365819</v>
      </c>
      <c r="I233" s="25" t="n">
        <f aca="false">I232+E233</f>
        <v>685781.062365819</v>
      </c>
      <c r="J233" s="24" t="n">
        <f aca="false">J232+D233</f>
        <v>195953.831451003</v>
      </c>
    </row>
    <row r="234" customFormat="false" ht="15" hidden="true" customHeight="false" outlineLevel="1" collapsed="false">
      <c r="B234" s="125" t="n">
        <v>50983</v>
      </c>
      <c r="C234" s="21" t="n">
        <f aca="false">G233</f>
        <v>-185781.062365819</v>
      </c>
      <c r="D234" s="24" t="n">
        <f aca="false">C234*E$6</f>
        <v>-774.087759857579</v>
      </c>
      <c r="E234" s="25" t="n">
        <f aca="false">E$8-D234</f>
        <v>4728.0558935653</v>
      </c>
      <c r="F234" s="126" t="n">
        <v>0</v>
      </c>
      <c r="G234" s="24" t="n">
        <f aca="false">C234-E234-F234</f>
        <v>-190509.118259384</v>
      </c>
      <c r="I234" s="25" t="n">
        <f aca="false">I233+E234</f>
        <v>690509.118259384</v>
      </c>
      <c r="J234" s="24" t="n">
        <f aca="false">J233+D234</f>
        <v>195179.743691146</v>
      </c>
    </row>
    <row r="235" customFormat="false" ht="15" hidden="true" customHeight="false" outlineLevel="1" collapsed="false">
      <c r="B235" s="125" t="n">
        <v>51014</v>
      </c>
      <c r="C235" s="21" t="n">
        <f aca="false">G234</f>
        <v>-190509.118259384</v>
      </c>
      <c r="D235" s="24" t="n">
        <f aca="false">C235*E$6</f>
        <v>-793.787992747435</v>
      </c>
      <c r="E235" s="25" t="n">
        <f aca="false">E$8-D235</f>
        <v>4747.75612645516</v>
      </c>
      <c r="F235" s="127" t="n">
        <v>0</v>
      </c>
      <c r="G235" s="24" t="n">
        <f aca="false">C235-E235-F235</f>
        <v>-195256.874385839</v>
      </c>
      <c r="I235" s="25" t="n">
        <f aca="false">I234+E235</f>
        <v>695256.874385839</v>
      </c>
      <c r="J235" s="24" t="n">
        <f aca="false">J234+D235</f>
        <v>194385.955698398</v>
      </c>
    </row>
    <row r="236" customFormat="false" ht="15" hidden="true" customHeight="false" outlineLevel="1" collapsed="false">
      <c r="B236" s="125" t="n">
        <v>51044</v>
      </c>
      <c r="C236" s="21" t="n">
        <f aca="false">G235</f>
        <v>-195256.874385839</v>
      </c>
      <c r="D236" s="24" t="n">
        <f aca="false">C236*E$6</f>
        <v>-813.570309940998</v>
      </c>
      <c r="E236" s="25" t="n">
        <f aca="false">E$8-D236</f>
        <v>4767.53844364872</v>
      </c>
      <c r="F236" s="126" t="n">
        <v>0</v>
      </c>
      <c r="G236" s="24" t="n">
        <f aca="false">C236-E236-F236</f>
        <v>-200024.412829488</v>
      </c>
      <c r="I236" s="25" t="n">
        <f aca="false">I235+E236</f>
        <v>700024.412829488</v>
      </c>
      <c r="J236" s="24" t="n">
        <f aca="false">J235+D236</f>
        <v>193572.385388457</v>
      </c>
    </row>
    <row r="237" customFormat="false" ht="15" hidden="true" customHeight="false" outlineLevel="1" collapsed="false">
      <c r="B237" s="125" t="n">
        <v>51075</v>
      </c>
      <c r="C237" s="21" t="n">
        <f aca="false">G236</f>
        <v>-200024.412829488</v>
      </c>
      <c r="D237" s="24" t="n">
        <f aca="false">C237*E$6</f>
        <v>-833.435053456201</v>
      </c>
      <c r="E237" s="25" t="n">
        <f aca="false">E$8-D237</f>
        <v>4787.40318716392</v>
      </c>
      <c r="F237" s="127" t="n">
        <v>0</v>
      </c>
      <c r="G237" s="24" t="n">
        <f aca="false">C237-E237-F237</f>
        <v>-204811.816016652</v>
      </c>
      <c r="I237" s="25" t="n">
        <f aca="false">I236+E237</f>
        <v>704811.816016652</v>
      </c>
      <c r="J237" s="24" t="n">
        <f aca="false">J236+D237</f>
        <v>192738.950335001</v>
      </c>
    </row>
    <row r="238" customFormat="false" ht="15" hidden="true" customHeight="false" outlineLevel="1" collapsed="false">
      <c r="B238" s="125" t="n">
        <v>51105</v>
      </c>
      <c r="C238" s="21" t="n">
        <f aca="false">G237</f>
        <v>-204811.816016652</v>
      </c>
      <c r="D238" s="24" t="n">
        <f aca="false">C238*E$6</f>
        <v>-853.382566736051</v>
      </c>
      <c r="E238" s="25" t="n">
        <f aca="false">E$8-D238</f>
        <v>4807.35070044377</v>
      </c>
      <c r="F238" s="126" t="n">
        <v>0</v>
      </c>
      <c r="G238" s="24" t="n">
        <f aca="false">C238-E238-F238</f>
        <v>-209619.166717096</v>
      </c>
      <c r="I238" s="25" t="n">
        <f aca="false">I237+E238</f>
        <v>709619.166717096</v>
      </c>
      <c r="J238" s="24" t="n">
        <f aca="false">J237+D238</f>
        <v>191885.567768265</v>
      </c>
    </row>
    <row r="239" customFormat="false" ht="15" hidden="true" customHeight="false" outlineLevel="1" collapsed="false">
      <c r="B239" s="125" t="n">
        <v>51136</v>
      </c>
      <c r="C239" s="21" t="n">
        <f aca="false">G238</f>
        <v>-209619.166717096</v>
      </c>
      <c r="D239" s="24" t="n">
        <f aca="false">C239*E$6</f>
        <v>-873.413194654566</v>
      </c>
      <c r="E239" s="25" t="n">
        <f aca="false">E$8-D239</f>
        <v>4827.38132836229</v>
      </c>
      <c r="F239" s="127" t="n">
        <v>0</v>
      </c>
      <c r="G239" s="24" t="n">
        <f aca="false">C239-E239-F239</f>
        <v>-214446.548045458</v>
      </c>
      <c r="I239" s="25" t="n">
        <f aca="false">I238+E239</f>
        <v>714446.548045458</v>
      </c>
      <c r="J239" s="24" t="n">
        <f aca="false">J238+D239</f>
        <v>191012.15457361</v>
      </c>
    </row>
    <row r="240" customFormat="false" ht="15" hidden="true" customHeight="false" outlineLevel="1" collapsed="false">
      <c r="B240" s="125" t="n">
        <v>51167</v>
      </c>
      <c r="C240" s="21" t="n">
        <f aca="false">G239</f>
        <v>-214446.548045458</v>
      </c>
      <c r="D240" s="24" t="n">
        <f aca="false">C240*E$6</f>
        <v>-893.527283522743</v>
      </c>
      <c r="E240" s="25" t="n">
        <f aca="false">E$8-D240</f>
        <v>4847.49541723047</v>
      </c>
      <c r="F240" s="126" t="n">
        <v>0</v>
      </c>
      <c r="G240" s="24" t="n">
        <f aca="false">C240-E240-F240</f>
        <v>-219294.043462689</v>
      </c>
      <c r="I240" s="25" t="n">
        <f aca="false">I239+E240</f>
        <v>719294.043462688</v>
      </c>
      <c r="J240" s="24" t="n">
        <f aca="false">J239+D240</f>
        <v>190118.627290088</v>
      </c>
    </row>
    <row r="241" customFormat="false" ht="15" hidden="true" customHeight="false" outlineLevel="1" collapsed="false">
      <c r="B241" s="125" t="n">
        <v>51196</v>
      </c>
      <c r="C241" s="21" t="n">
        <f aca="false">G240</f>
        <v>-219294.043462689</v>
      </c>
      <c r="D241" s="24" t="n">
        <f aca="false">C241*E$6</f>
        <v>-913.725181094536</v>
      </c>
      <c r="E241" s="25" t="n">
        <f aca="false">E$8-D241</f>
        <v>4867.69331480226</v>
      </c>
      <c r="F241" s="127" t="n">
        <v>0</v>
      </c>
      <c r="G241" s="24" t="n">
        <f aca="false">C241-E241-F241</f>
        <v>-224161.736777491</v>
      </c>
      <c r="I241" s="25" t="n">
        <f aca="false">I240+E241</f>
        <v>724161.736777491</v>
      </c>
      <c r="J241" s="24" t="n">
        <f aca="false">J240+D241</f>
        <v>189204.902108993</v>
      </c>
    </row>
    <row r="242" customFormat="false" ht="15" hidden="true" customHeight="false" outlineLevel="1" collapsed="false">
      <c r="B242" s="125" t="n">
        <v>51227</v>
      </c>
      <c r="C242" s="21" t="n">
        <f aca="false">G241</f>
        <v>-224161.736777491</v>
      </c>
      <c r="D242" s="24" t="n">
        <f aca="false">C242*E$6</f>
        <v>-934.007236572879</v>
      </c>
      <c r="E242" s="25" t="n">
        <f aca="false">E$8-D242</f>
        <v>4887.9753702806</v>
      </c>
      <c r="F242" s="126" t="n">
        <v>0</v>
      </c>
      <c r="G242" s="24" t="n">
        <f aca="false">C242-E242-F242</f>
        <v>-229049.712147772</v>
      </c>
      <c r="I242" s="25" t="n">
        <f aca="false">I241+E242</f>
        <v>729049.712147771</v>
      </c>
      <c r="J242" s="24" t="n">
        <f aca="false">J241+D242</f>
        <v>188270.89487242</v>
      </c>
    </row>
    <row r="243" customFormat="false" ht="15" hidden="true" customHeight="false" outlineLevel="1" collapsed="false">
      <c r="B243" s="125" t="n">
        <v>51257</v>
      </c>
      <c r="C243" s="21" t="n">
        <f aca="false">G242</f>
        <v>-229049.712147772</v>
      </c>
      <c r="D243" s="24" t="n">
        <f aca="false">C243*E$6</f>
        <v>-954.373800615715</v>
      </c>
      <c r="E243" s="25" t="n">
        <f aca="false">E$8-D243</f>
        <v>4908.34193432344</v>
      </c>
      <c r="F243" s="127" t="n">
        <v>0</v>
      </c>
      <c r="G243" s="24" t="n">
        <f aca="false">C243-E243-F243</f>
        <v>-233958.054082095</v>
      </c>
      <c r="I243" s="25" t="n">
        <f aca="false">I242+E243</f>
        <v>733958.054082095</v>
      </c>
      <c r="J243" s="24" t="n">
        <f aca="false">J242+D243</f>
        <v>187316.521071805</v>
      </c>
    </row>
    <row r="244" customFormat="false" ht="15" hidden="true" customHeight="false" outlineLevel="1" collapsed="false">
      <c r="B244" s="125" t="n">
        <v>51288</v>
      </c>
      <c r="C244" s="21" t="n">
        <f aca="false">G243</f>
        <v>-233958.054082095</v>
      </c>
      <c r="D244" s="24" t="n">
        <f aca="false">C244*E$6</f>
        <v>-974.825225342062</v>
      </c>
      <c r="E244" s="25" t="n">
        <f aca="false">E$8-D244</f>
        <v>4928.79335904979</v>
      </c>
      <c r="F244" s="126" t="n">
        <v>0</v>
      </c>
      <c r="G244" s="24" t="n">
        <f aca="false">C244-E244-F244</f>
        <v>-238886.847441145</v>
      </c>
      <c r="I244" s="25" t="n">
        <f aca="false">I243+E244</f>
        <v>738886.847441144</v>
      </c>
      <c r="J244" s="24" t="n">
        <f aca="false">J243+D244</f>
        <v>186341.695846462</v>
      </c>
    </row>
    <row r="245" customFormat="false" ht="15" hidden="true" customHeight="false" outlineLevel="1" collapsed="false">
      <c r="B245" s="125" t="n">
        <v>51318</v>
      </c>
      <c r="C245" s="21" t="n">
        <f aca="false">G244</f>
        <v>-238886.847441145</v>
      </c>
      <c r="D245" s="24" t="n">
        <f aca="false">C245*E$6</f>
        <v>-995.361864338103</v>
      </c>
      <c r="E245" s="25" t="n">
        <f aca="false">E$8-D245</f>
        <v>4949.32999804583</v>
      </c>
      <c r="F245" s="127" t="n">
        <v>0</v>
      </c>
      <c r="G245" s="24" t="n">
        <f aca="false">C245-E245-F245</f>
        <v>-243836.177439191</v>
      </c>
      <c r="I245" s="25" t="n">
        <f aca="false">I244+E245</f>
        <v>743836.17743919</v>
      </c>
      <c r="J245" s="24" t="n">
        <f aca="false">J244+D245</f>
        <v>185346.333982124</v>
      </c>
    </row>
    <row r="246" customFormat="false" ht="15" hidden="true" customHeight="false" outlineLevel="1" collapsed="false">
      <c r="B246" s="125" t="n">
        <v>51349</v>
      </c>
      <c r="C246" s="21" t="n">
        <f aca="false">G245</f>
        <v>-243836.177439191</v>
      </c>
      <c r="D246" s="24" t="n">
        <f aca="false">C246*E$6</f>
        <v>-1015.98407266329</v>
      </c>
      <c r="E246" s="25" t="n">
        <f aca="false">E$8-D246</f>
        <v>4969.95220637102</v>
      </c>
      <c r="F246" s="126" t="n">
        <v>0</v>
      </c>
      <c r="G246" s="24" t="n">
        <f aca="false">C246-E246-F246</f>
        <v>-248806.129645562</v>
      </c>
      <c r="I246" s="25" t="n">
        <f aca="false">I245+E246</f>
        <v>748806.129645561</v>
      </c>
      <c r="J246" s="24" t="n">
        <f aca="false">J245+D246</f>
        <v>184330.349909461</v>
      </c>
    </row>
    <row r="247" customFormat="false" ht="15" hidden="true" customHeight="false" outlineLevel="1" collapsed="false">
      <c r="B247" s="125" t="n">
        <v>51380</v>
      </c>
      <c r="C247" s="21" t="n">
        <f aca="false">G246</f>
        <v>-248806.129645562</v>
      </c>
      <c r="D247" s="24" t="n">
        <f aca="false">C247*E$6</f>
        <v>-1036.69220685651</v>
      </c>
      <c r="E247" s="25" t="n">
        <f aca="false">E$8-D247</f>
        <v>4990.66034056423</v>
      </c>
      <c r="F247" s="127" t="n">
        <v>0</v>
      </c>
      <c r="G247" s="24" t="n">
        <f aca="false">C247-E247-F247</f>
        <v>-253796.789986126</v>
      </c>
      <c r="I247" s="25" t="n">
        <f aca="false">I246+E247</f>
        <v>753796.789986125</v>
      </c>
      <c r="J247" s="24" t="n">
        <f aca="false">J246+D247</f>
        <v>183293.657702605</v>
      </c>
    </row>
    <row r="248" customFormat="false" ht="15" hidden="true" customHeight="false" outlineLevel="1" collapsed="false">
      <c r="B248" s="125" t="n">
        <v>51410</v>
      </c>
      <c r="C248" s="21" t="n">
        <f aca="false">G247</f>
        <v>-253796.789986126</v>
      </c>
      <c r="D248" s="24" t="n">
        <f aca="false">C248*E$6</f>
        <v>-1057.48662494219</v>
      </c>
      <c r="E248" s="25" t="n">
        <f aca="false">E$8-D248</f>
        <v>5011.45475864991</v>
      </c>
      <c r="F248" s="126" t="n">
        <v>0</v>
      </c>
      <c r="G248" s="24" t="n">
        <f aca="false">C248-E248-F248</f>
        <v>-258808.244744776</v>
      </c>
      <c r="I248" s="25" t="n">
        <f aca="false">I247+E248</f>
        <v>758808.244744775</v>
      </c>
      <c r="J248" s="24" t="n">
        <f aca="false">J247+D248</f>
        <v>182236.171077662</v>
      </c>
    </row>
    <row r="249" customFormat="false" ht="15" hidden="true" customHeight="false" outlineLevel="1" collapsed="false">
      <c r="B249" s="125" t="n">
        <v>51441</v>
      </c>
      <c r="C249" s="21" t="n">
        <f aca="false">G248</f>
        <v>-258808.244744776</v>
      </c>
      <c r="D249" s="24" t="n">
        <f aca="false">C249*E$6</f>
        <v>-1078.36768643657</v>
      </c>
      <c r="E249" s="25" t="n">
        <f aca="false">E$8-D249</f>
        <v>5032.33582014429</v>
      </c>
      <c r="F249" s="127" t="n">
        <v>0</v>
      </c>
      <c r="G249" s="24" t="n">
        <f aca="false">C249-E249-F249</f>
        <v>-263840.58056492</v>
      </c>
      <c r="I249" s="25" t="n">
        <f aca="false">I248+E249</f>
        <v>763840.58056492</v>
      </c>
      <c r="J249" s="24" t="n">
        <f aca="false">J248+D249</f>
        <v>181157.803391226</v>
      </c>
    </row>
    <row r="250" customFormat="false" ht="15" hidden="true" customHeight="false" outlineLevel="1" collapsed="false">
      <c r="B250" s="125" t="n">
        <v>51471</v>
      </c>
      <c r="C250" s="21" t="n">
        <f aca="false">G249</f>
        <v>-263840.58056492</v>
      </c>
      <c r="D250" s="24" t="n">
        <f aca="false">C250*E$6</f>
        <v>-1099.33575235383</v>
      </c>
      <c r="E250" s="25" t="n">
        <f aca="false">E$8-D250</f>
        <v>5053.30388606156</v>
      </c>
      <c r="F250" s="126" t="n">
        <v>0</v>
      </c>
      <c r="G250" s="24" t="n">
        <f aca="false">C250-E250-F250</f>
        <v>-268893.884450982</v>
      </c>
      <c r="I250" s="25" t="n">
        <f aca="false">I249+E250</f>
        <v>768893.884450981</v>
      </c>
      <c r="J250" s="24" t="n">
        <f aca="false">J249+D250</f>
        <v>180058.467638872</v>
      </c>
    </row>
    <row r="251" customFormat="false" ht="15" hidden="true" customHeight="false" outlineLevel="1" collapsed="false">
      <c r="B251" s="125" t="n">
        <v>51502</v>
      </c>
      <c r="C251" s="21" t="n">
        <f aca="false">G250</f>
        <v>-268893.884450982</v>
      </c>
      <c r="D251" s="24" t="n">
        <f aca="false">C251*E$6</f>
        <v>-1120.39118521242</v>
      </c>
      <c r="E251" s="25" t="n">
        <f aca="false">E$8-D251</f>
        <v>5074.35931892015</v>
      </c>
      <c r="F251" s="127" t="n">
        <v>0</v>
      </c>
      <c r="G251" s="24" t="n">
        <f aca="false">C251-E251-F251</f>
        <v>-273968.243769902</v>
      </c>
      <c r="I251" s="25" t="n">
        <f aca="false">I250+E251</f>
        <v>773968.243769901</v>
      </c>
      <c r="J251" s="24" t="n">
        <f aca="false">J250+D251</f>
        <v>178938.07645366</v>
      </c>
    </row>
    <row r="252" customFormat="false" ht="15" hidden="true" customHeight="false" outlineLevel="1" collapsed="false">
      <c r="B252" s="125" t="n">
        <v>51533</v>
      </c>
      <c r="C252" s="21" t="n">
        <f aca="false">G251</f>
        <v>-273968.243769902</v>
      </c>
      <c r="D252" s="24" t="n">
        <f aca="false">C252*E$6</f>
        <v>-1141.53434904126</v>
      </c>
      <c r="E252" s="25" t="n">
        <f aca="false">E$8-D252</f>
        <v>5095.50248274898</v>
      </c>
      <c r="F252" s="126" t="n">
        <v>0</v>
      </c>
      <c r="G252" s="24" t="n">
        <f aca="false">C252-E252-F252</f>
        <v>-279063.746252651</v>
      </c>
      <c r="I252" s="25" t="n">
        <f aca="false">I251+E252</f>
        <v>779063.74625265</v>
      </c>
      <c r="J252" s="24" t="n">
        <f aca="false">J251+D252</f>
        <v>177796.542104618</v>
      </c>
    </row>
    <row r="253" customFormat="false" ht="15" hidden="true" customHeight="false" outlineLevel="1" collapsed="false">
      <c r="B253" s="125" t="n">
        <v>51561</v>
      </c>
      <c r="C253" s="21" t="n">
        <f aca="false">G252</f>
        <v>-279063.746252651</v>
      </c>
      <c r="D253" s="24" t="n">
        <f aca="false">C253*E$6</f>
        <v>-1162.76560938604</v>
      </c>
      <c r="E253" s="25" t="n">
        <f aca="false">E$8-D253</f>
        <v>5116.73374309377</v>
      </c>
      <c r="F253" s="127" t="n">
        <v>0</v>
      </c>
      <c r="G253" s="24" t="n">
        <f aca="false">C253-E253-F253</f>
        <v>-284180.479995745</v>
      </c>
      <c r="I253" s="25" t="n">
        <f aca="false">I252+E253</f>
        <v>784180.479995744</v>
      </c>
      <c r="J253" s="24" t="n">
        <f aca="false">J252+D253</f>
        <v>176633.776495232</v>
      </c>
    </row>
    <row r="254" customFormat="false" ht="15" hidden="true" customHeight="false" outlineLevel="1" collapsed="false">
      <c r="B254" s="125" t="n">
        <v>51592</v>
      </c>
      <c r="C254" s="21" t="n">
        <f aca="false">G253</f>
        <v>-284180.479995745</v>
      </c>
      <c r="D254" s="24" t="n">
        <f aca="false">C254*E$6</f>
        <v>-1184.0853333156</v>
      </c>
      <c r="E254" s="25" t="n">
        <f aca="false">E$8-D254</f>
        <v>5138.05346702333</v>
      </c>
      <c r="F254" s="126" t="n">
        <v>0</v>
      </c>
      <c r="G254" s="24" t="n">
        <f aca="false">C254-E254-F254</f>
        <v>-289318.533462768</v>
      </c>
      <c r="I254" s="25" t="n">
        <f aca="false">I253+E254</f>
        <v>789318.533462767</v>
      </c>
      <c r="J254" s="24" t="n">
        <f aca="false">J253+D254</f>
        <v>175449.691161917</v>
      </c>
    </row>
    <row r="255" customFormat="false" ht="15" hidden="true" customHeight="false" outlineLevel="1" collapsed="false">
      <c r="B255" s="125" t="n">
        <v>51622</v>
      </c>
      <c r="C255" s="21" t="n">
        <f aca="false">G254</f>
        <v>-289318.533462768</v>
      </c>
      <c r="D255" s="24" t="n">
        <f aca="false">C255*E$6</f>
        <v>-1205.4938894282</v>
      </c>
      <c r="E255" s="25" t="n">
        <f aca="false">E$8-D255</f>
        <v>5159.46202313592</v>
      </c>
      <c r="F255" s="127" t="n">
        <v>0</v>
      </c>
      <c r="G255" s="24" t="n">
        <f aca="false">C255-E255-F255</f>
        <v>-294477.995485904</v>
      </c>
      <c r="I255" s="25" t="n">
        <f aca="false">I254+E255</f>
        <v>794477.995485903</v>
      </c>
      <c r="J255" s="24" t="n">
        <f aca="false">J254+D255</f>
        <v>174244.197272488</v>
      </c>
    </row>
    <row r="256" customFormat="false" ht="15" hidden="true" customHeight="false" outlineLevel="1" collapsed="false">
      <c r="B256" s="125" t="n">
        <v>51653</v>
      </c>
      <c r="C256" s="21" t="n">
        <f aca="false">G255</f>
        <v>-294477.995485904</v>
      </c>
      <c r="D256" s="24" t="n">
        <f aca="false">C256*E$6</f>
        <v>-1226.99164785793</v>
      </c>
      <c r="E256" s="25" t="n">
        <f aca="false">E$8-D256</f>
        <v>5180.95978156565</v>
      </c>
      <c r="F256" s="126" t="n">
        <v>0</v>
      </c>
      <c r="G256" s="24" t="n">
        <f aca="false">C256-E256-F256</f>
        <v>-299658.955267469</v>
      </c>
      <c r="I256" s="25" t="n">
        <f aca="false">I255+E256</f>
        <v>799658.955267469</v>
      </c>
      <c r="J256" s="24" t="n">
        <f aca="false">J255+D256</f>
        <v>173017.20562463</v>
      </c>
    </row>
    <row r="257" customFormat="false" ht="15" hidden="true" customHeight="false" outlineLevel="1" collapsed="false">
      <c r="B257" s="125" t="n">
        <v>51683</v>
      </c>
      <c r="C257" s="21" t="n">
        <f aca="false">G256</f>
        <v>-299658.955267469</v>
      </c>
      <c r="D257" s="24" t="n">
        <f aca="false">C257*E$6</f>
        <v>-1248.57898028112</v>
      </c>
      <c r="E257" s="25" t="n">
        <f aca="false">E$8-D257</f>
        <v>5202.54711398885</v>
      </c>
      <c r="F257" s="127" t="n">
        <v>0</v>
      </c>
      <c r="G257" s="24" t="n">
        <f aca="false">C257-E257-F257</f>
        <v>-304861.502381458</v>
      </c>
      <c r="I257" s="25" t="n">
        <f aca="false">I256+E257</f>
        <v>804861.502381458</v>
      </c>
      <c r="J257" s="24" t="n">
        <f aca="false">J256+D257</f>
        <v>171768.626644349</v>
      </c>
    </row>
    <row r="258" customFormat="false" ht="15" hidden="true" customHeight="false" outlineLevel="1" collapsed="false">
      <c r="B258" s="125" t="n">
        <v>51714</v>
      </c>
      <c r="C258" s="21" t="n">
        <f aca="false">G257</f>
        <v>-304861.502381458</v>
      </c>
      <c r="D258" s="24" t="n">
        <f aca="false">C258*E$6</f>
        <v>-1270.25625992274</v>
      </c>
      <c r="E258" s="25" t="n">
        <f aca="false">E$8-D258</f>
        <v>5224.22439363047</v>
      </c>
      <c r="F258" s="126" t="n">
        <v>0</v>
      </c>
      <c r="G258" s="24" t="n">
        <f aca="false">C258-E258-F258</f>
        <v>-310085.726775089</v>
      </c>
      <c r="I258" s="25" t="n">
        <f aca="false">I257+E258</f>
        <v>810085.726775089</v>
      </c>
      <c r="J258" s="24" t="n">
        <f aca="false">J257+D258</f>
        <v>170498.370384427</v>
      </c>
    </row>
    <row r="259" customFormat="false" ht="15" hidden="true" customHeight="false" outlineLevel="1" collapsed="false">
      <c r="B259" s="125" t="n">
        <v>51745</v>
      </c>
      <c r="C259" s="21" t="n">
        <f aca="false">G258</f>
        <v>-310085.726775089</v>
      </c>
      <c r="D259" s="24" t="n">
        <f aca="false">C259*E$6</f>
        <v>-1292.02386156287</v>
      </c>
      <c r="E259" s="25" t="n">
        <f aca="false">E$8-D259</f>
        <v>5245.99199527059</v>
      </c>
      <c r="F259" s="127" t="n">
        <v>0</v>
      </c>
      <c r="G259" s="24" t="n">
        <f aca="false">C259-E259-F259</f>
        <v>-315331.718770359</v>
      </c>
      <c r="I259" s="25" t="n">
        <f aca="false">I258+E259</f>
        <v>815331.718770359</v>
      </c>
      <c r="J259" s="24" t="n">
        <f aca="false">J258+D259</f>
        <v>169206.346522864</v>
      </c>
    </row>
    <row r="260" customFormat="false" ht="15" hidden="true" customHeight="false" outlineLevel="1" collapsed="false">
      <c r="B260" s="125" t="n">
        <v>51775</v>
      </c>
      <c r="C260" s="21" t="n">
        <f aca="false">G259</f>
        <v>-315331.718770359</v>
      </c>
      <c r="D260" s="24" t="n">
        <f aca="false">C260*E$6</f>
        <v>-1313.88216154316</v>
      </c>
      <c r="E260" s="25" t="n">
        <f aca="false">E$8-D260</f>
        <v>5267.85029525089</v>
      </c>
      <c r="F260" s="126" t="n">
        <v>0</v>
      </c>
      <c r="G260" s="24" t="n">
        <f aca="false">C260-E260-F260</f>
        <v>-320599.56906561</v>
      </c>
      <c r="I260" s="25" t="n">
        <f aca="false">I259+E260</f>
        <v>820599.56906561</v>
      </c>
      <c r="J260" s="24" t="n">
        <f aca="false">J259+D260</f>
        <v>167892.464361321</v>
      </c>
    </row>
    <row r="261" customFormat="false" ht="15" hidden="true" customHeight="false" outlineLevel="1" collapsed="false">
      <c r="B261" s="125" t="n">
        <v>51806</v>
      </c>
      <c r="C261" s="21" t="n">
        <f aca="false">G260</f>
        <v>-320599.56906561</v>
      </c>
      <c r="D261" s="24" t="n">
        <f aca="false">C261*E$6</f>
        <v>-1335.83153777338</v>
      </c>
      <c r="E261" s="25" t="n">
        <f aca="false">E$8-D261</f>
        <v>5289.7996714811</v>
      </c>
      <c r="F261" s="127" t="n">
        <v>0</v>
      </c>
      <c r="G261" s="24" t="n">
        <f aca="false">C261-E261-F261</f>
        <v>-325889.368737091</v>
      </c>
      <c r="I261" s="25" t="n">
        <f aca="false">I260+E261</f>
        <v>825889.368737091</v>
      </c>
      <c r="J261" s="24" t="n">
        <f aca="false">J260+D261</f>
        <v>166556.632823547</v>
      </c>
    </row>
    <row r="262" customFormat="false" ht="15" hidden="true" customHeight="false" outlineLevel="1" collapsed="false">
      <c r="B262" s="125" t="n">
        <v>51836</v>
      </c>
      <c r="C262" s="21" t="n">
        <f aca="false">G261</f>
        <v>-325889.368737091</v>
      </c>
      <c r="D262" s="24" t="n">
        <f aca="false">C262*E$6</f>
        <v>-1357.87236973788</v>
      </c>
      <c r="E262" s="25" t="n">
        <f aca="false">E$8-D262</f>
        <v>5311.8405034456</v>
      </c>
      <c r="F262" s="126" t="n">
        <v>0</v>
      </c>
      <c r="G262" s="24" t="n">
        <f aca="false">C262-E262-F262</f>
        <v>-331201.209240537</v>
      </c>
      <c r="I262" s="25" t="n">
        <f aca="false">I261+E262</f>
        <v>831201.209240537</v>
      </c>
      <c r="J262" s="24" t="n">
        <f aca="false">J261+D262</f>
        <v>165198.760453809</v>
      </c>
    </row>
    <row r="263" customFormat="false" ht="15" hidden="true" customHeight="false" outlineLevel="1" collapsed="false">
      <c r="B263" s="125" t="n">
        <v>51867</v>
      </c>
      <c r="C263" s="21" t="n">
        <f aca="false">G262</f>
        <v>-331201.209240537</v>
      </c>
      <c r="D263" s="24" t="n">
        <f aca="false">C263*E$6</f>
        <v>-1380.00503850224</v>
      </c>
      <c r="E263" s="25" t="n">
        <f aca="false">E$8-D263</f>
        <v>5333.97317220996</v>
      </c>
      <c r="F263" s="127" t="n">
        <v>0</v>
      </c>
      <c r="G263" s="24" t="n">
        <f aca="false">C263-E263-F263</f>
        <v>-336535.182412747</v>
      </c>
      <c r="I263" s="25" t="n">
        <f aca="false">I262+E263</f>
        <v>836535.182412747</v>
      </c>
      <c r="J263" s="24" t="n">
        <f aca="false">J262+D263</f>
        <v>163818.755415307</v>
      </c>
    </row>
    <row r="264" customFormat="false" ht="15" hidden="true" customHeight="false" outlineLevel="1" collapsed="false">
      <c r="B264" s="125" t="n">
        <v>51898</v>
      </c>
      <c r="C264" s="21" t="n">
        <f aca="false">G263</f>
        <v>-336535.182412747</v>
      </c>
      <c r="D264" s="24" t="n">
        <f aca="false">C264*E$6</f>
        <v>-1402.22992671978</v>
      </c>
      <c r="E264" s="25" t="n">
        <f aca="false">E$8-D264</f>
        <v>5356.1980604275</v>
      </c>
      <c r="F264" s="126" t="n">
        <v>0</v>
      </c>
      <c r="G264" s="24" t="n">
        <f aca="false">C264-E264-F264</f>
        <v>-341891.380473174</v>
      </c>
      <c r="I264" s="25" t="n">
        <f aca="false">I263+E264</f>
        <v>841891.380473174</v>
      </c>
      <c r="J264" s="24" t="n">
        <f aca="false">J263+D264</f>
        <v>162416.525488587</v>
      </c>
    </row>
    <row r="265" customFormat="false" ht="15" hidden="true" customHeight="false" outlineLevel="1" collapsed="false">
      <c r="B265" s="125" t="n">
        <v>51926</v>
      </c>
      <c r="C265" s="21" t="n">
        <f aca="false">G264</f>
        <v>-341891.380473174</v>
      </c>
      <c r="D265" s="24" t="n">
        <f aca="false">C265*E$6</f>
        <v>-1424.54741863823</v>
      </c>
      <c r="E265" s="25" t="n">
        <f aca="false">E$8-D265</f>
        <v>5378.51555234595</v>
      </c>
      <c r="F265" s="127" t="n">
        <v>0</v>
      </c>
      <c r="G265" s="24" t="n">
        <f aca="false">C265-E265-F265</f>
        <v>-347269.89602552</v>
      </c>
      <c r="I265" s="25" t="n">
        <f aca="false">I264+E265</f>
        <v>847269.89602552</v>
      </c>
      <c r="J265" s="24" t="n">
        <f aca="false">J264+D265</f>
        <v>160991.978069949</v>
      </c>
    </row>
    <row r="266" customFormat="false" ht="15" hidden="true" customHeight="false" outlineLevel="1" collapsed="false">
      <c r="B266" s="125" t="n">
        <v>51957</v>
      </c>
      <c r="C266" s="21" t="n">
        <f aca="false">G265</f>
        <v>-347269.89602552</v>
      </c>
      <c r="D266" s="24" t="n">
        <f aca="false">C266*E$6</f>
        <v>-1446.95790010633</v>
      </c>
      <c r="E266" s="25" t="n">
        <f aca="false">E$8-D266</f>
        <v>5400.92603381406</v>
      </c>
      <c r="F266" s="126" t="n">
        <v>0</v>
      </c>
      <c r="G266" s="24" t="n">
        <f aca="false">C266-E266-F266</f>
        <v>-352670.822059334</v>
      </c>
      <c r="I266" s="25" t="n">
        <f aca="false">I265+E266</f>
        <v>852670.822059334</v>
      </c>
      <c r="J266" s="24" t="n">
        <f aca="false">J265+D266</f>
        <v>159545.020169843</v>
      </c>
    </row>
    <row r="267" customFormat="false" ht="15" hidden="true" customHeight="false" outlineLevel="1" collapsed="false">
      <c r="B267" s="125" t="n">
        <v>51987</v>
      </c>
      <c r="C267" s="21" t="n">
        <f aca="false">G266</f>
        <v>-352670.822059334</v>
      </c>
      <c r="D267" s="24" t="n">
        <f aca="false">C267*E$6</f>
        <v>-1469.46175858056</v>
      </c>
      <c r="E267" s="25" t="n">
        <f aca="false">E$8-D267</f>
        <v>5423.42989228828</v>
      </c>
      <c r="F267" s="127" t="n">
        <v>0</v>
      </c>
      <c r="G267" s="24" t="n">
        <f aca="false">C267-E267-F267</f>
        <v>-358094.251951623</v>
      </c>
      <c r="I267" s="25" t="n">
        <f aca="false">I266+E267</f>
        <v>858094.251951622</v>
      </c>
      <c r="J267" s="24" t="n">
        <f aca="false">J266+D267</f>
        <v>158075.558411262</v>
      </c>
    </row>
    <row r="268" customFormat="false" ht="15" hidden="true" customHeight="false" outlineLevel="1" collapsed="false">
      <c r="B268" s="125" t="n">
        <v>52018</v>
      </c>
      <c r="C268" s="21" t="n">
        <f aca="false">G267</f>
        <v>-358094.251951623</v>
      </c>
      <c r="D268" s="24" t="n">
        <f aca="false">C268*E$6</f>
        <v>-1492.05938313176</v>
      </c>
      <c r="E268" s="25" t="n">
        <f aca="false">E$8-D268</f>
        <v>5446.02751683948</v>
      </c>
      <c r="F268" s="126" t="n">
        <v>0</v>
      </c>
      <c r="G268" s="24" t="n">
        <f aca="false">C268-E268-F268</f>
        <v>-363540.279468462</v>
      </c>
      <c r="I268" s="25" t="n">
        <f aca="false">I267+E268</f>
        <v>863540.279468462</v>
      </c>
      <c r="J268" s="24" t="n">
        <f aca="false">J267+D268</f>
        <v>156583.49902813</v>
      </c>
    </row>
    <row r="269" customFormat="false" ht="15" hidden="true" customHeight="false" outlineLevel="1" collapsed="false">
      <c r="B269" s="125" t="n">
        <v>52048</v>
      </c>
      <c r="C269" s="21" t="n">
        <f aca="false">G268</f>
        <v>-363540.279468462</v>
      </c>
      <c r="D269" s="24" t="n">
        <f aca="false">C269*E$6</f>
        <v>-1514.75116445193</v>
      </c>
      <c r="E269" s="25" t="n">
        <f aca="false">E$8-D269</f>
        <v>5468.71929815965</v>
      </c>
      <c r="F269" s="127" t="n">
        <v>0</v>
      </c>
      <c r="G269" s="24" t="n">
        <f aca="false">C269-E269-F269</f>
        <v>-369008.998766622</v>
      </c>
      <c r="I269" s="25" t="n">
        <f aca="false">I268+E269</f>
        <v>869008.998766622</v>
      </c>
      <c r="J269" s="24" t="n">
        <f aca="false">J268+D269</f>
        <v>155068.747863679</v>
      </c>
    </row>
    <row r="270" customFormat="false" ht="15" hidden="true" customHeight="false" outlineLevel="1" collapsed="false">
      <c r="B270" s="125" t="n">
        <v>52079</v>
      </c>
      <c r="C270" s="21" t="n">
        <f aca="false">G269</f>
        <v>-369008.998766622</v>
      </c>
      <c r="D270" s="24" t="n">
        <f aca="false">C270*E$6</f>
        <v>-1537.53749486092</v>
      </c>
      <c r="E270" s="25" t="n">
        <f aca="false">E$8-D270</f>
        <v>5491.50562856865</v>
      </c>
      <c r="F270" s="126" t="n">
        <v>0</v>
      </c>
      <c r="G270" s="24" t="n">
        <f aca="false">C270-E270-F270</f>
        <v>-374500.50439519</v>
      </c>
      <c r="I270" s="25" t="n">
        <f aca="false">I269+E270</f>
        <v>874500.50439519</v>
      </c>
      <c r="J270" s="24" t="n">
        <f aca="false">J269+D270</f>
        <v>153531.210368818</v>
      </c>
    </row>
    <row r="271" customFormat="false" ht="15" hidden="true" customHeight="false" outlineLevel="1" collapsed="false">
      <c r="B271" s="125" t="n">
        <v>52110</v>
      </c>
      <c r="C271" s="21" t="n">
        <f aca="false">G270</f>
        <v>-374500.50439519</v>
      </c>
      <c r="D271" s="24" t="n">
        <f aca="false">C271*E$6</f>
        <v>-1560.41876831329</v>
      </c>
      <c r="E271" s="25" t="n">
        <f aca="false">E$8-D271</f>
        <v>5514.38690202102</v>
      </c>
      <c r="F271" s="127" t="n">
        <v>0</v>
      </c>
      <c r="G271" s="24" t="n">
        <f aca="false">C271-E271-F271</f>
        <v>-380014.891297211</v>
      </c>
      <c r="I271" s="25" t="n">
        <f aca="false">I270+E271</f>
        <v>880014.891297211</v>
      </c>
      <c r="J271" s="24" t="n">
        <f aca="false">J270+D271</f>
        <v>151970.791600504</v>
      </c>
    </row>
    <row r="272" customFormat="false" ht="15" hidden="true" customHeight="false" outlineLevel="1" collapsed="false">
      <c r="B272" s="125" t="n">
        <v>52140</v>
      </c>
      <c r="C272" s="21" t="n">
        <f aca="false">G271</f>
        <v>-380014.891297211</v>
      </c>
      <c r="D272" s="24" t="n">
        <f aca="false">C272*E$6</f>
        <v>-1583.39538040505</v>
      </c>
      <c r="E272" s="25" t="n">
        <f aca="false">E$8-D272</f>
        <v>5537.36351411277</v>
      </c>
      <c r="F272" s="126" t="n">
        <v>0</v>
      </c>
      <c r="G272" s="24" t="n">
        <f aca="false">C272-E272-F272</f>
        <v>-385552.254811324</v>
      </c>
      <c r="I272" s="25" t="n">
        <f aca="false">I271+E272</f>
        <v>885552.254811324</v>
      </c>
      <c r="J272" s="24" t="n">
        <f aca="false">J271+D272</f>
        <v>150387.396220099</v>
      </c>
    </row>
    <row r="273" customFormat="false" ht="15" hidden="true" customHeight="false" outlineLevel="1" collapsed="false">
      <c r="B273" s="125" t="n">
        <v>52171</v>
      </c>
      <c r="C273" s="21" t="n">
        <f aca="false">G272</f>
        <v>-385552.254811324</v>
      </c>
      <c r="D273" s="24" t="n">
        <f aca="false">C273*E$6</f>
        <v>-1606.46772838052</v>
      </c>
      <c r="E273" s="25" t="n">
        <f aca="false">E$8-D273</f>
        <v>5560.43586208824</v>
      </c>
      <c r="F273" s="127" t="n">
        <v>0</v>
      </c>
      <c r="G273" s="24" t="n">
        <f aca="false">C273-E273-F273</f>
        <v>-391112.690673412</v>
      </c>
      <c r="I273" s="25" t="n">
        <f aca="false">I272+E273</f>
        <v>891112.690673412</v>
      </c>
      <c r="J273" s="24" t="n">
        <f aca="false">J272+D273</f>
        <v>148780.928491719</v>
      </c>
    </row>
    <row r="274" customFormat="false" ht="15" hidden="true" customHeight="false" outlineLevel="1" collapsed="false">
      <c r="B274" s="125" t="n">
        <v>52201</v>
      </c>
      <c r="C274" s="21" t="n">
        <f aca="false">G273</f>
        <v>-391112.690673412</v>
      </c>
      <c r="D274" s="24" t="n">
        <f aca="false">C274*E$6</f>
        <v>-1629.63621113922</v>
      </c>
      <c r="E274" s="25" t="n">
        <f aca="false">E$8-D274</f>
        <v>5583.60434484694</v>
      </c>
      <c r="F274" s="126" t="n">
        <v>0</v>
      </c>
      <c r="G274" s="24" t="n">
        <f aca="false">C274-E274-F274</f>
        <v>-396696.295018259</v>
      </c>
      <c r="I274" s="25" t="n">
        <f aca="false">I273+E274</f>
        <v>896696.295018259</v>
      </c>
      <c r="J274" s="24" t="n">
        <f aca="false">J273+D274</f>
        <v>147151.29228058</v>
      </c>
    </row>
    <row r="275" customFormat="false" ht="15" hidden="true" customHeight="false" outlineLevel="1" collapsed="false">
      <c r="B275" s="125" t="n">
        <v>52232</v>
      </c>
      <c r="C275" s="21" t="n">
        <f aca="false">G274</f>
        <v>-396696.295018259</v>
      </c>
      <c r="D275" s="24" t="n">
        <f aca="false">C275*E$6</f>
        <v>-1652.90122924275</v>
      </c>
      <c r="E275" s="25" t="n">
        <f aca="false">E$8-D275</f>
        <v>5606.86936295047</v>
      </c>
      <c r="F275" s="127" t="n">
        <v>0</v>
      </c>
      <c r="G275" s="24" t="n">
        <f aca="false">C275-E275-F275</f>
        <v>-402303.16438121</v>
      </c>
      <c r="I275" s="25" t="n">
        <f aca="false">I274+E275</f>
        <v>902303.16438121</v>
      </c>
      <c r="J275" s="24" t="n">
        <f aca="false">J274+D275</f>
        <v>145498.391051337</v>
      </c>
    </row>
    <row r="276" customFormat="false" ht="15" hidden="true" customHeight="false" outlineLevel="1" collapsed="false">
      <c r="B276" s="125" t="n">
        <v>52263</v>
      </c>
      <c r="C276" s="21" t="n">
        <f aca="false">G275</f>
        <v>-402303.16438121</v>
      </c>
      <c r="D276" s="24" t="n">
        <f aca="false">C276*E$6</f>
        <v>-1676.26318492171</v>
      </c>
      <c r="E276" s="25" t="n">
        <f aca="false">E$8-D276</f>
        <v>5630.23131862943</v>
      </c>
      <c r="F276" s="126" t="n">
        <v>0</v>
      </c>
      <c r="G276" s="24" t="n">
        <f aca="false">C276-E276-F276</f>
        <v>-407933.395699839</v>
      </c>
      <c r="I276" s="25" t="n">
        <f aca="false">I275+E276</f>
        <v>907933.395699839</v>
      </c>
      <c r="J276" s="24" t="n">
        <f aca="false">J275+D276</f>
        <v>143822.127866415</v>
      </c>
    </row>
    <row r="277" customFormat="false" ht="15" hidden="true" customHeight="false" outlineLevel="1" collapsed="false">
      <c r="B277" s="125" t="n">
        <v>52291</v>
      </c>
      <c r="C277" s="21" t="n">
        <f aca="false">G276</f>
        <v>-407933.395699839</v>
      </c>
      <c r="D277" s="24" t="n">
        <f aca="false">C277*E$6</f>
        <v>-1699.72248208266</v>
      </c>
      <c r="E277" s="25" t="n">
        <f aca="false">E$8-D277</f>
        <v>5653.69061579039</v>
      </c>
      <c r="F277" s="127" t="n">
        <v>0</v>
      </c>
      <c r="G277" s="24" t="n">
        <f aca="false">C277-E277-F277</f>
        <v>-413587.08631563</v>
      </c>
      <c r="I277" s="25" t="n">
        <f aca="false">I276+E277</f>
        <v>913587.08631563</v>
      </c>
      <c r="J277" s="24" t="n">
        <f aca="false">J276+D277</f>
        <v>142122.405384332</v>
      </c>
    </row>
    <row r="278" customFormat="false" ht="15" hidden="true" customHeight="false" outlineLevel="1" collapsed="false">
      <c r="B278" s="125" t="n">
        <v>52322</v>
      </c>
      <c r="C278" s="21" t="n">
        <f aca="false">G277</f>
        <v>-413587.08631563</v>
      </c>
      <c r="D278" s="24" t="n">
        <f aca="false">C278*E$6</f>
        <v>-1723.27952631512</v>
      </c>
      <c r="E278" s="25" t="n">
        <f aca="false">E$8-D278</f>
        <v>5677.24766002285</v>
      </c>
      <c r="F278" s="126" t="n">
        <v>0</v>
      </c>
      <c r="G278" s="24" t="n">
        <f aca="false">C278-E278-F278</f>
        <v>-419264.333975652</v>
      </c>
      <c r="I278" s="25" t="n">
        <f aca="false">I277+E278</f>
        <v>919264.333975652</v>
      </c>
      <c r="J278" s="24" t="n">
        <f aca="false">J277+D278</f>
        <v>140399.125858017</v>
      </c>
    </row>
    <row r="279" customFormat="false" ht="15" hidden="true" customHeight="false" outlineLevel="1" collapsed="false">
      <c r="B279" s="125" t="n">
        <v>52352</v>
      </c>
      <c r="C279" s="21" t="n">
        <f aca="false">G278</f>
        <v>-419264.333975652</v>
      </c>
      <c r="D279" s="24" t="n">
        <f aca="false">C279*E$6</f>
        <v>-1746.93472489855</v>
      </c>
      <c r="E279" s="25" t="n">
        <f aca="false">E$8-D279</f>
        <v>5700.90285860627</v>
      </c>
      <c r="F279" s="127" t="n">
        <v>0</v>
      </c>
      <c r="G279" s="24" t="n">
        <f aca="false">C279-E279-F279</f>
        <v>-424965.236834259</v>
      </c>
      <c r="I279" s="25" t="n">
        <f aca="false">I278+E279</f>
        <v>924965.236834259</v>
      </c>
      <c r="J279" s="24" t="n">
        <f aca="false">J278+D279</f>
        <v>138652.191133119</v>
      </c>
    </row>
    <row r="280" customFormat="false" ht="15" hidden="true" customHeight="false" outlineLevel="1" collapsed="false">
      <c r="B280" s="125" t="n">
        <v>52383</v>
      </c>
      <c r="C280" s="21" t="n">
        <f aca="false">G279</f>
        <v>-424965.236834259</v>
      </c>
      <c r="D280" s="24" t="n">
        <f aca="false">C280*E$6</f>
        <v>-1770.68848680941</v>
      </c>
      <c r="E280" s="25" t="n">
        <f aca="false">E$8-D280</f>
        <v>5724.65662051713</v>
      </c>
      <c r="F280" s="126" t="n">
        <v>0</v>
      </c>
      <c r="G280" s="24" t="n">
        <f aca="false">C280-E280-F280</f>
        <v>-430689.893454776</v>
      </c>
      <c r="I280" s="25" t="n">
        <f aca="false">I279+E280</f>
        <v>930689.893454776</v>
      </c>
      <c r="J280" s="24" t="n">
        <f aca="false">J279+D280</f>
        <v>136881.502646309</v>
      </c>
    </row>
    <row r="281" customFormat="false" ht="15" hidden="true" customHeight="false" outlineLevel="1" collapsed="false">
      <c r="B281" s="125" t="n">
        <v>52413</v>
      </c>
      <c r="C281" s="21" t="n">
        <f aca="false">G280</f>
        <v>-430689.893454776</v>
      </c>
      <c r="D281" s="24" t="n">
        <f aca="false">C281*E$6</f>
        <v>-1794.54122272823</v>
      </c>
      <c r="E281" s="25" t="n">
        <f aca="false">E$8-D281</f>
        <v>5748.50935643596</v>
      </c>
      <c r="F281" s="127" t="n">
        <v>0</v>
      </c>
      <c r="G281" s="24" t="n">
        <f aca="false">C281-E281-F281</f>
        <v>-436438.402811212</v>
      </c>
      <c r="I281" s="25" t="n">
        <f aca="false">I280+E281</f>
        <v>936438.402811212</v>
      </c>
      <c r="J281" s="24" t="n">
        <f aca="false">J280+D281</f>
        <v>135086.961423581</v>
      </c>
    </row>
    <row r="282" customFormat="false" ht="15" hidden="true" customHeight="false" outlineLevel="1" collapsed="false">
      <c r="B282" s="125" t="n">
        <v>52444</v>
      </c>
      <c r="C282" s="21" t="n">
        <f aca="false">G281</f>
        <v>-436438.402811212</v>
      </c>
      <c r="D282" s="24" t="n">
        <f aca="false">C282*E$6</f>
        <v>-1818.49334504672</v>
      </c>
      <c r="E282" s="25" t="n">
        <f aca="false">E$8-D282</f>
        <v>5772.46147875444</v>
      </c>
      <c r="F282" s="126" t="n">
        <v>0</v>
      </c>
      <c r="G282" s="24" t="n">
        <f aca="false">C282-E282-F282</f>
        <v>-442210.864289966</v>
      </c>
      <c r="I282" s="25" t="n">
        <f aca="false">I281+E282</f>
        <v>942210.864289966</v>
      </c>
      <c r="J282" s="24" t="n">
        <f aca="false">J281+D282</f>
        <v>133268.468078534</v>
      </c>
    </row>
    <row r="283" customFormat="false" ht="15" hidden="true" customHeight="false" outlineLevel="1" collapsed="false">
      <c r="B283" s="125" t="n">
        <v>52475</v>
      </c>
      <c r="C283" s="21" t="n">
        <f aca="false">G282</f>
        <v>-442210.864289966</v>
      </c>
      <c r="D283" s="24" t="n">
        <f aca="false">C283*E$6</f>
        <v>-1842.54526787486</v>
      </c>
      <c r="E283" s="25" t="n">
        <f aca="false">E$8-D283</f>
        <v>5796.51340158258</v>
      </c>
      <c r="F283" s="127" t="n">
        <v>0</v>
      </c>
      <c r="G283" s="24" t="n">
        <f aca="false">C283-E283-F283</f>
        <v>-448007.377691549</v>
      </c>
      <c r="I283" s="25" t="n">
        <f aca="false">I282+E283</f>
        <v>948007.377691549</v>
      </c>
      <c r="J283" s="24" t="n">
        <f aca="false">J282+D283</f>
        <v>131425.92281066</v>
      </c>
    </row>
    <row r="284" customFormat="false" ht="15" hidden="true" customHeight="false" outlineLevel="1" collapsed="false">
      <c r="B284" s="125" t="n">
        <v>52505</v>
      </c>
      <c r="C284" s="21" t="n">
        <f aca="false">G283</f>
        <v>-448007.377691549</v>
      </c>
      <c r="D284" s="24" t="n">
        <f aca="false">C284*E$6</f>
        <v>-1866.69740704812</v>
      </c>
      <c r="E284" s="25" t="n">
        <f aca="false">E$8-D284</f>
        <v>5820.66554075584</v>
      </c>
      <c r="F284" s="126" t="n">
        <v>0</v>
      </c>
      <c r="G284" s="24" t="n">
        <f aca="false">C284-E284-F284</f>
        <v>-453828.043232305</v>
      </c>
      <c r="I284" s="25" t="n">
        <f aca="false">I283+E284</f>
        <v>953828.043232305</v>
      </c>
      <c r="J284" s="24" t="n">
        <f aca="false">J283+D284</f>
        <v>129559.225403611</v>
      </c>
    </row>
    <row r="285" customFormat="false" ht="15" hidden="true" customHeight="false" outlineLevel="1" collapsed="false">
      <c r="B285" s="125" t="n">
        <v>52536</v>
      </c>
      <c r="C285" s="21" t="n">
        <f aca="false">G284</f>
        <v>-453828.043232305</v>
      </c>
      <c r="D285" s="24" t="n">
        <f aca="false">C285*E$6</f>
        <v>-1890.9501801346</v>
      </c>
      <c r="E285" s="25" t="n">
        <f aca="false">E$8-D285</f>
        <v>5844.91831384233</v>
      </c>
      <c r="F285" s="127" t="n">
        <v>0</v>
      </c>
      <c r="G285" s="24" t="n">
        <f aca="false">C285-E285-F285</f>
        <v>-459672.961546147</v>
      </c>
      <c r="I285" s="25" t="n">
        <f aca="false">I284+E285</f>
        <v>959672.961546147</v>
      </c>
      <c r="J285" s="24" t="n">
        <f aca="false">J284+D285</f>
        <v>127668.275223477</v>
      </c>
    </row>
    <row r="286" customFormat="false" ht="15" hidden="true" customHeight="false" outlineLevel="1" collapsed="false">
      <c r="B286" s="125" t="n">
        <v>52566</v>
      </c>
      <c r="C286" s="21" t="n">
        <f aca="false">G285</f>
        <v>-459672.961546147</v>
      </c>
      <c r="D286" s="24" t="n">
        <f aca="false">C286*E$6</f>
        <v>-1915.30400644228</v>
      </c>
      <c r="E286" s="25" t="n">
        <f aca="false">E$8-D286</f>
        <v>5869.27214015</v>
      </c>
      <c r="F286" s="126" t="n">
        <v>0</v>
      </c>
      <c r="G286" s="24" t="n">
        <f aca="false">C286-E286-F286</f>
        <v>-465542.233686297</v>
      </c>
      <c r="I286" s="25" t="n">
        <f aca="false">I285+E286</f>
        <v>965542.233686297</v>
      </c>
      <c r="J286" s="24" t="n">
        <f aca="false">J285+D286</f>
        <v>125752.971217035</v>
      </c>
    </row>
    <row r="287" customFormat="false" ht="15" hidden="true" customHeight="false" outlineLevel="1" collapsed="false">
      <c r="B287" s="125" t="n">
        <v>52597</v>
      </c>
      <c r="C287" s="21" t="n">
        <f aca="false">G286</f>
        <v>-465542.233686297</v>
      </c>
      <c r="D287" s="24" t="n">
        <f aca="false">C287*E$6</f>
        <v>-1939.75930702624</v>
      </c>
      <c r="E287" s="25" t="n">
        <f aca="false">E$8-D287</f>
        <v>5893.72744073396</v>
      </c>
      <c r="F287" s="127" t="n">
        <v>0</v>
      </c>
      <c r="G287" s="24" t="n">
        <f aca="false">C287-E287-F287</f>
        <v>-471435.961127031</v>
      </c>
      <c r="I287" s="25" t="n">
        <f aca="false">I286+E287</f>
        <v>971435.961127031</v>
      </c>
      <c r="J287" s="24" t="n">
        <f aca="false">J286+D287</f>
        <v>123813.211910008</v>
      </c>
    </row>
    <row r="288" customFormat="false" ht="15" hidden="true" customHeight="false" outlineLevel="1" collapsed="false">
      <c r="B288" s="125" t="n">
        <v>52628</v>
      </c>
      <c r="C288" s="21" t="n">
        <f aca="false">G287</f>
        <v>-471435.961127031</v>
      </c>
      <c r="D288" s="24" t="n">
        <f aca="false">C288*E$6</f>
        <v>-1964.31650469596</v>
      </c>
      <c r="E288" s="25" t="n">
        <f aca="false">E$8-D288</f>
        <v>5918.28463840369</v>
      </c>
      <c r="F288" s="126" t="n">
        <v>0</v>
      </c>
      <c r="G288" s="24" t="n">
        <f aca="false">C288-E288-F288</f>
        <v>-477354.245765435</v>
      </c>
      <c r="I288" s="25" t="n">
        <f aca="false">I287+E288</f>
        <v>977354.245765435</v>
      </c>
      <c r="J288" s="24" t="n">
        <f aca="false">J287+D288</f>
        <v>121848.895405312</v>
      </c>
    </row>
    <row r="289" customFormat="false" ht="15" hidden="true" customHeight="false" outlineLevel="1" collapsed="false">
      <c r="B289" s="125" t="n">
        <v>52657</v>
      </c>
      <c r="C289" s="21" t="n">
        <f aca="false">G288</f>
        <v>-477354.245765435</v>
      </c>
      <c r="D289" s="24" t="n">
        <f aca="false">C289*E$6</f>
        <v>-1988.97602402264</v>
      </c>
      <c r="E289" s="25" t="n">
        <f aca="false">E$8-D289</f>
        <v>5942.94415773037</v>
      </c>
      <c r="F289" s="127" t="n">
        <v>0</v>
      </c>
      <c r="G289" s="24" t="n">
        <f aca="false">C289-E289-F289</f>
        <v>-483297.189923165</v>
      </c>
      <c r="I289" s="25" t="n">
        <f aca="false">I288+E289</f>
        <v>983297.189923165</v>
      </c>
      <c r="J289" s="24" t="n">
        <f aca="false">J288+D289</f>
        <v>119859.91938129</v>
      </c>
    </row>
    <row r="290" customFormat="false" ht="15" hidden="true" customHeight="false" outlineLevel="1" collapsed="false">
      <c r="B290" s="125" t="n">
        <v>52688</v>
      </c>
      <c r="C290" s="21" t="n">
        <f aca="false">G289</f>
        <v>-483297.189923165</v>
      </c>
      <c r="D290" s="24" t="n">
        <f aca="false">C290*E$6</f>
        <v>-2013.73829134652</v>
      </c>
      <c r="E290" s="25" t="n">
        <f aca="false">E$8-D290</f>
        <v>5967.70642505424</v>
      </c>
      <c r="F290" s="126" t="n">
        <v>0</v>
      </c>
      <c r="G290" s="24" t="n">
        <f aca="false">C290-E290-F290</f>
        <v>-489264.896348219</v>
      </c>
      <c r="I290" s="25" t="n">
        <f aca="false">I289+E290</f>
        <v>989264.896348219</v>
      </c>
      <c r="J290" s="24" t="n">
        <f aca="false">J289+D290</f>
        <v>117846.181089943</v>
      </c>
    </row>
    <row r="291" customFormat="false" ht="15" hidden="true" customHeight="false" outlineLevel="1" collapsed="false">
      <c r="B291" s="125" t="n">
        <v>52718</v>
      </c>
      <c r="C291" s="21" t="n">
        <f aca="false">G290</f>
        <v>-489264.896348219</v>
      </c>
      <c r="D291" s="24" t="n">
        <f aca="false">C291*E$6</f>
        <v>-2038.60373478425</v>
      </c>
      <c r="E291" s="25" t="n">
        <f aca="false">E$8-D291</f>
        <v>5992.57186849197</v>
      </c>
      <c r="F291" s="127" t="n">
        <v>0</v>
      </c>
      <c r="G291" s="24" t="n">
        <f aca="false">C291-E291-F291</f>
        <v>-495257.468216711</v>
      </c>
      <c r="I291" s="25" t="n">
        <f aca="false">I290+E291</f>
        <v>995257.468216711</v>
      </c>
      <c r="J291" s="24" t="n">
        <f aca="false">J290+D291</f>
        <v>115807.577355159</v>
      </c>
    </row>
    <row r="292" customFormat="false" ht="15" hidden="true" customHeight="false" outlineLevel="1" collapsed="false">
      <c r="B292" s="125" t="n">
        <v>52749</v>
      </c>
      <c r="C292" s="21" t="n">
        <f aca="false">G291</f>
        <v>-495257.468216711</v>
      </c>
      <c r="D292" s="24" t="n">
        <f aca="false">C292*E$6</f>
        <v>-2063.5727842363</v>
      </c>
      <c r="E292" s="25" t="n">
        <f aca="false">E$8-D292</f>
        <v>6017.54091794402</v>
      </c>
      <c r="F292" s="126" t="n">
        <v>0</v>
      </c>
      <c r="G292" s="24" t="n">
        <f aca="false">C292-E292-F292</f>
        <v>-501275.009134655</v>
      </c>
      <c r="I292" s="25" t="n">
        <f aca="false">I291+E292</f>
        <v>1001275.00913466</v>
      </c>
      <c r="J292" s="24" t="n">
        <f aca="false">J291+D292</f>
        <v>113744.004570923</v>
      </c>
    </row>
    <row r="293" customFormat="false" ht="15" hidden="true" customHeight="false" outlineLevel="1" collapsed="false">
      <c r="B293" s="125" t="n">
        <v>52779</v>
      </c>
      <c r="C293" s="21" t="n">
        <f aca="false">G292</f>
        <v>-501275.009134655</v>
      </c>
      <c r="D293" s="24" t="n">
        <f aca="false">C293*E$6</f>
        <v>-2088.6458713944</v>
      </c>
      <c r="E293" s="25" t="n">
        <f aca="false">E$8-D293</f>
        <v>6042.61400510212</v>
      </c>
      <c r="F293" s="127" t="n">
        <v>0</v>
      </c>
      <c r="G293" s="24" t="n">
        <f aca="false">C293-E293-F293</f>
        <v>-507317.623139757</v>
      </c>
      <c r="I293" s="25" t="n">
        <f aca="false">I292+E293</f>
        <v>1007317.62313976</v>
      </c>
      <c r="J293" s="24" t="n">
        <f aca="false">J292+D293</f>
        <v>111655.358699528</v>
      </c>
    </row>
    <row r="294" customFormat="false" ht="15" hidden="true" customHeight="false" outlineLevel="1" collapsed="false">
      <c r="B294" s="125" t="n">
        <v>52810</v>
      </c>
      <c r="C294" s="21" t="n">
        <f aca="false">G293</f>
        <v>-507317.623139757</v>
      </c>
      <c r="D294" s="24" t="n">
        <f aca="false">C294*E$6</f>
        <v>-2113.82342974899</v>
      </c>
      <c r="E294" s="25" t="n">
        <f aca="false">E$8-D294</f>
        <v>6067.79156345671</v>
      </c>
      <c r="F294" s="126" t="n">
        <v>0</v>
      </c>
      <c r="G294" s="24" t="n">
        <f aca="false">C294-E294-F294</f>
        <v>-513385.414703214</v>
      </c>
      <c r="I294" s="25" t="n">
        <f aca="false">I293+E294</f>
        <v>1013385.41470321</v>
      </c>
      <c r="J294" s="24" t="n">
        <f aca="false">J293+D294</f>
        <v>109541.535269779</v>
      </c>
    </row>
    <row r="295" customFormat="false" ht="15" hidden="true" customHeight="false" outlineLevel="1" collapsed="false">
      <c r="B295" s="125" t="n">
        <v>52841</v>
      </c>
      <c r="C295" s="21" t="n">
        <f aca="false">G294</f>
        <v>-513385.414703214</v>
      </c>
      <c r="D295" s="24" t="n">
        <f aca="false">C295*E$6</f>
        <v>-2139.10589459673</v>
      </c>
      <c r="E295" s="25" t="n">
        <f aca="false">E$8-D295</f>
        <v>6093.07402830445</v>
      </c>
      <c r="F295" s="127" t="n">
        <v>0</v>
      </c>
      <c r="G295" s="24" t="n">
        <f aca="false">C295-E295-F295</f>
        <v>-519478.488731518</v>
      </c>
      <c r="I295" s="25" t="n">
        <f aca="false">I294+E295</f>
        <v>1019478.48873152</v>
      </c>
      <c r="J295" s="24" t="n">
        <f aca="false">J294+D295</f>
        <v>107402.429375183</v>
      </c>
    </row>
    <row r="296" customFormat="false" ht="15" hidden="true" customHeight="false" outlineLevel="1" collapsed="false">
      <c r="B296" s="125" t="n">
        <v>52871</v>
      </c>
      <c r="C296" s="21" t="n">
        <f aca="false">G295</f>
        <v>-519478.488731518</v>
      </c>
      <c r="D296" s="24" t="n">
        <f aca="false">C296*E$6</f>
        <v>-2164.49370304799</v>
      </c>
      <c r="E296" s="25" t="n">
        <f aca="false">E$8-D296</f>
        <v>6118.46183675572</v>
      </c>
      <c r="F296" s="126" t="n">
        <v>0</v>
      </c>
      <c r="G296" s="24" t="n">
        <f aca="false">C296-E296-F296</f>
        <v>-525596.950568274</v>
      </c>
      <c r="I296" s="25" t="n">
        <f aca="false">I295+E296</f>
        <v>1025596.95056827</v>
      </c>
      <c r="J296" s="24" t="n">
        <f aca="false">J295+D296</f>
        <v>105237.935672135</v>
      </c>
    </row>
    <row r="297" customFormat="false" ht="15" hidden="true" customHeight="false" outlineLevel="1" collapsed="false">
      <c r="B297" s="125" t="n">
        <v>52902</v>
      </c>
      <c r="C297" s="21" t="n">
        <f aca="false">G296</f>
        <v>-525596.950568274</v>
      </c>
      <c r="D297" s="24" t="n">
        <f aca="false">C297*E$6</f>
        <v>-2189.98729403448</v>
      </c>
      <c r="E297" s="25" t="n">
        <f aca="false">E$8-D297</f>
        <v>6143.9554277422</v>
      </c>
      <c r="F297" s="127" t="n">
        <v>0</v>
      </c>
      <c r="G297" s="24" t="n">
        <f aca="false">C297-E297-F297</f>
        <v>-531740.905996016</v>
      </c>
      <c r="I297" s="25" t="n">
        <f aca="false">I296+E297</f>
        <v>1031740.90599602</v>
      </c>
      <c r="J297" s="24" t="n">
        <f aca="false">J296+D297</f>
        <v>103047.9483781</v>
      </c>
    </row>
    <row r="298" customFormat="false" ht="15" hidden="true" customHeight="false" outlineLevel="1" collapsed="false">
      <c r="B298" s="125" t="n">
        <v>52932</v>
      </c>
      <c r="C298" s="21" t="n">
        <f aca="false">G297</f>
        <v>-531740.905996016</v>
      </c>
      <c r="D298" s="24" t="n">
        <f aca="false">C298*E$6</f>
        <v>-2215.58710831674</v>
      </c>
      <c r="E298" s="25" t="n">
        <f aca="false">E$8-D298</f>
        <v>6169.55524202446</v>
      </c>
      <c r="F298" s="126" t="n">
        <v>0</v>
      </c>
      <c r="G298" s="24" t="n">
        <f aca="false">C298-E298-F298</f>
        <v>-537910.461238041</v>
      </c>
      <c r="I298" s="25" t="n">
        <f aca="false">I297+E298</f>
        <v>1037910.46123804</v>
      </c>
      <c r="J298" s="24" t="n">
        <f aca="false">J297+D298</f>
        <v>100832.361269783</v>
      </c>
    </row>
    <row r="299" customFormat="false" ht="15" hidden="true" customHeight="false" outlineLevel="1" collapsed="false">
      <c r="B299" s="125" t="n">
        <v>52963</v>
      </c>
      <c r="C299" s="21" t="n">
        <f aca="false">G298</f>
        <v>-537910.461238041</v>
      </c>
      <c r="D299" s="24" t="n">
        <f aca="false">C299*E$6</f>
        <v>-2241.29358849184</v>
      </c>
      <c r="E299" s="25" t="n">
        <f aca="false">E$8-D299</f>
        <v>6195.26172219956</v>
      </c>
      <c r="F299" s="127" t="n">
        <v>0</v>
      </c>
      <c r="G299" s="24" t="n">
        <f aca="false">C299-E299-F299</f>
        <v>-544105.72296024</v>
      </c>
      <c r="I299" s="25" t="n">
        <f aca="false">I298+E299</f>
        <v>1044105.72296024</v>
      </c>
      <c r="J299" s="24" t="n">
        <f aca="false">J298+D299</f>
        <v>98591.0676812915</v>
      </c>
    </row>
    <row r="300" customFormat="false" ht="15" hidden="true" customHeight="false" outlineLevel="1" collapsed="false">
      <c r="B300" s="125" t="n">
        <v>52994</v>
      </c>
      <c r="C300" s="21" t="n">
        <f aca="false">G299</f>
        <v>-544105.72296024</v>
      </c>
      <c r="D300" s="24" t="n">
        <f aca="false">C300*E$6</f>
        <v>-2267.107179001</v>
      </c>
      <c r="E300" s="25" t="n">
        <f aca="false">E$8-D300</f>
        <v>6221.07531270873</v>
      </c>
      <c r="F300" s="126" t="n">
        <v>0</v>
      </c>
      <c r="G300" s="24" t="n">
        <f aca="false">C300-E300-F300</f>
        <v>-550326.798272949</v>
      </c>
      <c r="I300" s="25" t="n">
        <f aca="false">I299+E300</f>
        <v>1050326.79827295</v>
      </c>
      <c r="J300" s="24" t="n">
        <f aca="false">J299+D300</f>
        <v>96323.9605022905</v>
      </c>
    </row>
    <row r="301" customFormat="false" ht="15" hidden="true" customHeight="false" outlineLevel="1" collapsed="false">
      <c r="B301" s="125" t="n">
        <v>53022</v>
      </c>
      <c r="C301" s="21" t="n">
        <f aca="false">G300</f>
        <v>-550326.798272949</v>
      </c>
      <c r="D301" s="24" t="n">
        <f aca="false">C301*E$6</f>
        <v>-2293.02832613729</v>
      </c>
      <c r="E301" s="25" t="n">
        <f aca="false">E$8-D301</f>
        <v>6246.99645984501</v>
      </c>
      <c r="F301" s="127" t="n">
        <v>0</v>
      </c>
      <c r="G301" s="24" t="n">
        <f aca="false">C301-E301-F301</f>
        <v>-556573.794732794</v>
      </c>
      <c r="I301" s="25" t="n">
        <f aca="false">I300+E301</f>
        <v>1056573.79473279</v>
      </c>
      <c r="J301" s="24" t="n">
        <f aca="false">J300+D301</f>
        <v>94030.9321761532</v>
      </c>
    </row>
    <row r="302" customFormat="false" ht="15" hidden="true" customHeight="false" outlineLevel="1" collapsed="false">
      <c r="B302" s="125" t="n">
        <v>53053</v>
      </c>
      <c r="C302" s="21" t="n">
        <f aca="false">G301</f>
        <v>-556573.794732794</v>
      </c>
      <c r="D302" s="24" t="n">
        <f aca="false">C302*E$6</f>
        <v>-2319.05747805331</v>
      </c>
      <c r="E302" s="25" t="n">
        <f aca="false">E$8-D302</f>
        <v>6273.02561176103</v>
      </c>
      <c r="F302" s="126" t="n">
        <v>0</v>
      </c>
      <c r="G302" s="24" t="n">
        <f aca="false">C302-E302-F302</f>
        <v>-562846.820344555</v>
      </c>
      <c r="I302" s="25" t="n">
        <f aca="false">I301+E302</f>
        <v>1062846.82034456</v>
      </c>
      <c r="J302" s="24" t="n">
        <f aca="false">J301+D302</f>
        <v>91711.8746980999</v>
      </c>
    </row>
    <row r="303" customFormat="false" ht="15" hidden="true" customHeight="false" outlineLevel="1" collapsed="false">
      <c r="B303" s="125" t="n">
        <v>53083</v>
      </c>
      <c r="C303" s="21" t="n">
        <f aca="false">G302</f>
        <v>-562846.820344555</v>
      </c>
      <c r="D303" s="24" t="n">
        <f aca="false">C303*E$6</f>
        <v>-2345.19508476898</v>
      </c>
      <c r="E303" s="25" t="n">
        <f aca="false">E$8-D303</f>
        <v>6299.1632184767</v>
      </c>
      <c r="F303" s="127" t="n">
        <v>0</v>
      </c>
      <c r="G303" s="24" t="n">
        <f aca="false">C303-E303-F303</f>
        <v>-569145.983563032</v>
      </c>
      <c r="I303" s="25" t="n">
        <f aca="false">I302+E303</f>
        <v>1069145.98356303</v>
      </c>
      <c r="J303" s="24" t="n">
        <f aca="false">J302+D303</f>
        <v>89366.6796133309</v>
      </c>
    </row>
    <row r="304" customFormat="false" ht="15" hidden="true" customHeight="false" outlineLevel="1" collapsed="false">
      <c r="B304" s="125" t="n">
        <v>53114</v>
      </c>
      <c r="C304" s="21" t="n">
        <f aca="false">G303</f>
        <v>-569145.983563032</v>
      </c>
      <c r="D304" s="24" t="n">
        <f aca="false">C304*E$6</f>
        <v>-2371.4415981793</v>
      </c>
      <c r="E304" s="25" t="n">
        <f aca="false">E$8-D304</f>
        <v>6325.40973188702</v>
      </c>
      <c r="F304" s="126" t="n">
        <v>0</v>
      </c>
      <c r="G304" s="24" t="n">
        <f aca="false">C304-E304-F304</f>
        <v>-575471.393294919</v>
      </c>
      <c r="I304" s="25" t="n">
        <f aca="false">I303+E304</f>
        <v>1075471.39329492</v>
      </c>
      <c r="J304" s="24" t="n">
        <f aca="false">J303+D304</f>
        <v>86995.2380151516</v>
      </c>
    </row>
    <row r="305" customFormat="false" ht="15" hidden="true" customHeight="false" outlineLevel="1" collapsed="false">
      <c r="B305" s="125" t="n">
        <v>53144</v>
      </c>
      <c r="C305" s="21" t="n">
        <f aca="false">G304</f>
        <v>-575471.393294919</v>
      </c>
      <c r="D305" s="24" t="n">
        <f aca="false">C305*E$6</f>
        <v>-2397.79747206216</v>
      </c>
      <c r="E305" s="25" t="n">
        <f aca="false">E$8-D305</f>
        <v>6351.76560576988</v>
      </c>
      <c r="F305" s="127" t="n">
        <v>0</v>
      </c>
      <c r="G305" s="24" t="n">
        <f aca="false">C305-E305-F305</f>
        <v>-581823.158900689</v>
      </c>
      <c r="I305" s="25" t="n">
        <f aca="false">I304+E305</f>
        <v>1081823.15890069</v>
      </c>
      <c r="J305" s="24" t="n">
        <f aca="false">J304+D305</f>
        <v>84597.4405430894</v>
      </c>
    </row>
    <row r="306" customFormat="false" ht="15" hidden="true" customHeight="false" outlineLevel="1" collapsed="false">
      <c r="B306" s="125" t="n">
        <v>53175</v>
      </c>
      <c r="C306" s="21" t="n">
        <f aca="false">G305</f>
        <v>-581823.158900689</v>
      </c>
      <c r="D306" s="24" t="n">
        <f aca="false">C306*E$6</f>
        <v>-2424.2631620862</v>
      </c>
      <c r="E306" s="25" t="n">
        <f aca="false">E$8-D306</f>
        <v>6378.23129579393</v>
      </c>
      <c r="F306" s="126" t="n">
        <v>0</v>
      </c>
      <c r="G306" s="24" t="n">
        <f aca="false">C306-E306-F306</f>
        <v>-588201.390196483</v>
      </c>
      <c r="I306" s="25" t="n">
        <f aca="false">I305+E306</f>
        <v>1088201.39019648</v>
      </c>
      <c r="J306" s="24" t="n">
        <f aca="false">J305+D306</f>
        <v>82173.1773810032</v>
      </c>
    </row>
    <row r="307" customFormat="false" ht="15" hidden="true" customHeight="false" outlineLevel="1" collapsed="false">
      <c r="B307" s="125" t="n">
        <v>53206</v>
      </c>
      <c r="C307" s="21" t="n">
        <f aca="false">G306</f>
        <v>-588201.390196483</v>
      </c>
      <c r="D307" s="24" t="n">
        <f aca="false">C307*E$6</f>
        <v>-2450.83912581868</v>
      </c>
      <c r="E307" s="25" t="n">
        <f aca="false">E$8-D307</f>
        <v>6404.8072595264</v>
      </c>
      <c r="F307" s="127" t="n">
        <v>0</v>
      </c>
      <c r="G307" s="24" t="n">
        <f aca="false">C307-E307-F307</f>
        <v>-594606.197456009</v>
      </c>
      <c r="I307" s="25" t="n">
        <f aca="false">I306+E307</f>
        <v>1094606.19745601</v>
      </c>
      <c r="J307" s="24" t="n">
        <f aca="false">J306+D307</f>
        <v>79722.3382551846</v>
      </c>
    </row>
    <row r="308" customFormat="false" ht="15" hidden="true" customHeight="false" outlineLevel="1" collapsed="false">
      <c r="B308" s="125" t="n">
        <v>53236</v>
      </c>
      <c r="C308" s="21" t="n">
        <f aca="false">G307</f>
        <v>-594606.197456009</v>
      </c>
      <c r="D308" s="24" t="n">
        <f aca="false">C308*E$6</f>
        <v>-2477.52582273337</v>
      </c>
      <c r="E308" s="25" t="n">
        <f aca="false">E$8-D308</f>
        <v>6431.49395644109</v>
      </c>
      <c r="F308" s="126" t="n">
        <v>0</v>
      </c>
      <c r="G308" s="24" t="n">
        <f aca="false">C308-E308-F308</f>
        <v>-601037.69141245</v>
      </c>
      <c r="I308" s="25" t="n">
        <f aca="false">I307+E308</f>
        <v>1101037.69141245</v>
      </c>
      <c r="J308" s="24" t="n">
        <f aca="false">J307+D308</f>
        <v>77244.8124324512</v>
      </c>
    </row>
    <row r="309" customFormat="false" ht="15" hidden="true" customHeight="false" outlineLevel="1" collapsed="false">
      <c r="B309" s="125" t="n">
        <v>53267</v>
      </c>
      <c r="C309" s="21" t="n">
        <f aca="false">G308</f>
        <v>-601037.69141245</v>
      </c>
      <c r="D309" s="24" t="n">
        <f aca="false">C309*E$6</f>
        <v>-2504.32371421854</v>
      </c>
      <c r="E309" s="25" t="n">
        <f aca="false">E$8-D309</f>
        <v>6458.29184792626</v>
      </c>
      <c r="F309" s="127" t="n">
        <v>0</v>
      </c>
      <c r="G309" s="24" t="n">
        <f aca="false">C309-E309-F309</f>
        <v>-607495.983260376</v>
      </c>
      <c r="I309" s="25" t="n">
        <f aca="false">I308+E309</f>
        <v>1107495.98326038</v>
      </c>
      <c r="J309" s="24" t="n">
        <f aca="false">J308+D309</f>
        <v>74740.4887182327</v>
      </c>
    </row>
    <row r="310" customFormat="false" ht="15" hidden="true" customHeight="false" outlineLevel="1" collapsed="false">
      <c r="B310" s="125" t="n">
        <v>53297</v>
      </c>
      <c r="C310" s="21" t="n">
        <f aca="false">G309</f>
        <v>-607495.983260376</v>
      </c>
      <c r="D310" s="24" t="n">
        <f aca="false">C310*E$6</f>
        <v>-2531.2332635849</v>
      </c>
      <c r="E310" s="25" t="n">
        <f aca="false">E$8-D310</f>
        <v>6485.20139729262</v>
      </c>
      <c r="F310" s="126" t="n">
        <v>0</v>
      </c>
      <c r="G310" s="24" t="n">
        <f aca="false">C310-E310-F310</f>
        <v>-613981.184657669</v>
      </c>
      <c r="I310" s="25" t="n">
        <f aca="false">I309+E310</f>
        <v>1113981.18465767</v>
      </c>
      <c r="J310" s="24" t="n">
        <f aca="false">J309+D310</f>
        <v>72209.2554546478</v>
      </c>
    </row>
    <row r="311" customFormat="false" ht="15" hidden="true" customHeight="false" outlineLevel="1" collapsed="false">
      <c r="B311" s="125" t="n">
        <v>53328</v>
      </c>
      <c r="C311" s="21" t="n">
        <f aca="false">G310</f>
        <v>-613981.184657669</v>
      </c>
      <c r="D311" s="24" t="n">
        <f aca="false">C311*E$6</f>
        <v>-2558.25493607362</v>
      </c>
      <c r="E311" s="25" t="n">
        <f aca="false">E$8-D311</f>
        <v>6512.22306978134</v>
      </c>
      <c r="F311" s="127" t="n">
        <v>0</v>
      </c>
      <c r="G311" s="24" t="n">
        <f aca="false">C311-E311-F311</f>
        <v>-620493.40772745</v>
      </c>
      <c r="I311" s="25" t="n">
        <f aca="false">I310+E311</f>
        <v>1120493.40772745</v>
      </c>
      <c r="J311" s="24" t="n">
        <f aca="false">J310+D311</f>
        <v>69651.0005185741</v>
      </c>
    </row>
    <row r="312" customFormat="false" ht="15" hidden="true" customHeight="false" outlineLevel="1" collapsed="false">
      <c r="B312" s="125" t="n">
        <v>53359</v>
      </c>
      <c r="C312" s="21" t="n">
        <f aca="false">G311</f>
        <v>-620493.40772745</v>
      </c>
      <c r="D312" s="24" t="n">
        <f aca="false">C312*E$6</f>
        <v>-2585.38919886438</v>
      </c>
      <c r="E312" s="25" t="n">
        <f aca="false">E$8-D312</f>
        <v>6539.3573325721</v>
      </c>
      <c r="F312" s="126" t="n">
        <v>0</v>
      </c>
      <c r="G312" s="24" t="n">
        <f aca="false">C312-E312-F312</f>
        <v>-627032.765060023</v>
      </c>
      <c r="I312" s="25" t="n">
        <f aca="false">I311+E312</f>
        <v>1127032.76506002</v>
      </c>
      <c r="J312" s="24" t="n">
        <f aca="false">J311+D312</f>
        <v>67065.6113197098</v>
      </c>
    </row>
    <row r="313" customFormat="false" ht="15" hidden="true" customHeight="false" outlineLevel="1" collapsed="false">
      <c r="B313" s="125" t="n">
        <v>53387</v>
      </c>
      <c r="C313" s="21" t="n">
        <f aca="false">G312</f>
        <v>-627032.765060023</v>
      </c>
      <c r="D313" s="24" t="n">
        <f aca="false">C313*E$6</f>
        <v>-2612.63652108343</v>
      </c>
      <c r="E313" s="25" t="n">
        <f aca="false">E$8-D313</f>
        <v>6566.60465479115</v>
      </c>
      <c r="F313" s="127" t="n">
        <v>0</v>
      </c>
      <c r="G313" s="24" t="n">
        <f aca="false">C313-E313-F313</f>
        <v>-633599.369714814</v>
      </c>
      <c r="I313" s="25" t="n">
        <f aca="false">I312+E313</f>
        <v>1133599.36971481</v>
      </c>
      <c r="J313" s="24" t="n">
        <f aca="false">J312+D313</f>
        <v>64452.9747986263</v>
      </c>
    </row>
    <row r="314" customFormat="false" ht="15" hidden="true" customHeight="false" outlineLevel="1" collapsed="false">
      <c r="B314" s="125" t="n">
        <v>53418</v>
      </c>
      <c r="C314" s="21" t="n">
        <f aca="false">G313</f>
        <v>-633599.369714814</v>
      </c>
      <c r="D314" s="24" t="n">
        <f aca="false">C314*E$6</f>
        <v>-2639.99737381172</v>
      </c>
      <c r="E314" s="25" t="n">
        <f aca="false">E$8-D314</f>
        <v>6593.96550751945</v>
      </c>
      <c r="F314" s="126" t="n">
        <v>0</v>
      </c>
      <c r="G314" s="24" t="n">
        <f aca="false">C314-E314-F314</f>
        <v>-640193.335222333</v>
      </c>
      <c r="I314" s="25" t="n">
        <f aca="false">I313+E314</f>
        <v>1140193.33522233</v>
      </c>
      <c r="J314" s="24" t="n">
        <f aca="false">J313+D314</f>
        <v>61812.9774248146</v>
      </c>
    </row>
    <row r="315" customFormat="false" ht="15" hidden="true" customHeight="false" outlineLevel="1" collapsed="false">
      <c r="B315" s="125" t="n">
        <v>53448</v>
      </c>
      <c r="C315" s="21" t="n">
        <f aca="false">G314</f>
        <v>-640193.335222333</v>
      </c>
      <c r="D315" s="24" t="n">
        <f aca="false">C315*E$6</f>
        <v>-2667.47223009305</v>
      </c>
      <c r="E315" s="25" t="n">
        <f aca="false">E$8-D315</f>
        <v>6621.44036380078</v>
      </c>
      <c r="F315" s="127" t="n">
        <v>0</v>
      </c>
      <c r="G315" s="24" t="n">
        <f aca="false">C315-E315-F315</f>
        <v>-646814.775586134</v>
      </c>
      <c r="I315" s="25" t="n">
        <f aca="false">I314+E315</f>
        <v>1146814.77558613</v>
      </c>
      <c r="J315" s="24" t="n">
        <f aca="false">J314+D315</f>
        <v>59145.5051947216</v>
      </c>
    </row>
    <row r="316" customFormat="false" ht="15" hidden="true" customHeight="false" outlineLevel="1" collapsed="false">
      <c r="B316" s="125" t="n">
        <v>53479</v>
      </c>
      <c r="C316" s="21" t="n">
        <f aca="false">G315</f>
        <v>-646814.775586134</v>
      </c>
      <c r="D316" s="24" t="n">
        <f aca="false">C316*E$6</f>
        <v>-2695.06156494222</v>
      </c>
      <c r="E316" s="25" t="n">
        <f aca="false">E$8-D316</f>
        <v>6649.02969864995</v>
      </c>
      <c r="F316" s="126" t="n">
        <v>0</v>
      </c>
      <c r="G316" s="24" t="n">
        <f aca="false">C316-E316-F316</f>
        <v>-653463.805284784</v>
      </c>
      <c r="I316" s="25" t="n">
        <f aca="false">I315+E316</f>
        <v>1153463.80528478</v>
      </c>
      <c r="J316" s="24" t="n">
        <f aca="false">J315+D316</f>
        <v>56450.4436297793</v>
      </c>
    </row>
    <row r="317" customFormat="false" ht="15" hidden="true" customHeight="false" outlineLevel="1" collapsed="false">
      <c r="B317" s="125" t="n">
        <v>53509</v>
      </c>
      <c r="C317" s="21" t="n">
        <f aca="false">G316</f>
        <v>-653463.805284784</v>
      </c>
      <c r="D317" s="24" t="n">
        <f aca="false">C317*E$6</f>
        <v>-2722.76585535327</v>
      </c>
      <c r="E317" s="25" t="n">
        <f aca="false">E$8-D317</f>
        <v>6676.73398906099</v>
      </c>
      <c r="F317" s="127" t="n">
        <v>0</v>
      </c>
      <c r="G317" s="24" t="n">
        <f aca="false">C317-E317-F317</f>
        <v>-660140.539273845</v>
      </c>
      <c r="I317" s="25" t="n">
        <f aca="false">I316+E317</f>
        <v>1160140.53927384</v>
      </c>
      <c r="J317" s="24" t="n">
        <f aca="false">J316+D317</f>
        <v>53727.6777744261</v>
      </c>
    </row>
    <row r="318" customFormat="false" ht="15" hidden="true" customHeight="false" outlineLevel="1" collapsed="false">
      <c r="B318" s="125" t="n">
        <v>53540</v>
      </c>
      <c r="C318" s="21" t="n">
        <f aca="false">G317</f>
        <v>-660140.539273845</v>
      </c>
      <c r="D318" s="24" t="n">
        <f aca="false">C318*E$6</f>
        <v>-2750.58558030769</v>
      </c>
      <c r="E318" s="25" t="n">
        <f aca="false">E$8-D318</f>
        <v>6704.55371401541</v>
      </c>
      <c r="F318" s="126" t="n">
        <v>0</v>
      </c>
      <c r="G318" s="24" t="n">
        <f aca="false">C318-E318-F318</f>
        <v>-666845.09298786</v>
      </c>
      <c r="I318" s="25" t="n">
        <f aca="false">I317+E318</f>
        <v>1166845.09298786</v>
      </c>
      <c r="J318" s="24" t="n">
        <f aca="false">J317+D318</f>
        <v>50977.0921941184</v>
      </c>
    </row>
    <row r="319" customFormat="false" ht="15" hidden="true" customHeight="false" outlineLevel="1" collapsed="false">
      <c r="B319" s="125" t="n">
        <v>53571</v>
      </c>
      <c r="C319" s="21" t="n">
        <f aca="false">G318</f>
        <v>-666845.09298786</v>
      </c>
      <c r="D319" s="24" t="n">
        <f aca="false">C319*E$6</f>
        <v>-2778.52122078275</v>
      </c>
      <c r="E319" s="25" t="n">
        <f aca="false">E$8-D319</f>
        <v>6732.48935449047</v>
      </c>
      <c r="F319" s="127" t="n">
        <v>0</v>
      </c>
      <c r="G319" s="24" t="n">
        <f aca="false">C319-E319-F319</f>
        <v>-673577.582342351</v>
      </c>
      <c r="I319" s="25" t="n">
        <f aca="false">I318+E319</f>
        <v>1173577.58234235</v>
      </c>
      <c r="J319" s="24" t="n">
        <f aca="false">J318+D319</f>
        <v>48198.5709733356</v>
      </c>
    </row>
    <row r="320" customFormat="false" ht="15" hidden="true" customHeight="false" outlineLevel="1" collapsed="false">
      <c r="B320" s="125" t="n">
        <v>53601</v>
      </c>
      <c r="C320" s="21" t="n">
        <f aca="false">G319</f>
        <v>-673577.582342351</v>
      </c>
      <c r="D320" s="24" t="n">
        <f aca="false">C320*E$6</f>
        <v>-2806.57325975979</v>
      </c>
      <c r="E320" s="25" t="n">
        <f aca="false">E$8-D320</f>
        <v>6760.54139346752</v>
      </c>
      <c r="F320" s="126" t="n">
        <v>0</v>
      </c>
      <c r="G320" s="24" t="n">
        <f aca="false">C320-E320-F320</f>
        <v>-680338.123735818</v>
      </c>
      <c r="I320" s="25" t="n">
        <f aca="false">I319+E320</f>
        <v>1180338.12373582</v>
      </c>
      <c r="J320" s="24" t="n">
        <f aca="false">J319+D320</f>
        <v>45391.9977135758</v>
      </c>
    </row>
    <row r="321" customFormat="false" ht="15" hidden="true" customHeight="false" outlineLevel="1" collapsed="false">
      <c r="B321" s="125" t="n">
        <v>53632</v>
      </c>
      <c r="C321" s="21" t="n">
        <f aca="false">G320</f>
        <v>-680338.123735818</v>
      </c>
      <c r="D321" s="24" t="n">
        <f aca="false">C321*E$6</f>
        <v>-2834.74218223258</v>
      </c>
      <c r="E321" s="25" t="n">
        <f aca="false">E$8-D321</f>
        <v>6788.7103159403</v>
      </c>
      <c r="F321" s="127" t="n">
        <v>0</v>
      </c>
      <c r="G321" s="24" t="n">
        <f aca="false">C321-E321-F321</f>
        <v>-687126.834051759</v>
      </c>
      <c r="I321" s="25" t="n">
        <f aca="false">I320+E321</f>
        <v>1187126.83405176</v>
      </c>
      <c r="J321" s="24" t="n">
        <f aca="false">J320+D321</f>
        <v>42557.2555313433</v>
      </c>
    </row>
    <row r="322" customFormat="false" ht="15" hidden="true" customHeight="false" outlineLevel="1" collapsed="false">
      <c r="B322" s="125" t="n">
        <v>53662</v>
      </c>
      <c r="C322" s="21" t="n">
        <f aca="false">G321</f>
        <v>-687126.834051759</v>
      </c>
      <c r="D322" s="24" t="n">
        <f aca="false">C322*E$6</f>
        <v>-2863.02847521566</v>
      </c>
      <c r="E322" s="25" t="n">
        <f aca="false">E$8-D322</f>
        <v>6816.99660892338</v>
      </c>
      <c r="F322" s="126" t="n">
        <v>0</v>
      </c>
      <c r="G322" s="24" t="n">
        <f aca="false">C322-E322-F322</f>
        <v>-693943.830660682</v>
      </c>
      <c r="I322" s="25" t="n">
        <f aca="false">I321+E322</f>
        <v>1193943.83066068</v>
      </c>
      <c r="J322" s="24" t="n">
        <f aca="false">J321+D322</f>
        <v>39694.2270561276</v>
      </c>
    </row>
    <row r="323" customFormat="false" ht="15" hidden="true" customHeight="false" outlineLevel="1" collapsed="false">
      <c r="B323" s="125" t="n">
        <v>53693</v>
      </c>
      <c r="C323" s="21" t="n">
        <f aca="false">G322</f>
        <v>-693943.830660682</v>
      </c>
      <c r="D323" s="24" t="n">
        <f aca="false">C323*E$6</f>
        <v>-2891.43262775284</v>
      </c>
      <c r="E323" s="25" t="n">
        <f aca="false">E$8-D323</f>
        <v>6845.40076146056</v>
      </c>
      <c r="F323" s="127" t="n">
        <v>0</v>
      </c>
      <c r="G323" s="24" t="n">
        <f aca="false">C323-E323-F323</f>
        <v>-700789.231422143</v>
      </c>
      <c r="I323" s="25" t="n">
        <f aca="false">I322+E323</f>
        <v>1200789.23142214</v>
      </c>
      <c r="J323" s="24" t="n">
        <f aca="false">J322+D323</f>
        <v>36802.7944283748</v>
      </c>
    </row>
    <row r="324" customFormat="false" ht="15" hidden="true" customHeight="false" outlineLevel="1" collapsed="false">
      <c r="B324" s="125" t="n">
        <v>53724</v>
      </c>
      <c r="C324" s="21" t="n">
        <f aca="false">G323</f>
        <v>-700789.231422143</v>
      </c>
      <c r="D324" s="24" t="n">
        <f aca="false">C324*E$6</f>
        <v>-2919.95513092559</v>
      </c>
      <c r="E324" s="25" t="n">
        <f aca="false">E$8-D324</f>
        <v>6873.92326463332</v>
      </c>
      <c r="F324" s="126" t="n">
        <v>0</v>
      </c>
      <c r="G324" s="24" t="n">
        <f aca="false">C324-E324-F324</f>
        <v>-707663.154686776</v>
      </c>
      <c r="I324" s="25" t="n">
        <f aca="false">I323+E324</f>
        <v>1207663.15468678</v>
      </c>
      <c r="J324" s="24" t="n">
        <f aca="false">J323+D324</f>
        <v>33882.8392974492</v>
      </c>
    </row>
    <row r="325" customFormat="false" ht="15" hidden="true" customHeight="false" outlineLevel="1" collapsed="false">
      <c r="B325" s="125" t="n">
        <v>53752</v>
      </c>
      <c r="C325" s="21" t="n">
        <f aca="false">G324</f>
        <v>-707663.154686776</v>
      </c>
      <c r="D325" s="24" t="n">
        <f aca="false">C325*E$6</f>
        <v>-2948.59647786157</v>
      </c>
      <c r="E325" s="25" t="n">
        <f aca="false">E$8-D325</f>
        <v>6902.56461156929</v>
      </c>
      <c r="F325" s="127" t="n">
        <v>0</v>
      </c>
      <c r="G325" s="24" t="n">
        <f aca="false">C325-E325-F325</f>
        <v>-714565.719298345</v>
      </c>
      <c r="I325" s="25" t="n">
        <f aca="false">I324+E325</f>
        <v>1214565.71929835</v>
      </c>
      <c r="J325" s="24" t="n">
        <f aca="false">J324+D325</f>
        <v>30934.2428195876</v>
      </c>
    </row>
    <row r="326" customFormat="false" ht="15" hidden="true" customHeight="false" outlineLevel="1" collapsed="false">
      <c r="B326" s="125" t="n">
        <v>53783</v>
      </c>
      <c r="C326" s="21" t="n">
        <f aca="false">G325</f>
        <v>-714565.719298345</v>
      </c>
      <c r="D326" s="24" t="n">
        <f aca="false">C326*E$6</f>
        <v>-2977.3571637431</v>
      </c>
      <c r="E326" s="25" t="n">
        <f aca="false">E$8-D326</f>
        <v>6931.32529745083</v>
      </c>
      <c r="F326" s="126" t="n">
        <v>0</v>
      </c>
      <c r="G326" s="24" t="n">
        <f aca="false">C326-E326-F326</f>
        <v>-721497.044595796</v>
      </c>
      <c r="I326" s="25" t="n">
        <f aca="false">I325+E326</f>
        <v>1221497.0445958</v>
      </c>
      <c r="J326" s="24" t="n">
        <f aca="false">J325+D326</f>
        <v>27956.8856558445</v>
      </c>
    </row>
    <row r="327" customFormat="false" ht="15" hidden="true" customHeight="false" outlineLevel="1" collapsed="false">
      <c r="B327" s="125" t="n">
        <v>53813</v>
      </c>
      <c r="C327" s="21" t="n">
        <f aca="false">G326</f>
        <v>-721497.044595796</v>
      </c>
      <c r="D327" s="24" t="n">
        <f aca="false">C327*E$6</f>
        <v>-3006.23768581582</v>
      </c>
      <c r="E327" s="25" t="n">
        <f aca="false">E$8-D327</f>
        <v>6960.20581952354</v>
      </c>
      <c r="F327" s="127" t="n">
        <v>0</v>
      </c>
      <c r="G327" s="24" t="n">
        <f aca="false">C327-E327-F327</f>
        <v>-728457.25041532</v>
      </c>
      <c r="I327" s="25" t="n">
        <f aca="false">I326+E327</f>
        <v>1228457.25041532</v>
      </c>
      <c r="J327" s="24" t="n">
        <f aca="false">J326+D327</f>
        <v>24950.6479700287</v>
      </c>
    </row>
    <row r="328" customFormat="false" ht="15" hidden="true" customHeight="false" outlineLevel="1" collapsed="false">
      <c r="B328" s="125" t="n">
        <v>53844</v>
      </c>
      <c r="C328" s="21" t="n">
        <f aca="false">G327</f>
        <v>-728457.25041532</v>
      </c>
      <c r="D328" s="24" t="n">
        <f aca="false">C328*E$6</f>
        <v>-3035.23854339716</v>
      </c>
      <c r="E328" s="25" t="n">
        <f aca="false">E$8-D328</f>
        <v>6989.20667710489</v>
      </c>
      <c r="F328" s="126" t="n">
        <v>0</v>
      </c>
      <c r="G328" s="24" t="n">
        <f aca="false">C328-E328-F328</f>
        <v>-735446.457092424</v>
      </c>
      <c r="I328" s="25" t="n">
        <f aca="false">I327+E328</f>
        <v>1235446.45709242</v>
      </c>
      <c r="J328" s="24" t="n">
        <f aca="false">J327+D328</f>
        <v>21915.4094266315</v>
      </c>
    </row>
    <row r="329" customFormat="false" ht="15" hidden="true" customHeight="false" outlineLevel="1" collapsed="false">
      <c r="B329" s="125" t="n">
        <v>53874</v>
      </c>
      <c r="C329" s="21" t="n">
        <f aca="false">G328</f>
        <v>-735446.457092424</v>
      </c>
      <c r="D329" s="24" t="n">
        <f aca="false">C329*E$6</f>
        <v>-3064.3602378851</v>
      </c>
      <c r="E329" s="25" t="n">
        <f aca="false">E$8-D329</f>
        <v>7018.32837159283</v>
      </c>
      <c r="F329" s="127" t="n">
        <v>0</v>
      </c>
      <c r="G329" s="24" t="n">
        <f aca="false">C329-E329-F329</f>
        <v>-742464.785464017</v>
      </c>
      <c r="I329" s="25" t="n">
        <f aca="false">I328+E329</f>
        <v>1242464.78546402</v>
      </c>
      <c r="J329" s="24" t="n">
        <f aca="false">J328+D329</f>
        <v>18851.0491887464</v>
      </c>
    </row>
    <row r="330" customFormat="false" ht="15" hidden="true" customHeight="false" outlineLevel="1" collapsed="false">
      <c r="B330" s="125" t="n">
        <v>53905</v>
      </c>
      <c r="C330" s="21" t="n">
        <f aca="false">G329</f>
        <v>-742464.785464017</v>
      </c>
      <c r="D330" s="24" t="n">
        <f aca="false">C330*E$6</f>
        <v>-3093.60327276674</v>
      </c>
      <c r="E330" s="25" t="n">
        <f aca="false">E$8-D330</f>
        <v>7047.57140647446</v>
      </c>
      <c r="F330" s="126" t="n">
        <v>0</v>
      </c>
      <c r="G330" s="24" t="n">
        <f aca="false">C330-E330-F330</f>
        <v>-749512.356870492</v>
      </c>
      <c r="I330" s="25" t="n">
        <f aca="false">I329+E330</f>
        <v>1249512.35687049</v>
      </c>
      <c r="J330" s="24" t="n">
        <f aca="false">J329+D330</f>
        <v>15757.4459159797</v>
      </c>
    </row>
    <row r="331" customFormat="false" ht="15" hidden="true" customHeight="false" outlineLevel="1" collapsed="false">
      <c r="B331" s="125" t="n">
        <v>53936</v>
      </c>
      <c r="C331" s="21" t="n">
        <f aca="false">G330</f>
        <v>-749512.356870492</v>
      </c>
      <c r="D331" s="24" t="n">
        <f aca="false">C331*E$6</f>
        <v>-3122.96815362705</v>
      </c>
      <c r="E331" s="25" t="n">
        <f aca="false">E$8-D331</f>
        <v>7076.93628733477</v>
      </c>
      <c r="F331" s="127" t="n">
        <v>0</v>
      </c>
      <c r="G331" s="24" t="n">
        <f aca="false">C331-E331-F331</f>
        <v>-756589.293157826</v>
      </c>
      <c r="I331" s="25" t="n">
        <f aca="false">I330+E331</f>
        <v>1256589.29315783</v>
      </c>
      <c r="J331" s="24" t="n">
        <f aca="false">J330+D331</f>
        <v>12634.4777623526</v>
      </c>
    </row>
    <row r="332" customFormat="false" ht="15" hidden="true" customHeight="false" outlineLevel="1" collapsed="false">
      <c r="B332" s="125" t="n">
        <v>53966</v>
      </c>
      <c r="C332" s="21" t="n">
        <f aca="false">G331</f>
        <v>-756589.293157826</v>
      </c>
      <c r="D332" s="24" t="n">
        <f aca="false">C332*E$6</f>
        <v>-3152.45538815761</v>
      </c>
      <c r="E332" s="25" t="n">
        <f aca="false">E$8-D332</f>
        <v>7106.42352186533</v>
      </c>
      <c r="F332" s="126" t="n">
        <v>0</v>
      </c>
      <c r="G332" s="24" t="n">
        <f aca="false">C332-E332-F332</f>
        <v>-763695.716679692</v>
      </c>
      <c r="I332" s="25" t="n">
        <f aca="false">I331+E332</f>
        <v>1263695.71667969</v>
      </c>
      <c r="J332" s="24" t="n">
        <f aca="false">J331+D332</f>
        <v>9482.02237419501</v>
      </c>
    </row>
    <row r="333" customFormat="false" ht="15" hidden="true" customHeight="false" outlineLevel="1" collapsed="false">
      <c r="B333" s="125" t="n">
        <v>53997</v>
      </c>
      <c r="C333" s="21" t="n">
        <f aca="false">G332</f>
        <v>-763695.716679692</v>
      </c>
      <c r="D333" s="24" t="n">
        <f aca="false">C333*E$6</f>
        <v>-3182.06548616538</v>
      </c>
      <c r="E333" s="25" t="n">
        <f aca="false">E$8-D333</f>
        <v>7136.03361987311</v>
      </c>
      <c r="F333" s="127" t="n">
        <v>0</v>
      </c>
      <c r="G333" s="24" t="n">
        <f aca="false">C333-E333-F333</f>
        <v>-770831.750299565</v>
      </c>
      <c r="I333" s="25" t="n">
        <f aca="false">I332+E333</f>
        <v>1270831.75029957</v>
      </c>
      <c r="J333" s="24" t="n">
        <f aca="false">J332+D333</f>
        <v>6299.95688802963</v>
      </c>
    </row>
    <row r="334" customFormat="false" ht="15" hidden="true" customHeight="false" outlineLevel="1" collapsed="false">
      <c r="B334" s="125" t="n">
        <v>54027</v>
      </c>
      <c r="C334" s="21" t="n">
        <f aca="false">G333</f>
        <v>-770831.750299565</v>
      </c>
      <c r="D334" s="24" t="n">
        <f aca="false">C334*E$6</f>
        <v>-3211.79895958152</v>
      </c>
      <c r="E334" s="25" t="n">
        <f aca="false">E$8-D334</f>
        <v>7165.76709328924</v>
      </c>
      <c r="F334" s="126" t="n">
        <v>0</v>
      </c>
      <c r="G334" s="24" t="n">
        <f aca="false">C334-E334-F334</f>
        <v>-777997.517392854</v>
      </c>
      <c r="I334" s="25" t="n">
        <f aca="false">I333+E334</f>
        <v>1277997.51739285</v>
      </c>
      <c r="J334" s="24" t="n">
        <f aca="false">J333+D334</f>
        <v>3088.15792844811</v>
      </c>
    </row>
    <row r="335" customFormat="false" ht="15" hidden="true" customHeight="false" outlineLevel="1" collapsed="false">
      <c r="B335" s="125" t="n">
        <v>54058</v>
      </c>
      <c r="C335" s="21" t="n">
        <f aca="false">G334</f>
        <v>-777997.517392854</v>
      </c>
      <c r="D335" s="24" t="n">
        <f aca="false">C335*E$6</f>
        <v>-3241.65632247023</v>
      </c>
      <c r="E335" s="25" t="n">
        <f aca="false">E$8-D335</f>
        <v>7195.62445617795</v>
      </c>
      <c r="F335" s="127" t="n">
        <v>0</v>
      </c>
      <c r="G335" s="24" t="n">
        <f aca="false">C335-E335-F335</f>
        <v>-785193.141849032</v>
      </c>
      <c r="I335" s="25" t="n">
        <f aca="false">I334+E335</f>
        <v>1285193.14184903</v>
      </c>
      <c r="J335" s="24" t="n">
        <f aca="false">J334+D335</f>
        <v>-153.498394022117</v>
      </c>
    </row>
    <row r="336" customFormat="false" ht="15" hidden="true" customHeight="false" outlineLevel="1" collapsed="false">
      <c r="B336" s="125" t="n">
        <v>54089</v>
      </c>
      <c r="C336" s="21" t="n">
        <f aca="false">G335</f>
        <v>-785193.141849032</v>
      </c>
      <c r="D336" s="24" t="n">
        <f aca="false">C336*E$6</f>
        <v>-3271.63809103763</v>
      </c>
      <c r="E336" s="25" t="n">
        <f aca="false">E$8-D336</f>
        <v>7225.60622474536</v>
      </c>
      <c r="F336" s="126" t="n">
        <v>0</v>
      </c>
      <c r="G336" s="24" t="n">
        <f aca="false">C336-E336-F336</f>
        <v>-792418.748073777</v>
      </c>
      <c r="I336" s="25" t="n">
        <f aca="false">I335+E336</f>
        <v>1292418.74807378</v>
      </c>
      <c r="J336" s="24" t="n">
        <f aca="false">J335+D336</f>
        <v>-3425.13648505975</v>
      </c>
    </row>
    <row r="337" customFormat="false" ht="15" hidden="true" customHeight="false" outlineLevel="1" collapsed="false">
      <c r="B337" s="125" t="n">
        <v>54118</v>
      </c>
      <c r="C337" s="21" t="n">
        <f aca="false">G336</f>
        <v>-792418.748073777</v>
      </c>
      <c r="D337" s="24" t="n">
        <f aca="false">C337*E$6</f>
        <v>-3301.74478364074</v>
      </c>
      <c r="E337" s="25" t="n">
        <f aca="false">E$8-D337</f>
        <v>7255.71291734846</v>
      </c>
      <c r="F337" s="127" t="n">
        <v>0</v>
      </c>
      <c r="G337" s="24" t="n">
        <f aca="false">C337-E337-F337</f>
        <v>-799674.460991126</v>
      </c>
      <c r="I337" s="25" t="n">
        <f aca="false">I336+E337</f>
        <v>1299674.46099113</v>
      </c>
      <c r="J337" s="24" t="n">
        <f aca="false">J336+D337</f>
        <v>-6726.88126870049</v>
      </c>
    </row>
    <row r="338" customFormat="false" ht="15" hidden="true" customHeight="false" outlineLevel="1" collapsed="false">
      <c r="B338" s="125" t="n">
        <v>54149</v>
      </c>
      <c r="C338" s="21" t="n">
        <f aca="false">G337</f>
        <v>-799674.460991126</v>
      </c>
      <c r="D338" s="24" t="n">
        <f aca="false">C338*E$6</f>
        <v>-3331.97692079636</v>
      </c>
      <c r="E338" s="25" t="n">
        <f aca="false">E$8-D338</f>
        <v>7285.94505450408</v>
      </c>
      <c r="F338" s="126" t="n">
        <v>0</v>
      </c>
      <c r="G338" s="24" t="n">
        <f aca="false">C338-E338-F338</f>
        <v>-806960.40604563</v>
      </c>
      <c r="I338" s="25" t="n">
        <f aca="false">I337+E338</f>
        <v>1306960.40604563</v>
      </c>
      <c r="J338" s="24" t="n">
        <f aca="false">J337+D338</f>
        <v>-10058.8581894968</v>
      </c>
    </row>
    <row r="339" customFormat="false" ht="15" hidden="true" customHeight="false" outlineLevel="1" collapsed="false">
      <c r="B339" s="125" t="n">
        <v>54179</v>
      </c>
      <c r="C339" s="21" t="n">
        <f aca="false">G338</f>
        <v>-806960.40604563</v>
      </c>
      <c r="D339" s="24" t="n">
        <f aca="false">C339*E$6</f>
        <v>-3362.33502519012</v>
      </c>
      <c r="E339" s="25" t="n">
        <f aca="false">E$8-D339</f>
        <v>7316.30315889785</v>
      </c>
      <c r="F339" s="127" t="n">
        <v>0</v>
      </c>
      <c r="G339" s="24" t="n">
        <f aca="false">C339-E339-F339</f>
        <v>-814276.709204528</v>
      </c>
      <c r="I339" s="25" t="n">
        <f aca="false">I338+E339</f>
        <v>1314276.70920453</v>
      </c>
      <c r="J339" s="24" t="n">
        <f aca="false">J338+D339</f>
        <v>-13421.193214687</v>
      </c>
    </row>
    <row r="340" customFormat="false" ht="15" hidden="true" customHeight="false" outlineLevel="1" collapsed="false">
      <c r="B340" s="125" t="n">
        <v>54210</v>
      </c>
      <c r="C340" s="21" t="n">
        <f aca="false">G339</f>
        <v>-814276.709204528</v>
      </c>
      <c r="D340" s="24" t="n">
        <f aca="false">C340*E$6</f>
        <v>-3392.81962168553</v>
      </c>
      <c r="E340" s="25" t="n">
        <f aca="false">E$8-D340</f>
        <v>7346.78775539326</v>
      </c>
      <c r="F340" s="126" t="n">
        <v>0</v>
      </c>
      <c r="G340" s="24" t="n">
        <f aca="false">C340-E340-F340</f>
        <v>-821623.496959921</v>
      </c>
      <c r="I340" s="25" t="n">
        <f aca="false">I339+E340</f>
        <v>1321623.49695992</v>
      </c>
      <c r="J340" s="24" t="n">
        <f aca="false">J339+D340</f>
        <v>-16814.0128363725</v>
      </c>
    </row>
    <row r="341" customFormat="false" ht="15" hidden="true" customHeight="false" outlineLevel="1" collapsed="false">
      <c r="B341" s="125" t="n">
        <v>54240</v>
      </c>
      <c r="C341" s="21" t="n">
        <f aca="false">G340</f>
        <v>-821623.496959921</v>
      </c>
      <c r="D341" s="24" t="n">
        <f aca="false">C341*E$6</f>
        <v>-3423.431237333</v>
      </c>
      <c r="E341" s="25" t="n">
        <f aca="false">E$8-D341</f>
        <v>7377.39937104073</v>
      </c>
      <c r="F341" s="127" t="n">
        <v>0</v>
      </c>
      <c r="G341" s="24" t="n">
        <f aca="false">C341-E341-F341</f>
        <v>-829000.896330962</v>
      </c>
      <c r="I341" s="25" t="n">
        <f aca="false">I340+E341</f>
        <v>1329000.89633096</v>
      </c>
      <c r="J341" s="24" t="n">
        <f aca="false">J340+D341</f>
        <v>-20237.4440737055</v>
      </c>
    </row>
    <row r="342" customFormat="false" ht="15" hidden="true" customHeight="false" outlineLevel="1" collapsed="false">
      <c r="B342" s="125" t="n">
        <v>54271</v>
      </c>
      <c r="C342" s="21" t="n">
        <f aca="false">G341</f>
        <v>-829000.896330962</v>
      </c>
      <c r="D342" s="24" t="n">
        <f aca="false">C342*E$6</f>
        <v>-3454.17040137901</v>
      </c>
      <c r="E342" s="25" t="n">
        <f aca="false">E$8-D342</f>
        <v>7408.13853508673</v>
      </c>
      <c r="F342" s="126" t="n">
        <v>0</v>
      </c>
      <c r="G342" s="24" t="n">
        <f aca="false">C342-E342-F342</f>
        <v>-836409.034866049</v>
      </c>
      <c r="I342" s="25" t="n">
        <f aca="false">I341+E342</f>
        <v>1336409.03486605</v>
      </c>
      <c r="J342" s="24" t="n">
        <f aca="false">J341+D342</f>
        <v>-23691.6144750845</v>
      </c>
    </row>
    <row r="343" customFormat="false" ht="15" hidden="true" customHeight="false" outlineLevel="1" collapsed="false">
      <c r="B343" s="125" t="n">
        <v>54302</v>
      </c>
      <c r="C343" s="21" t="n">
        <f aca="false">G342</f>
        <v>-836409.034866049</v>
      </c>
      <c r="D343" s="24" t="n">
        <f aca="false">C343*E$6</f>
        <v>-3485.0376452752</v>
      </c>
      <c r="E343" s="25" t="n">
        <f aca="false">E$8-D343</f>
        <v>7439.00577898293</v>
      </c>
      <c r="F343" s="127" t="n">
        <v>0</v>
      </c>
      <c r="G343" s="24" t="n">
        <f aca="false">C343-E343-F343</f>
        <v>-843848.040645032</v>
      </c>
      <c r="I343" s="25" t="n">
        <f aca="false">I342+E343</f>
        <v>1343848.04064503</v>
      </c>
      <c r="J343" s="24" t="n">
        <f aca="false">J342+D343</f>
        <v>-27176.6521203597</v>
      </c>
    </row>
    <row r="344" customFormat="false" ht="15" hidden="true" customHeight="false" outlineLevel="1" collapsed="false">
      <c r="B344" s="125" t="n">
        <v>54332</v>
      </c>
      <c r="C344" s="21" t="n">
        <f aca="false">G343</f>
        <v>-843848.040645032</v>
      </c>
      <c r="D344" s="24" t="n">
        <f aca="false">C344*E$6</f>
        <v>-3516.03350268763</v>
      </c>
      <c r="E344" s="25" t="n">
        <f aca="false">E$8-D344</f>
        <v>7470.00163639535</v>
      </c>
      <c r="F344" s="126" t="n">
        <v>0</v>
      </c>
      <c r="G344" s="24" t="n">
        <f aca="false">C344-E344-F344</f>
        <v>-851318.042281427</v>
      </c>
      <c r="I344" s="25" t="n">
        <f aca="false">I343+E344</f>
        <v>1351318.04228143</v>
      </c>
      <c r="J344" s="24" t="n">
        <f aca="false">J343+D344</f>
        <v>-30692.6856230473</v>
      </c>
    </row>
    <row r="345" customFormat="false" ht="15" hidden="true" customHeight="false" outlineLevel="1" collapsed="false">
      <c r="B345" s="125" t="n">
        <v>54363</v>
      </c>
      <c r="C345" s="21" t="n">
        <f aca="false">G344</f>
        <v>-851318.042281427</v>
      </c>
      <c r="D345" s="24" t="n">
        <f aca="false">C345*E$6</f>
        <v>-3547.15850950595</v>
      </c>
      <c r="E345" s="25" t="n">
        <f aca="false">E$8-D345</f>
        <v>7501.12664321367</v>
      </c>
      <c r="F345" s="127" t="n">
        <v>0</v>
      </c>
      <c r="G345" s="24" t="n">
        <f aca="false">C345-E345-F345</f>
        <v>-858819.168924641</v>
      </c>
      <c r="I345" s="25" t="n">
        <f aca="false">I344+E345</f>
        <v>1358819.16892464</v>
      </c>
      <c r="J345" s="24" t="n">
        <f aca="false">J344+D345</f>
        <v>-34239.8441325533</v>
      </c>
    </row>
    <row r="346" customFormat="false" ht="15" hidden="true" customHeight="false" outlineLevel="1" collapsed="false">
      <c r="B346" s="125" t="n">
        <v>54393</v>
      </c>
      <c r="C346" s="21" t="n">
        <f aca="false">G345</f>
        <v>-858819.168924641</v>
      </c>
      <c r="D346" s="24" t="n">
        <f aca="false">C346*E$6</f>
        <v>-3578.41320385267</v>
      </c>
      <c r="E346" s="25" t="n">
        <f aca="false">E$8-D346</f>
        <v>7532.38133756039</v>
      </c>
      <c r="F346" s="126" t="n">
        <v>0</v>
      </c>
      <c r="G346" s="24" t="n">
        <f aca="false">C346-E346-F346</f>
        <v>-866351.550262201</v>
      </c>
      <c r="I346" s="25" t="n">
        <f aca="false">I345+E346</f>
        <v>1366351.5502622</v>
      </c>
      <c r="J346" s="24" t="n">
        <f aca="false">J345+D346</f>
        <v>-37818.257336406</v>
      </c>
    </row>
    <row r="347" customFormat="false" ht="15" hidden="true" customHeight="false" outlineLevel="1" collapsed="false">
      <c r="B347" s="125" t="n">
        <v>54424</v>
      </c>
      <c r="C347" s="21" t="n">
        <f aca="false">G346</f>
        <v>-866351.550262201</v>
      </c>
      <c r="D347" s="24" t="n">
        <f aca="false">C347*E$6</f>
        <v>-3609.7981260925</v>
      </c>
      <c r="E347" s="25" t="n">
        <f aca="false">E$8-D347</f>
        <v>7563.76625980023</v>
      </c>
      <c r="F347" s="127" t="n">
        <v>0</v>
      </c>
      <c r="G347" s="24" t="n">
        <f aca="false">C347-E347-F347</f>
        <v>-873915.316522001</v>
      </c>
      <c r="I347" s="25" t="n">
        <f aca="false">I346+E347</f>
        <v>1373915.316522</v>
      </c>
      <c r="J347" s="24" t="n">
        <f aca="false">J346+D347</f>
        <v>-41428.0554624985</v>
      </c>
    </row>
    <row r="348" customFormat="false" ht="15" hidden="true" customHeight="false" outlineLevel="1" collapsed="false">
      <c r="B348" s="125" t="n">
        <v>54455</v>
      </c>
      <c r="C348" s="21" t="n">
        <f aca="false">G347</f>
        <v>-873915.316522001</v>
      </c>
      <c r="D348" s="24" t="n">
        <f aca="false">C348*E$6</f>
        <v>-3641.31381884167</v>
      </c>
      <c r="E348" s="25" t="n">
        <f aca="false">E$8-D348</f>
        <v>7595.28195254939</v>
      </c>
      <c r="F348" s="126" t="n">
        <v>0</v>
      </c>
      <c r="G348" s="24" t="n">
        <f aca="false">C348-E348-F348</f>
        <v>-881510.59847455</v>
      </c>
      <c r="I348" s="25" t="n">
        <f aca="false">I347+E348</f>
        <v>1381510.59847455</v>
      </c>
      <c r="J348" s="24" t="n">
        <f aca="false">J347+D348</f>
        <v>-45069.3692813401</v>
      </c>
    </row>
    <row r="349" customFormat="false" ht="15" hidden="true" customHeight="false" outlineLevel="1" collapsed="false">
      <c r="B349" s="125" t="n">
        <v>54483</v>
      </c>
      <c r="C349" s="21" t="n">
        <f aca="false">G348</f>
        <v>-881510.59847455</v>
      </c>
      <c r="D349" s="24" t="n">
        <f aca="false">C349*E$6</f>
        <v>-3672.96082697729</v>
      </c>
      <c r="E349" s="25" t="n">
        <f aca="false">E$8-D349</f>
        <v>7626.92896068502</v>
      </c>
      <c r="F349" s="127" t="n">
        <v>0</v>
      </c>
      <c r="G349" s="24" t="n">
        <f aca="false">C349-E349-F349</f>
        <v>-889137.527435235</v>
      </c>
      <c r="I349" s="25" t="n">
        <f aca="false">I348+E349</f>
        <v>1389137.52743524</v>
      </c>
      <c r="J349" s="24" t="n">
        <f aca="false">J348+D349</f>
        <v>-48742.3301083174</v>
      </c>
    </row>
    <row r="350" customFormat="false" ht="15" hidden="true" customHeight="false" outlineLevel="1" collapsed="false">
      <c r="B350" s="125" t="n">
        <v>54514</v>
      </c>
      <c r="C350" s="21" t="n">
        <f aca="false">G349</f>
        <v>-889137.527435235</v>
      </c>
      <c r="D350" s="24" t="n">
        <f aca="false">C350*E$6</f>
        <v>-3704.73969764681</v>
      </c>
      <c r="E350" s="25" t="n">
        <f aca="false">E$8-D350</f>
        <v>7658.70783135454</v>
      </c>
      <c r="F350" s="126" t="n">
        <v>0</v>
      </c>
      <c r="G350" s="24" t="n">
        <f aca="false">C350-E350-F350</f>
        <v>-896796.23526659</v>
      </c>
      <c r="I350" s="25" t="n">
        <f aca="false">I349+E350</f>
        <v>1396796.23526659</v>
      </c>
      <c r="J350" s="24" t="n">
        <f aca="false">J349+D350</f>
        <v>-52447.0698059642</v>
      </c>
    </row>
    <row r="351" customFormat="false" ht="15" hidden="true" customHeight="false" outlineLevel="1" collapsed="false">
      <c r="B351" s="125" t="n">
        <v>54544</v>
      </c>
      <c r="C351" s="21" t="n">
        <f aca="false">G350</f>
        <v>-896796.23526659</v>
      </c>
      <c r="D351" s="24" t="n">
        <f aca="false">C351*E$6</f>
        <v>-3736.65098027746</v>
      </c>
      <c r="E351" s="25" t="n">
        <f aca="false">E$8-D351</f>
        <v>7690.61911398518</v>
      </c>
      <c r="F351" s="127" t="n">
        <v>0</v>
      </c>
      <c r="G351" s="24" t="n">
        <f aca="false">C351-E351-F351</f>
        <v>-904486.854380575</v>
      </c>
      <c r="I351" s="25" t="n">
        <f aca="false">I350+E351</f>
        <v>1404486.85438058</v>
      </c>
      <c r="J351" s="24" t="n">
        <f aca="false">J350+D351</f>
        <v>-56183.7207862417</v>
      </c>
    </row>
    <row r="352" customFormat="false" ht="15" hidden="true" customHeight="false" outlineLevel="1" collapsed="false">
      <c r="B352" s="125" t="n">
        <v>54575</v>
      </c>
      <c r="C352" s="21" t="n">
        <f aca="false">G351</f>
        <v>-904486.854380575</v>
      </c>
      <c r="D352" s="24" t="n">
        <f aca="false">C352*E$6</f>
        <v>-3768.69522658573</v>
      </c>
      <c r="E352" s="25" t="n">
        <f aca="false">E$8-D352</f>
        <v>7722.66336029345</v>
      </c>
      <c r="F352" s="126" t="n">
        <v>0</v>
      </c>
      <c r="G352" s="24" t="n">
        <f aca="false">C352-E352-F352</f>
        <v>-912209.517740869</v>
      </c>
      <c r="I352" s="25" t="n">
        <f aca="false">I351+E352</f>
        <v>1412209.51774087</v>
      </c>
      <c r="J352" s="24" t="n">
        <f aca="false">J351+D352</f>
        <v>-59952.4160128274</v>
      </c>
    </row>
    <row r="353" customFormat="false" ht="15" hidden="true" customHeight="false" outlineLevel="1" collapsed="false">
      <c r="B353" s="125" t="n">
        <v>54605</v>
      </c>
      <c r="C353" s="21" t="n">
        <f aca="false">G352</f>
        <v>-912209.517740869</v>
      </c>
      <c r="D353" s="24" t="n">
        <f aca="false">C353*E$6</f>
        <v>-3800.87299058695</v>
      </c>
      <c r="E353" s="25" t="n">
        <f aca="false">E$8-D353</f>
        <v>7754.84112429468</v>
      </c>
      <c r="F353" s="127" t="n">
        <v>0</v>
      </c>
      <c r="G353" s="24" t="n">
        <f aca="false">C353-E353-F353</f>
        <v>-919964.358865163</v>
      </c>
      <c r="I353" s="25" t="n">
        <f aca="false">I352+E353</f>
        <v>1419964.35886516</v>
      </c>
      <c r="J353" s="24" t="n">
        <f aca="false">J352+D353</f>
        <v>-63753.2890034144</v>
      </c>
    </row>
    <row r="354" customFormat="false" ht="15" hidden="true" customHeight="false" outlineLevel="1" collapsed="false">
      <c r="B354" s="125" t="n">
        <v>54636</v>
      </c>
      <c r="C354" s="21" t="n">
        <f aca="false">G353</f>
        <v>-919964.358865163</v>
      </c>
      <c r="D354" s="24" t="n">
        <f aca="false">C354*E$6</f>
        <v>-3833.18482860485</v>
      </c>
      <c r="E354" s="25" t="n">
        <f aca="false">E$8-D354</f>
        <v>7787.15296231257</v>
      </c>
      <c r="F354" s="126" t="n">
        <v>0</v>
      </c>
      <c r="G354" s="24" t="n">
        <f aca="false">C354-E354-F354</f>
        <v>-927751.511827476</v>
      </c>
      <c r="I354" s="25" t="n">
        <f aca="false">I353+E354</f>
        <v>1427751.51182748</v>
      </c>
      <c r="J354" s="24" t="n">
        <f aca="false">J353+D354</f>
        <v>-67586.4738320192</v>
      </c>
    </row>
    <row r="355" customFormat="false" ht="15" hidden="true" customHeight="false" outlineLevel="1" collapsed="false">
      <c r="B355" s="125" t="n">
        <v>54667</v>
      </c>
      <c r="C355" s="21" t="n">
        <f aca="false">G354</f>
        <v>-927751.511827476</v>
      </c>
      <c r="D355" s="24" t="n">
        <f aca="false">C355*E$6</f>
        <v>-3865.63129928115</v>
      </c>
      <c r="E355" s="25" t="n">
        <f aca="false">E$8-D355</f>
        <v>7819.59943298887</v>
      </c>
      <c r="F355" s="127" t="n">
        <v>0</v>
      </c>
      <c r="G355" s="24" t="n">
        <f aca="false">C355-E355-F355</f>
        <v>-935571.111260465</v>
      </c>
      <c r="I355" s="25" t="n">
        <f aca="false">I354+E355</f>
        <v>1435571.11126047</v>
      </c>
      <c r="J355" s="24" t="n">
        <f aca="false">J354+D355</f>
        <v>-71452.1051313004</v>
      </c>
    </row>
    <row r="356" customFormat="false" ht="15" hidden="true" customHeight="false" outlineLevel="1" collapsed="false">
      <c r="B356" s="125" t="n">
        <v>54697</v>
      </c>
      <c r="C356" s="21" t="n">
        <f aca="false">G355</f>
        <v>-935571.111260465</v>
      </c>
      <c r="D356" s="24" t="n">
        <f aca="false">C356*E$6</f>
        <v>-3898.21296358527</v>
      </c>
      <c r="E356" s="25" t="n">
        <f aca="false">E$8-D356</f>
        <v>7852.18109729299</v>
      </c>
      <c r="F356" s="126" t="n">
        <v>0</v>
      </c>
      <c r="G356" s="24" t="n">
        <f aca="false">C356-E356-F356</f>
        <v>-943423.292357758</v>
      </c>
      <c r="I356" s="25" t="n">
        <f aca="false">I355+E356</f>
        <v>1443423.29235776</v>
      </c>
      <c r="J356" s="24" t="n">
        <f aca="false">J355+D356</f>
        <v>-75350.3180948857</v>
      </c>
    </row>
    <row r="357" customFormat="false" ht="15" hidden="true" customHeight="false" outlineLevel="1" collapsed="false">
      <c r="B357" s="125" t="n">
        <v>54728</v>
      </c>
      <c r="C357" s="21" t="n">
        <f aca="false">G356</f>
        <v>-943423.292357758</v>
      </c>
      <c r="D357" s="24" t="n">
        <f aca="false">C357*E$6</f>
        <v>-3930.93038482399</v>
      </c>
      <c r="E357" s="25" t="n">
        <f aca="false">E$8-D357</f>
        <v>7884.89851853171</v>
      </c>
      <c r="F357" s="127" t="n">
        <v>0</v>
      </c>
      <c r="G357" s="24" t="n">
        <f aca="false">C357-E357-F357</f>
        <v>-951308.19087629</v>
      </c>
      <c r="I357" s="25" t="n">
        <f aca="false">I356+E357</f>
        <v>1451308.19087629</v>
      </c>
      <c r="J357" s="24" t="n">
        <f aca="false">J356+D357</f>
        <v>-79281.2484797096</v>
      </c>
    </row>
    <row r="358" customFormat="false" ht="15" hidden="true" customHeight="false" outlineLevel="1" collapsed="false">
      <c r="B358" s="125" t="n">
        <v>54758</v>
      </c>
      <c r="C358" s="21" t="n">
        <f aca="false">G357</f>
        <v>-951308.19087629</v>
      </c>
      <c r="D358" s="24" t="n">
        <f aca="false">C358*E$6</f>
        <v>-3963.78412865121</v>
      </c>
      <c r="E358" s="25" t="n">
        <f aca="false">E$8-D358</f>
        <v>7917.75226235893</v>
      </c>
      <c r="F358" s="126" t="n">
        <v>0</v>
      </c>
      <c r="G358" s="24" t="n">
        <f aca="false">C358-E358-F358</f>
        <v>-959225.943138649</v>
      </c>
      <c r="I358" s="25" t="n">
        <f aca="false">I357+E358</f>
        <v>1459225.94313865</v>
      </c>
      <c r="J358" s="24" t="n">
        <f aca="false">J357+D358</f>
        <v>-83245.0326083609</v>
      </c>
    </row>
    <row r="359" customFormat="false" ht="15" hidden="true" customHeight="false" outlineLevel="1" collapsed="false">
      <c r="B359" s="125" t="n">
        <v>54789</v>
      </c>
      <c r="C359" s="21" t="n">
        <f aca="false">G358</f>
        <v>-959225.943138649</v>
      </c>
      <c r="D359" s="24" t="n">
        <f aca="false">C359*E$6</f>
        <v>-3996.7747630777</v>
      </c>
      <c r="E359" s="25" t="n">
        <f aca="false">E$8-D359</f>
        <v>7950.74289678543</v>
      </c>
      <c r="F359" s="127" t="n">
        <v>0</v>
      </c>
      <c r="G359" s="24" t="n">
        <f aca="false">C359-E359-F359</f>
        <v>-967176.686035434</v>
      </c>
      <c r="I359" s="25" t="n">
        <f aca="false">I358+E359</f>
        <v>1467176.68603543</v>
      </c>
      <c r="J359" s="24" t="n">
        <f aca="false">J358+D359</f>
        <v>-87241.8073714386</v>
      </c>
    </row>
    <row r="360" customFormat="false" ht="15" hidden="true" customHeight="false" outlineLevel="1" collapsed="false">
      <c r="B360" s="125" t="n">
        <v>54820</v>
      </c>
      <c r="C360" s="21" t="n">
        <f aca="false">G359</f>
        <v>-967176.686035434</v>
      </c>
      <c r="D360" s="24" t="n">
        <f aca="false">C360*E$6</f>
        <v>-4029.90285848097</v>
      </c>
      <c r="E360" s="25" t="n">
        <f aca="false">E$8-D360</f>
        <v>7983.8709921887</v>
      </c>
      <c r="F360" s="126" t="n">
        <v>0</v>
      </c>
      <c r="G360" s="24" t="n">
        <f aca="false">C360-E360-F360</f>
        <v>-975160.557027623</v>
      </c>
      <c r="I360" s="25" t="n">
        <f aca="false">I359+E360</f>
        <v>1475160.55702762</v>
      </c>
      <c r="J360" s="24" t="n">
        <f aca="false">J359+D360</f>
        <v>-91271.7102299195</v>
      </c>
    </row>
    <row r="361" customFormat="false" ht="15" hidden="true" customHeight="false" outlineLevel="1" collapsed="false">
      <c r="B361" s="125" t="n">
        <v>54848</v>
      </c>
      <c r="C361" s="21" t="n">
        <f aca="false">G360</f>
        <v>-975160.557027623</v>
      </c>
      <c r="D361" s="24" t="n">
        <f aca="false">C361*E$6</f>
        <v>-4063.16898761509</v>
      </c>
      <c r="E361" s="25" t="n">
        <f aca="false">E$8-D361</f>
        <v>8017.13712132282</v>
      </c>
      <c r="F361" s="127" t="n">
        <v>0</v>
      </c>
      <c r="G361" s="24" t="n">
        <f aca="false">C361-E361-F361</f>
        <v>-983177.694148945</v>
      </c>
      <c r="I361" s="25" t="n">
        <f aca="false">I360+E361</f>
        <v>1483177.69414895</v>
      </c>
      <c r="J361" s="24" t="n">
        <f aca="false">J360+D361</f>
        <v>-95334.8792175346</v>
      </c>
    </row>
    <row r="362" customFormat="false" ht="15" hidden="true" customHeight="false" outlineLevel="1" collapsed="false">
      <c r="B362" s="125" t="n">
        <v>54879</v>
      </c>
      <c r="C362" s="21" t="n">
        <f aca="false">G361</f>
        <v>-983177.694148945</v>
      </c>
      <c r="D362" s="24" t="n">
        <f aca="false">C362*E$6</f>
        <v>-4096.57372562061</v>
      </c>
      <c r="E362" s="25" t="n">
        <f aca="false">E$8-D362</f>
        <v>8050.54185932833</v>
      </c>
      <c r="F362" s="126" t="n">
        <v>0</v>
      </c>
      <c r="G362" s="24" t="n">
        <f aca="false">C362-E362-F362</f>
        <v>-991228.236008274</v>
      </c>
      <c r="I362" s="25" t="n">
        <f aca="false">I361+E362</f>
        <v>1491228.23600827</v>
      </c>
      <c r="J362" s="24" t="n">
        <f aca="false">J361+D362</f>
        <v>-99431.4529431552</v>
      </c>
    </row>
    <row r="363" customFormat="false" ht="15" hidden="true" customHeight="false" outlineLevel="1" collapsed="false">
      <c r="B363" s="125" t="n">
        <v>54909</v>
      </c>
      <c r="C363" s="21" t="n">
        <f aca="false">G362</f>
        <v>-991228.236008274</v>
      </c>
      <c r="D363" s="24" t="n">
        <f aca="false">C363*E$6</f>
        <v>-4130.11765003447</v>
      </c>
      <c r="E363" s="25" t="n">
        <f aca="false">E$8-D363</f>
        <v>8084.0857837422</v>
      </c>
      <c r="F363" s="127" t="n">
        <v>0</v>
      </c>
      <c r="G363" s="24" t="n">
        <f aca="false">C363-E363-F363</f>
        <v>-999312.321792016</v>
      </c>
      <c r="I363" s="25" t="n">
        <f aca="false">I362+E363</f>
        <v>1499312.32179202</v>
      </c>
      <c r="J363" s="24" t="n">
        <f aca="false">J362+D363</f>
        <v>-103561.57059319</v>
      </c>
    </row>
    <row r="364" customFormat="false" ht="15" hidden="true" customHeight="false" outlineLevel="1" collapsed="false">
      <c r="B364" s="125" t="n">
        <v>54940</v>
      </c>
      <c r="C364" s="21" t="n">
        <f aca="false">G363</f>
        <v>-999312.321792016</v>
      </c>
      <c r="D364" s="24" t="n">
        <f aca="false">C364*E$6</f>
        <v>-4163.80134080007</v>
      </c>
      <c r="E364" s="25" t="n">
        <f aca="false">E$8-D364</f>
        <v>8117.76947450779</v>
      </c>
      <c r="F364" s="126" t="n">
        <v>0</v>
      </c>
      <c r="G364" s="24" t="n">
        <f aca="false">C364-E364-F364</f>
        <v>-1007430.09126652</v>
      </c>
      <c r="I364" s="25" t="n">
        <f aca="false">I363+E364</f>
        <v>1507430.09126652</v>
      </c>
      <c r="J364" s="24" t="n">
        <f aca="false">J363+D364</f>
        <v>-107725.37193399</v>
      </c>
    </row>
    <row r="365" customFormat="false" ht="15" hidden="true" customHeight="false" outlineLevel="1" collapsed="false">
      <c r="B365" s="125" t="n">
        <v>54970</v>
      </c>
      <c r="C365" s="21" t="n">
        <f aca="false">G364</f>
        <v>-1007430.09126652</v>
      </c>
      <c r="D365" s="24" t="n">
        <f aca="false">C365*E$6</f>
        <v>-4197.62538027718</v>
      </c>
      <c r="E365" s="25" t="n">
        <f aca="false">E$8-D365</f>
        <v>8151.5935139849</v>
      </c>
      <c r="F365" s="127" t="n">
        <v>0</v>
      </c>
      <c r="G365" s="24" t="n">
        <f aca="false">C365-E365-F365</f>
        <v>-1015581.68478051</v>
      </c>
      <c r="I365" s="25" t="n">
        <f aca="false">I364+E365</f>
        <v>1515581.68478051</v>
      </c>
      <c r="J365" s="24" t="n">
        <f aca="false">J364+D365</f>
        <v>-111922.997314267</v>
      </c>
    </row>
    <row r="366" customFormat="false" ht="15" hidden="true" customHeight="false" outlineLevel="1" collapsed="false">
      <c r="B366" s="125" t="n">
        <v>55001</v>
      </c>
      <c r="C366" s="21" t="n">
        <f aca="false">G365</f>
        <v>-1015581.68478051</v>
      </c>
      <c r="D366" s="24" t="n">
        <f aca="false">C366*E$6</f>
        <v>-4231.59035325212</v>
      </c>
      <c r="E366" s="25" t="n">
        <f aca="false">E$8-D366</f>
        <v>8185.55848695984</v>
      </c>
      <c r="F366" s="126" t="n">
        <v>0</v>
      </c>
      <c r="G366" s="24" t="n">
        <f aca="false">C366-E366-F366</f>
        <v>-1023767.24326747</v>
      </c>
      <c r="I366" s="25" t="n">
        <f aca="false">I365+E366</f>
        <v>1523767.24326747</v>
      </c>
      <c r="J366" s="24" t="n">
        <f aca="false">J365+D366</f>
        <v>-116154.587667519</v>
      </c>
    </row>
    <row r="367" customFormat="false" ht="15" hidden="true" customHeight="false" outlineLevel="1" collapsed="false">
      <c r="B367" s="125" t="n">
        <v>55032</v>
      </c>
      <c r="C367" s="21" t="n">
        <f aca="false">G366</f>
        <v>-1023767.24326747</v>
      </c>
      <c r="D367" s="24" t="n">
        <f aca="false">C367*E$6</f>
        <v>-4265.69684694779</v>
      </c>
      <c r="E367" s="25" t="n">
        <f aca="false">E$8-D367</f>
        <v>8219.66498065551</v>
      </c>
      <c r="F367" s="127" t="n">
        <v>0</v>
      </c>
      <c r="G367" s="24" t="n">
        <f aca="false">C367-E367-F367</f>
        <v>-1031986.90824812</v>
      </c>
      <c r="I367" s="25" t="n">
        <f aca="false">I366+E367</f>
        <v>1531986.90824812</v>
      </c>
      <c r="J367" s="24" t="n">
        <f aca="false">J366+D367</f>
        <v>-120420.284514467</v>
      </c>
    </row>
    <row r="368" customFormat="false" ht="15" hidden="true" customHeight="false" outlineLevel="1" collapsed="false">
      <c r="B368" s="125" t="n">
        <v>55062</v>
      </c>
      <c r="C368" s="21" t="n">
        <f aca="false">G367</f>
        <v>-1031986.90824812</v>
      </c>
      <c r="D368" s="24" t="n">
        <f aca="false">C368*E$6</f>
        <v>-4299.94545103385</v>
      </c>
      <c r="E368" s="25" t="n">
        <f aca="false">E$8-D368</f>
        <v>8253.91358474157</v>
      </c>
      <c r="F368" s="126" t="n">
        <v>0</v>
      </c>
      <c r="G368" s="24" t="n">
        <f aca="false">C368-E368-F368</f>
        <v>-1040240.82183287</v>
      </c>
      <c r="I368" s="25" t="n">
        <f aca="false">I367+E368</f>
        <v>1540240.82183287</v>
      </c>
      <c r="J368" s="24" t="n">
        <f aca="false">J367+D368</f>
        <v>-124720.229965501</v>
      </c>
    </row>
    <row r="369" customFormat="false" ht="15" hidden="true" customHeight="false" outlineLevel="1" collapsed="false">
      <c r="B369" s="125" t="n">
        <v>55093</v>
      </c>
      <c r="C369" s="21" t="n">
        <f aca="false">G368</f>
        <v>-1040240.82183287</v>
      </c>
      <c r="D369" s="24" t="n">
        <f aca="false">C369*E$6</f>
        <v>-4334.33675763694</v>
      </c>
      <c r="E369" s="25" t="n">
        <f aca="false">E$8-D369</f>
        <v>8288.30489134466</v>
      </c>
      <c r="F369" s="127" t="n">
        <v>0</v>
      </c>
      <c r="G369" s="24" t="n">
        <f aca="false">C369-E369-F369</f>
        <v>-1048529.12672421</v>
      </c>
      <c r="I369" s="25" t="n">
        <f aca="false">I368+E369</f>
        <v>1548529.12672421</v>
      </c>
      <c r="J369" s="24" t="n">
        <f aca="false">J368+D369</f>
        <v>-129054.566723138</v>
      </c>
    </row>
    <row r="370" customFormat="false" ht="15" hidden="false" customHeight="false" outlineLevel="0" collapsed="false">
      <c r="A370" s="0" t="s">
        <v>340</v>
      </c>
      <c r="B370" s="125" t="n">
        <v>55123</v>
      </c>
      <c r="C370" s="21" t="n">
        <f aca="false">G369</f>
        <v>-1048529.12672421</v>
      </c>
      <c r="D370" s="24" t="n">
        <f aca="false">C370*E$6</f>
        <v>-4368.87136135088</v>
      </c>
      <c r="E370" s="25" t="n">
        <f aca="false">E$8-D370</f>
        <v>8322.8394950586</v>
      </c>
      <c r="F370" s="126" t="n">
        <v>0</v>
      </c>
      <c r="G370" s="24" t="n">
        <f aca="false">C370-E370-F370</f>
        <v>-1056851.96621927</v>
      </c>
      <c r="I370" s="25" t="n">
        <f aca="false">I369+E370</f>
        <v>1556851.96621927</v>
      </c>
      <c r="J370" s="24" t="n">
        <f aca="false">J369+D370</f>
        <v>-133423.438084489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3" activeCellId="0" sqref="D13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18.14"/>
    <col collapsed="false" customWidth="true" hidden="false" outlineLevel="0" max="3" min="3" style="0" width="14.71"/>
    <col collapsed="false" customWidth="true" hidden="false" outlineLevel="0" max="4" min="4" style="0" width="10.14"/>
    <col collapsed="false" customWidth="true" hidden="false" outlineLevel="0" max="5" min="5" style="0" width="13.29"/>
    <col collapsed="false" customWidth="true" hidden="false" outlineLevel="0" max="6" min="6" style="0" width="10.57"/>
    <col collapsed="false" customWidth="true" hidden="false" outlineLevel="0" max="7" min="7" style="0" width="13.86"/>
    <col collapsed="false" customWidth="true" hidden="false" outlineLevel="0" max="8" min="8" style="0" width="4.57"/>
    <col collapsed="false" customWidth="true" hidden="false" outlineLevel="0" max="10" min="9" style="0" width="15.71"/>
    <col collapsed="false" customWidth="true" hidden="false" outlineLevel="0" max="12" min="12" style="0" width="12.86"/>
  </cols>
  <sheetData>
    <row r="1" customFormat="false" ht="15" hidden="false" customHeight="false" outlineLevel="0" collapsed="false">
      <c r="A1" s="29" t="s">
        <v>344</v>
      </c>
    </row>
    <row r="3" customFormat="false" ht="15" hidden="false" customHeight="false" outlineLevel="0" collapsed="false">
      <c r="A3" s="0" t="s">
        <v>332</v>
      </c>
      <c r="E3" s="20" t="n">
        <v>500000</v>
      </c>
    </row>
    <row r="4" customFormat="false" ht="15" hidden="false" customHeight="false" outlineLevel="0" collapsed="false">
      <c r="A4" s="0" t="s">
        <v>334</v>
      </c>
      <c r="E4" s="51" t="n">
        <f aca="false">25*12</f>
        <v>300</v>
      </c>
      <c r="F4" s="0" t="s">
        <v>345</v>
      </c>
    </row>
    <row r="5" customFormat="false" ht="15" hidden="false" customHeight="false" outlineLevel="0" collapsed="false">
      <c r="A5" s="0" t="s">
        <v>324</v>
      </c>
      <c r="E5" s="18" t="n">
        <v>0.05</v>
      </c>
      <c r="G5" s="123"/>
    </row>
    <row r="6" customFormat="false" ht="15" hidden="false" customHeight="false" outlineLevel="0" collapsed="false">
      <c r="A6" s="0" t="s">
        <v>346</v>
      </c>
      <c r="E6" s="9" t="n">
        <f aca="false">E5/2</f>
        <v>0.025</v>
      </c>
      <c r="G6" s="123"/>
    </row>
    <row r="7" customFormat="false" ht="26.25" hidden="false" customHeight="true" outlineLevel="0" collapsed="false">
      <c r="A7" s="0" t="s">
        <v>347</v>
      </c>
      <c r="E7" s="42" t="n">
        <f aca="false">(1+E5/2)^2-1</f>
        <v>0.0506249999999999</v>
      </c>
      <c r="G7" s="123"/>
    </row>
    <row r="8" customFormat="false" ht="25.5" hidden="false" customHeight="true" outlineLevel="0" collapsed="false">
      <c r="A8" s="0" t="s">
        <v>348</v>
      </c>
      <c r="E8" s="42" t="n">
        <f aca="false">(1+E7)^(1/12)-1</f>
        <v>0.00412391546514423</v>
      </c>
      <c r="G8" s="134" t="s">
        <v>349</v>
      </c>
    </row>
    <row r="9" customFormat="false" ht="15" hidden="false" customHeight="false" outlineLevel="0" collapsed="false">
      <c r="A9" s="0" t="s">
        <v>39</v>
      </c>
      <c r="E9" s="22" t="n">
        <f aca="false">-PMT(E8,E4,E3)</f>
        <v>2908.02492518508</v>
      </c>
    </row>
    <row r="10" customFormat="false" ht="23.25" hidden="false" customHeight="true" outlineLevel="0" collapsed="false"/>
    <row r="11" customFormat="false" ht="30" hidden="false" customHeight="false" outlineLevel="0" collapsed="false">
      <c r="B11" s="5" t="s">
        <v>22</v>
      </c>
      <c r="C11" s="3" t="s">
        <v>38</v>
      </c>
      <c r="D11" s="3" t="s">
        <v>24</v>
      </c>
      <c r="E11" s="3" t="s">
        <v>25</v>
      </c>
      <c r="F11" s="124" t="s">
        <v>62</v>
      </c>
      <c r="G11" s="3" t="s">
        <v>26</v>
      </c>
      <c r="H11" s="5"/>
      <c r="I11" s="3" t="s">
        <v>27</v>
      </c>
      <c r="J11" s="3" t="s">
        <v>28</v>
      </c>
    </row>
    <row r="12" customFormat="false" ht="15" hidden="false" customHeight="false" outlineLevel="0" collapsed="false">
      <c r="B12" s="125" t="n">
        <v>44197</v>
      </c>
      <c r="C12" s="21" t="n">
        <f aca="false">E3</f>
        <v>500000</v>
      </c>
      <c r="D12" s="24" t="n">
        <f aca="false">C12*E$8</f>
        <v>2061.95773257212</v>
      </c>
      <c r="E12" s="25" t="n">
        <f aca="false">E$9-D12</f>
        <v>846.067192612961</v>
      </c>
      <c r="F12" s="126" t="n">
        <v>0</v>
      </c>
      <c r="G12" s="24" t="n">
        <f aca="false">C12-E12-F12</f>
        <v>499153.932807387</v>
      </c>
      <c r="I12" s="25" t="n">
        <f aca="false">E12</f>
        <v>846.067192612961</v>
      </c>
      <c r="J12" s="24" t="n">
        <f aca="false">D12</f>
        <v>2061.95773257212</v>
      </c>
    </row>
    <row r="13" customFormat="false" ht="15" hidden="false" customHeight="false" outlineLevel="0" collapsed="false">
      <c r="B13" s="125" t="n">
        <v>44228</v>
      </c>
      <c r="C13" s="21" t="n">
        <f aca="false">G12</f>
        <v>499153.932807387</v>
      </c>
      <c r="D13" s="24" t="n">
        <f aca="false">C13*E$8</f>
        <v>2058.46862299195</v>
      </c>
      <c r="E13" s="25" t="n">
        <f aca="false">E$9-D13</f>
        <v>849.556302193128</v>
      </c>
      <c r="F13" s="127" t="n">
        <v>0</v>
      </c>
      <c r="G13" s="24" t="n">
        <f aca="false">C13-E13-F13</f>
        <v>498304.376505194</v>
      </c>
      <c r="I13" s="25" t="n">
        <f aca="false">I12+E13</f>
        <v>1695.62349480609</v>
      </c>
      <c r="J13" s="24" t="n">
        <f aca="false">J12+D13</f>
        <v>4120.42635556407</v>
      </c>
    </row>
    <row r="14" customFormat="false" ht="15" hidden="false" customHeight="false" outlineLevel="0" collapsed="false">
      <c r="B14" s="125" t="n">
        <v>44256</v>
      </c>
      <c r="C14" s="21" t="n">
        <f aca="false">G13</f>
        <v>498304.376505194</v>
      </c>
      <c r="D14" s="24" t="n">
        <f aca="false">C14*E$8</f>
        <v>2054.96512461882</v>
      </c>
      <c r="E14" s="25" t="n">
        <f aca="false">E$9-D14</f>
        <v>853.059800566253</v>
      </c>
      <c r="F14" s="127" t="n">
        <v>0</v>
      </c>
      <c r="G14" s="24" t="n">
        <f aca="false">C14-E14-F14</f>
        <v>497451.316704628</v>
      </c>
      <c r="I14" s="25" t="n">
        <f aca="false">I13+E14</f>
        <v>2548.68329537234</v>
      </c>
      <c r="J14" s="24" t="n">
        <f aca="false">J13+D14</f>
        <v>6175.39148018289</v>
      </c>
    </row>
    <row r="15" customFormat="false" ht="15" hidden="false" customHeight="false" outlineLevel="0" collapsed="false">
      <c r="B15" s="125" t="n">
        <v>44287</v>
      </c>
      <c r="C15" s="21" t="n">
        <f aca="false">G14</f>
        <v>497451.316704628</v>
      </c>
      <c r="D15" s="24" t="n">
        <f aca="false">C15*E$8</f>
        <v>2051.44717811458</v>
      </c>
      <c r="E15" s="25" t="n">
        <f aca="false">E$9-D15</f>
        <v>856.577747070502</v>
      </c>
      <c r="F15" s="127" t="n">
        <v>0</v>
      </c>
      <c r="G15" s="24" t="n">
        <f aca="false">C15-E15-F15</f>
        <v>496594.738957557</v>
      </c>
      <c r="I15" s="25" t="n">
        <f aca="false">I14+E15</f>
        <v>3405.26104244284</v>
      </c>
      <c r="J15" s="24" t="n">
        <f aca="false">J14+D15</f>
        <v>8226.83865829747</v>
      </c>
    </row>
    <row r="16" customFormat="false" ht="15" hidden="false" customHeight="false" outlineLevel="0" collapsed="false">
      <c r="B16" s="125" t="n">
        <v>44317</v>
      </c>
      <c r="C16" s="21" t="n">
        <f aca="false">G15</f>
        <v>496594.738957557</v>
      </c>
      <c r="D16" s="24" t="n">
        <f aca="false">C16*E$8</f>
        <v>2047.91472389633</v>
      </c>
      <c r="E16" s="25" t="n">
        <f aca="false">E$9-D16</f>
        <v>860.110201288744</v>
      </c>
      <c r="F16" s="127" t="n">
        <v>0</v>
      </c>
      <c r="G16" s="24" t="n">
        <f aca="false">C16-E16-F16</f>
        <v>495734.628756268</v>
      </c>
      <c r="I16" s="25" t="n">
        <f aca="false">I15+E16</f>
        <v>4265.37124373159</v>
      </c>
      <c r="J16" s="24" t="n">
        <f aca="false">J15+D16</f>
        <v>10274.7533821938</v>
      </c>
    </row>
    <row r="17" customFormat="false" ht="15" hidden="false" customHeight="false" outlineLevel="0" collapsed="false">
      <c r="B17" s="125" t="n">
        <v>44348</v>
      </c>
      <c r="C17" s="21" t="n">
        <f aca="false">G16</f>
        <v>495734.628756268</v>
      </c>
      <c r="D17" s="24" t="n">
        <f aca="false">C17*E$8</f>
        <v>2044.36770213551</v>
      </c>
      <c r="E17" s="25" t="n">
        <f aca="false">E$9-D17</f>
        <v>863.657223049567</v>
      </c>
      <c r="F17" s="127" t="n">
        <v>0</v>
      </c>
      <c r="G17" s="24" t="n">
        <f aca="false">C17-E17-F17</f>
        <v>494870.971533219</v>
      </c>
      <c r="I17" s="25" t="n">
        <f aca="false">I16+E17</f>
        <v>5129.02846678116</v>
      </c>
      <c r="J17" s="24" t="n">
        <f aca="false">J16+D17</f>
        <v>12319.1210843293</v>
      </c>
    </row>
    <row r="18" customFormat="false" ht="15" hidden="false" customHeight="false" outlineLevel="0" collapsed="false">
      <c r="B18" s="125" t="n">
        <v>44378</v>
      </c>
      <c r="C18" s="21" t="n">
        <f aca="false">G17</f>
        <v>494870.971533219</v>
      </c>
      <c r="D18" s="24" t="n">
        <f aca="false">C18*E$8</f>
        <v>2040.80605275679</v>
      </c>
      <c r="E18" s="25" t="n">
        <f aca="false">E$9-D18</f>
        <v>867.218872428285</v>
      </c>
      <c r="F18" s="127" t="n">
        <v>0</v>
      </c>
      <c r="G18" s="24" t="n">
        <f aca="false">C18-E18-F18</f>
        <v>494003.752660791</v>
      </c>
      <c r="I18" s="25" t="n">
        <f aca="false">I17+E18</f>
        <v>5996.24733920944</v>
      </c>
      <c r="J18" s="24" t="n">
        <f aca="false">J17+D18</f>
        <v>14359.9271370861</v>
      </c>
    </row>
    <row r="19" customFormat="false" ht="15" hidden="false" customHeight="false" outlineLevel="0" collapsed="false">
      <c r="B19" s="125" t="n">
        <v>44409</v>
      </c>
      <c r="C19" s="21" t="n">
        <f aca="false">G18</f>
        <v>494003.752660791</v>
      </c>
      <c r="D19" s="24" t="n">
        <f aca="false">C19*E$8</f>
        <v>2037.22971543712</v>
      </c>
      <c r="E19" s="25" t="n">
        <f aca="false">E$9-D19</f>
        <v>870.795209747957</v>
      </c>
      <c r="F19" s="127" t="n">
        <v>0</v>
      </c>
      <c r="G19" s="24" t="n">
        <f aca="false">C19-E19-F19</f>
        <v>493132.957451043</v>
      </c>
      <c r="I19" s="25" t="n">
        <f aca="false">I18+E19</f>
        <v>6867.0425489574</v>
      </c>
      <c r="J19" s="24" t="n">
        <f aca="false">J18+D19</f>
        <v>16397.1568525232</v>
      </c>
    </row>
    <row r="20" customFormat="false" ht="15" hidden="false" customHeight="false" outlineLevel="0" collapsed="false">
      <c r="B20" s="125" t="n">
        <v>44440</v>
      </c>
      <c r="C20" s="21" t="n">
        <f aca="false">G19</f>
        <v>493132.957451043</v>
      </c>
      <c r="D20" s="24" t="n">
        <f aca="false">C20*E$8</f>
        <v>2033.63862960467</v>
      </c>
      <c r="E20" s="25" t="n">
        <f aca="false">E$9-D20</f>
        <v>874.38629558041</v>
      </c>
      <c r="F20" s="127" t="n">
        <v>0</v>
      </c>
      <c r="G20" s="24" t="n">
        <f aca="false">C20-E20-F20</f>
        <v>492258.571155462</v>
      </c>
      <c r="I20" s="25" t="n">
        <f aca="false">I19+E20</f>
        <v>7741.42884453781</v>
      </c>
      <c r="J20" s="24" t="n">
        <f aca="false">J19+D20</f>
        <v>18430.7954821279</v>
      </c>
    </row>
    <row r="21" customFormat="false" ht="15" hidden="false" customHeight="false" outlineLevel="0" collapsed="false">
      <c r="B21" s="125" t="n">
        <v>44470</v>
      </c>
      <c r="C21" s="21" t="n">
        <f aca="false">G20</f>
        <v>492258.571155462</v>
      </c>
      <c r="D21" s="24" t="n">
        <f aca="false">C21*E$8</f>
        <v>2030.03273443781</v>
      </c>
      <c r="E21" s="25" t="n">
        <f aca="false">E$9-D21</f>
        <v>877.992190747264</v>
      </c>
      <c r="F21" s="127" t="n">
        <v>0</v>
      </c>
      <c r="G21" s="24" t="n">
        <f aca="false">C21-E21-F21</f>
        <v>491380.578964715</v>
      </c>
      <c r="I21" s="25" t="n">
        <f aca="false">I20+E21</f>
        <v>8619.42103528507</v>
      </c>
      <c r="J21" s="24" t="n">
        <f aca="false">J20+D21</f>
        <v>20460.8282165657</v>
      </c>
    </row>
    <row r="22" customFormat="false" ht="15" hidden="false" customHeight="false" outlineLevel="0" collapsed="false">
      <c r="B22" s="125" t="n">
        <v>44501</v>
      </c>
      <c r="C22" s="21" t="n">
        <f aca="false">G21</f>
        <v>491380.578964715</v>
      </c>
      <c r="D22" s="24" t="n">
        <f aca="false">C22*E$8</f>
        <v>2026.41196886412</v>
      </c>
      <c r="E22" s="25" t="n">
        <f aca="false">E$9-D22</f>
        <v>881.612956320963</v>
      </c>
      <c r="F22" s="127" t="n">
        <v>0</v>
      </c>
      <c r="G22" s="24" t="n">
        <f aca="false">C22-E22-F22</f>
        <v>490498.966008394</v>
      </c>
      <c r="I22" s="25" t="n">
        <f aca="false">I21+E22</f>
        <v>9501.03399160603</v>
      </c>
      <c r="J22" s="24" t="n">
        <f aca="false">J21+D22</f>
        <v>22487.2401854298</v>
      </c>
    </row>
    <row r="23" customFormat="false" ht="15" hidden="false" customHeight="false" outlineLevel="0" collapsed="false">
      <c r="B23" s="135" t="n">
        <v>44531</v>
      </c>
      <c r="C23" s="115" t="n">
        <f aca="false">G22</f>
        <v>490498.966008394</v>
      </c>
      <c r="D23" s="136" t="n">
        <f aca="false">C23*E$8</f>
        <v>2022.77627155927</v>
      </c>
      <c r="E23" s="137" t="n">
        <f aca="false">E$9-D23</f>
        <v>885.248653625806</v>
      </c>
      <c r="F23" s="138" t="n">
        <v>0</v>
      </c>
      <c r="G23" s="136" t="n">
        <f aca="false">C23-E23-F23</f>
        <v>489613.717354768</v>
      </c>
      <c r="H23" s="5"/>
      <c r="I23" s="137" t="n">
        <f aca="false">I22+E23</f>
        <v>10386.2826452318</v>
      </c>
      <c r="J23" s="136" t="n">
        <f aca="false">J22+D23</f>
        <v>24510.0164569891</v>
      </c>
    </row>
    <row r="24" customFormat="false" ht="15" hidden="true" customHeight="false" outlineLevel="1" collapsed="false">
      <c r="B24" s="125" t="n">
        <v>44562</v>
      </c>
      <c r="C24" s="21" t="n">
        <f aca="false">G23</f>
        <v>489613.717354768</v>
      </c>
      <c r="D24" s="24" t="n">
        <f aca="false">C24*E$8</f>
        <v>2019.12558094609</v>
      </c>
      <c r="E24" s="25" t="n">
        <f aca="false">E$9-D24</f>
        <v>888.899344238992</v>
      </c>
      <c r="F24" s="127" t="n">
        <v>0</v>
      </c>
      <c r="G24" s="24" t="n">
        <f aca="false">C24-E24-F24</f>
        <v>488724.818010529</v>
      </c>
      <c r="I24" s="25" t="n">
        <f aca="false">I23+E24</f>
        <v>11275.1819894708</v>
      </c>
      <c r="J24" s="24" t="n">
        <f aca="false">J23+D24</f>
        <v>26529.1420379352</v>
      </c>
    </row>
    <row r="25" customFormat="false" ht="15" hidden="true" customHeight="false" outlineLevel="1" collapsed="false">
      <c r="B25" s="125" t="n">
        <v>44593</v>
      </c>
      <c r="C25" s="21" t="n">
        <f aca="false">G24</f>
        <v>488724.818010529</v>
      </c>
      <c r="D25" s="24" t="n">
        <f aca="false">C25*E$8</f>
        <v>2015.45983519342</v>
      </c>
      <c r="E25" s="25" t="n">
        <f aca="false">E$9-D25</f>
        <v>892.565089991655</v>
      </c>
      <c r="F25" s="127" t="n">
        <v>0</v>
      </c>
      <c r="G25" s="24" t="n">
        <f aca="false">C25-E25-F25</f>
        <v>487832.252920537</v>
      </c>
      <c r="I25" s="25" t="n">
        <f aca="false">I24+E25</f>
        <v>12167.7470794625</v>
      </c>
      <c r="J25" s="24" t="n">
        <f aca="false">J24+D25</f>
        <v>28544.6018731286</v>
      </c>
    </row>
    <row r="26" customFormat="false" ht="15" hidden="true" customHeight="false" outlineLevel="1" collapsed="false">
      <c r="B26" s="125" t="n">
        <v>44621</v>
      </c>
      <c r="C26" s="21" t="n">
        <f aca="false">G25</f>
        <v>487832.252920537</v>
      </c>
      <c r="D26" s="24" t="n">
        <f aca="false">C26*E$8</f>
        <v>2011.77897221516</v>
      </c>
      <c r="E26" s="25" t="n">
        <f aca="false">E$9-D26</f>
        <v>896.24595296992</v>
      </c>
      <c r="F26" s="127" t="n">
        <v>0</v>
      </c>
      <c r="G26" s="24" t="n">
        <f aca="false">C26-E26-F26</f>
        <v>486936.006967568</v>
      </c>
      <c r="I26" s="25" t="n">
        <f aca="false">I25+E26</f>
        <v>13063.9930324324</v>
      </c>
      <c r="J26" s="24" t="n">
        <f aca="false">J25+D26</f>
        <v>30556.3808453438</v>
      </c>
    </row>
    <row r="27" customFormat="false" ht="15" hidden="true" customHeight="false" outlineLevel="1" collapsed="false">
      <c r="B27" s="125" t="n">
        <v>44652</v>
      </c>
      <c r="C27" s="21" t="n">
        <f aca="false">G26</f>
        <v>486936.006967568</v>
      </c>
      <c r="D27" s="24" t="n">
        <f aca="false">C27*E$8</f>
        <v>2008.08292966913</v>
      </c>
      <c r="E27" s="25" t="n">
        <f aca="false">E$9-D27</f>
        <v>899.941995515946</v>
      </c>
      <c r="F27" s="127" t="n">
        <v>0</v>
      </c>
      <c r="G27" s="24" t="n">
        <f aca="false">C27-E27-F27</f>
        <v>486036.064972052</v>
      </c>
      <c r="I27" s="25" t="n">
        <f aca="false">I26+E27</f>
        <v>13963.9350279484</v>
      </c>
      <c r="J27" s="24" t="n">
        <f aca="false">J26+D27</f>
        <v>32564.4637750129</v>
      </c>
    </row>
    <row r="28" customFormat="false" ht="15" hidden="true" customHeight="false" outlineLevel="1" collapsed="false">
      <c r="B28" s="125" t="n">
        <v>44682</v>
      </c>
      <c r="C28" s="21" t="n">
        <f aca="false">G27</f>
        <v>486036.064972052</v>
      </c>
      <c r="D28" s="24" t="n">
        <f aca="false">C28*E$8</f>
        <v>2004.37164495609</v>
      </c>
      <c r="E28" s="25" t="n">
        <f aca="false">E$9-D28</f>
        <v>903.653280228986</v>
      </c>
      <c r="F28" s="127" t="n">
        <v>0</v>
      </c>
      <c r="G28" s="24" t="n">
        <f aca="false">C28-E28-F28</f>
        <v>485132.411691823</v>
      </c>
      <c r="I28" s="25" t="n">
        <f aca="false">I27+E28</f>
        <v>14867.5883081773</v>
      </c>
      <c r="J28" s="24" t="n">
        <f aca="false">J27+D28</f>
        <v>34568.835419969</v>
      </c>
    </row>
    <row r="29" customFormat="false" ht="15" hidden="true" customHeight="false" outlineLevel="1" collapsed="false">
      <c r="B29" s="125" t="n">
        <v>44713</v>
      </c>
      <c r="C29" s="21" t="n">
        <f aca="false">G28</f>
        <v>485132.411691823</v>
      </c>
      <c r="D29" s="24" t="n">
        <f aca="false">C29*E$8</f>
        <v>2000.64505521863</v>
      </c>
      <c r="E29" s="25" t="n">
        <f aca="false">E$9-D29</f>
        <v>907.379869966451</v>
      </c>
      <c r="F29" s="127" t="n">
        <v>0</v>
      </c>
      <c r="G29" s="24" t="n">
        <f aca="false">C29-E29-F29</f>
        <v>484225.031821856</v>
      </c>
      <c r="I29" s="25" t="n">
        <f aca="false">I28+E29</f>
        <v>15774.9681781438</v>
      </c>
      <c r="J29" s="24" t="n">
        <f aca="false">J28+D29</f>
        <v>36569.4804751876</v>
      </c>
    </row>
    <row r="30" customFormat="false" ht="15" hidden="true" customHeight="false" outlineLevel="1" collapsed="false">
      <c r="B30" s="125" t="n">
        <v>44743</v>
      </c>
      <c r="C30" s="21" t="n">
        <f aca="false">G29</f>
        <v>484225.031821856</v>
      </c>
      <c r="D30" s="24" t="n">
        <f aca="false">C30*E$8</f>
        <v>1996.90309734011</v>
      </c>
      <c r="E30" s="25" t="n">
        <f aca="false">E$9-D30</f>
        <v>911.121827844966</v>
      </c>
      <c r="F30" s="127" t="n">
        <v>0</v>
      </c>
      <c r="G30" s="24" t="n">
        <f aca="false">C30-E30-F30</f>
        <v>483313.909994011</v>
      </c>
      <c r="I30" s="25" t="n">
        <f aca="false">I29+E30</f>
        <v>16686.0900059888</v>
      </c>
      <c r="J30" s="24" t="n">
        <f aca="false">J29+D30</f>
        <v>38566.3835725277</v>
      </c>
    </row>
    <row r="31" customFormat="false" ht="15" hidden="true" customHeight="false" outlineLevel="1" collapsed="false">
      <c r="B31" s="125" t="n">
        <v>44774</v>
      </c>
      <c r="C31" s="21" t="n">
        <f aca="false">G30</f>
        <v>483313.909994011</v>
      </c>
      <c r="D31" s="24" t="n">
        <f aca="false">C31*E$8</f>
        <v>1993.14570794363</v>
      </c>
      <c r="E31" s="25" t="n">
        <f aca="false">E$9-D31</f>
        <v>914.879217241447</v>
      </c>
      <c r="F31" s="127" t="n">
        <v>0</v>
      </c>
      <c r="G31" s="24" t="n">
        <f aca="false">C31-E31-F31</f>
        <v>482399.03077677</v>
      </c>
      <c r="I31" s="25" t="n">
        <f aca="false">I30+E31</f>
        <v>17600.9692232302</v>
      </c>
      <c r="J31" s="24" t="n">
        <f aca="false">J30+D31</f>
        <v>40559.5292804714</v>
      </c>
    </row>
    <row r="32" customFormat="false" ht="15" hidden="true" customHeight="false" outlineLevel="1" collapsed="false">
      <c r="B32" s="125" t="n">
        <v>44805</v>
      </c>
      <c r="C32" s="21" t="n">
        <f aca="false">G31</f>
        <v>482399.03077677</v>
      </c>
      <c r="D32" s="24" t="n">
        <f aca="false">C32*E$8</f>
        <v>1989.37282339091</v>
      </c>
      <c r="E32" s="25" t="n">
        <f aca="false">E$9-D32</f>
        <v>918.652101794168</v>
      </c>
      <c r="F32" s="127" t="n">
        <v>0</v>
      </c>
      <c r="G32" s="24" t="n">
        <f aca="false">C32-E32-F32</f>
        <v>481480.378674976</v>
      </c>
      <c r="I32" s="25" t="n">
        <f aca="false">I31+E32</f>
        <v>18519.6213250244</v>
      </c>
      <c r="J32" s="24" t="n">
        <f aca="false">J31+D32</f>
        <v>42548.9021038623</v>
      </c>
    </row>
    <row r="33" customFormat="false" ht="15" hidden="true" customHeight="false" outlineLevel="1" collapsed="false">
      <c r="B33" s="125" t="n">
        <v>44835</v>
      </c>
      <c r="C33" s="21" t="n">
        <f aca="false">G32</f>
        <v>481480.378674976</v>
      </c>
      <c r="D33" s="24" t="n">
        <f aca="false">C33*E$8</f>
        <v>1985.58437978123</v>
      </c>
      <c r="E33" s="25" t="n">
        <f aca="false">E$9-D33</f>
        <v>922.440545403844</v>
      </c>
      <c r="F33" s="127" t="n">
        <v>0</v>
      </c>
      <c r="G33" s="24" t="n">
        <f aca="false">C33-E33-F33</f>
        <v>480557.938129572</v>
      </c>
      <c r="I33" s="25" t="n">
        <f aca="false">I32+E33</f>
        <v>19442.0618704282</v>
      </c>
      <c r="J33" s="24" t="n">
        <f aca="false">J32+D33</f>
        <v>44534.4864836435</v>
      </c>
    </row>
    <row r="34" customFormat="false" ht="15" hidden="true" customHeight="false" outlineLevel="1" collapsed="false">
      <c r="B34" s="125" t="n">
        <v>44866</v>
      </c>
      <c r="C34" s="21" t="n">
        <f aca="false">G33</f>
        <v>480557.938129572</v>
      </c>
      <c r="D34" s="24" t="n">
        <f aca="false">C34*E$8</f>
        <v>1981.78031295037</v>
      </c>
      <c r="E34" s="25" t="n">
        <f aca="false">E$9-D34</f>
        <v>926.244612234711</v>
      </c>
      <c r="F34" s="127" t="n">
        <v>0</v>
      </c>
      <c r="G34" s="24" t="n">
        <f aca="false">C34-E34-F34</f>
        <v>479631.693517337</v>
      </c>
      <c r="I34" s="25" t="n">
        <f aca="false">I33+E34</f>
        <v>20368.3064826629</v>
      </c>
      <c r="J34" s="24" t="n">
        <f aca="false">J33+D34</f>
        <v>46516.2667965939</v>
      </c>
    </row>
    <row r="35" customFormat="false" ht="15" hidden="true" customHeight="false" outlineLevel="1" collapsed="false">
      <c r="B35" s="125" t="n">
        <v>44896</v>
      </c>
      <c r="C35" s="21" t="n">
        <f aca="false">G34</f>
        <v>479631.693517337</v>
      </c>
      <c r="D35" s="24" t="n">
        <f aca="false">C35*E$8</f>
        <v>1977.96055846947</v>
      </c>
      <c r="E35" s="25" t="n">
        <f aca="false">E$9-D35</f>
        <v>930.064366715612</v>
      </c>
      <c r="F35" s="127" t="n">
        <v>0</v>
      </c>
      <c r="G35" s="24" t="n">
        <f aca="false">C35-E35-F35</f>
        <v>478701.629150621</v>
      </c>
      <c r="I35" s="25" t="n">
        <f aca="false">I34+E35</f>
        <v>21298.3708493785</v>
      </c>
      <c r="J35" s="24" t="n">
        <f aca="false">J34+D35</f>
        <v>48494.2273550633</v>
      </c>
    </row>
    <row r="36" customFormat="false" ht="15" hidden="true" customHeight="false" outlineLevel="1" collapsed="false">
      <c r="B36" s="125" t="n">
        <v>44927</v>
      </c>
      <c r="C36" s="21" t="n">
        <f aca="false">G35</f>
        <v>478701.629150621</v>
      </c>
      <c r="D36" s="24" t="n">
        <f aca="false">C36*E$8</f>
        <v>1974.12505164399</v>
      </c>
      <c r="E36" s="25" t="n">
        <f aca="false">E$9-D36</f>
        <v>933.89987354109</v>
      </c>
      <c r="F36" s="127" t="n">
        <v>0</v>
      </c>
      <c r="G36" s="24" t="n">
        <f aca="false">C36-E36-F36</f>
        <v>477767.72927708</v>
      </c>
      <c r="I36" s="25" t="n">
        <f aca="false">I35+E36</f>
        <v>22232.2707229196</v>
      </c>
      <c r="J36" s="24" t="n">
        <f aca="false">J35+D36</f>
        <v>50468.3524067073</v>
      </c>
    </row>
    <row r="37" customFormat="false" ht="15" hidden="true" customHeight="false" outlineLevel="1" collapsed="false">
      <c r="B37" s="125" t="n">
        <v>44958</v>
      </c>
      <c r="C37" s="21" t="n">
        <f aca="false">G36</f>
        <v>477767.72927708</v>
      </c>
      <c r="D37" s="24" t="n">
        <f aca="false">C37*E$8</f>
        <v>1970.2737275126</v>
      </c>
      <c r="E37" s="25" t="n">
        <f aca="false">E$9-D37</f>
        <v>937.751197672483</v>
      </c>
      <c r="F37" s="127" t="n">
        <v>0</v>
      </c>
      <c r="G37" s="24" t="n">
        <f aca="false">C37-E37-F37</f>
        <v>476829.978079408</v>
      </c>
      <c r="I37" s="25" t="n">
        <f aca="false">I36+E37</f>
        <v>23170.0219205921</v>
      </c>
      <c r="J37" s="24" t="n">
        <f aca="false">J36+D37</f>
        <v>52438.6261342199</v>
      </c>
    </row>
    <row r="38" customFormat="false" ht="15" hidden="true" customHeight="false" outlineLevel="1" collapsed="false">
      <c r="B38" s="125" t="n">
        <v>44986</v>
      </c>
      <c r="C38" s="21" t="n">
        <f aca="false">G37</f>
        <v>476829.978079408</v>
      </c>
      <c r="D38" s="24" t="n">
        <f aca="false">C38*E$8</f>
        <v>1966.40652084606</v>
      </c>
      <c r="E38" s="25" t="n">
        <f aca="false">E$9-D38</f>
        <v>941.618404339022</v>
      </c>
      <c r="F38" s="127" t="n">
        <v>0</v>
      </c>
      <c r="G38" s="24" t="n">
        <f aca="false">C38-E38-F38</f>
        <v>475888.359675069</v>
      </c>
      <c r="I38" s="25" t="n">
        <f aca="false">I37+E38</f>
        <v>24111.6403249311</v>
      </c>
      <c r="J38" s="24" t="n">
        <f aca="false">J37+D38</f>
        <v>54405.032655066</v>
      </c>
    </row>
    <row r="39" customFormat="false" ht="15" hidden="true" customHeight="false" outlineLevel="1" collapsed="false">
      <c r="B39" s="125" t="n">
        <v>45017</v>
      </c>
      <c r="C39" s="21" t="n">
        <f aca="false">G38</f>
        <v>475888.359675069</v>
      </c>
      <c r="D39" s="24" t="n">
        <f aca="false">C39*E$8</f>
        <v>1962.52336614614</v>
      </c>
      <c r="E39" s="25" t="n">
        <f aca="false">E$9-D39</f>
        <v>945.50155903894</v>
      </c>
      <c r="F39" s="127" t="n">
        <v>0</v>
      </c>
      <c r="G39" s="24" t="n">
        <f aca="false">C39-E39-F39</f>
        <v>474942.85811603</v>
      </c>
      <c r="I39" s="25" t="n">
        <f aca="false">I38+E39</f>
        <v>25057.1418839701</v>
      </c>
      <c r="J39" s="24" t="n">
        <f aca="false">J38+D39</f>
        <v>56367.5560212121</v>
      </c>
    </row>
    <row r="40" customFormat="false" ht="15" hidden="true" customHeight="false" outlineLevel="1" collapsed="false">
      <c r="B40" s="125" t="n">
        <v>45047</v>
      </c>
      <c r="C40" s="21" t="n">
        <f aca="false">G39</f>
        <v>474942.85811603</v>
      </c>
      <c r="D40" s="24" t="n">
        <f aca="false">C40*E$8</f>
        <v>1958.6241976445</v>
      </c>
      <c r="E40" s="25" t="n">
        <f aca="false">E$9-D40</f>
        <v>949.400727540578</v>
      </c>
      <c r="F40" s="127" t="n">
        <v>0</v>
      </c>
      <c r="G40" s="24" t="n">
        <f aca="false">C40-E40-F40</f>
        <v>473993.457388489</v>
      </c>
      <c r="I40" s="25" t="n">
        <f aca="false">I39+E40</f>
        <v>26006.5426115106</v>
      </c>
      <c r="J40" s="24" t="n">
        <f aca="false">J39+D40</f>
        <v>58326.1802188566</v>
      </c>
    </row>
    <row r="41" customFormat="false" ht="15" hidden="true" customHeight="false" outlineLevel="1" collapsed="false">
      <c r="B41" s="125" t="n">
        <v>45078</v>
      </c>
      <c r="C41" s="21" t="n">
        <f aca="false">G40</f>
        <v>473993.457388489</v>
      </c>
      <c r="D41" s="24" t="n">
        <f aca="false">C41*E$8</f>
        <v>1954.70894930158</v>
      </c>
      <c r="E41" s="25" t="n">
        <f aca="false">E$9-D41</f>
        <v>953.315975883502</v>
      </c>
      <c r="F41" s="127" t="n">
        <v>0</v>
      </c>
      <c r="G41" s="24" t="n">
        <f aca="false">C41-E41-F41</f>
        <v>473040.141412606</v>
      </c>
      <c r="I41" s="25" t="n">
        <f aca="false">I40+E41</f>
        <v>26959.8585873941</v>
      </c>
      <c r="J41" s="24" t="n">
        <f aca="false">J40+D41</f>
        <v>60280.8891681582</v>
      </c>
    </row>
    <row r="42" customFormat="false" ht="15" hidden="true" customHeight="false" outlineLevel="1" collapsed="false">
      <c r="B42" s="125" t="n">
        <v>45108</v>
      </c>
      <c r="C42" s="21" t="n">
        <f aca="false">G41</f>
        <v>473040.141412606</v>
      </c>
      <c r="D42" s="24" t="n">
        <f aca="false">C42*E$8</f>
        <v>1950.77755480546</v>
      </c>
      <c r="E42" s="25" t="n">
        <f aca="false">E$9-D42</f>
        <v>957.247370379617</v>
      </c>
      <c r="F42" s="127" t="n">
        <v>0</v>
      </c>
      <c r="G42" s="24" t="n">
        <f aca="false">C42-E42-F42</f>
        <v>472082.894042226</v>
      </c>
      <c r="I42" s="25" t="n">
        <f aca="false">I41+E42</f>
        <v>27917.1059577738</v>
      </c>
      <c r="J42" s="24" t="n">
        <f aca="false">J41+D42</f>
        <v>62231.6667229637</v>
      </c>
    </row>
    <row r="43" customFormat="false" ht="15" hidden="true" customHeight="false" outlineLevel="1" collapsed="false">
      <c r="B43" s="125" t="n">
        <v>45139</v>
      </c>
      <c r="C43" s="21" t="n">
        <f aca="false">G42</f>
        <v>472082.894042226</v>
      </c>
      <c r="D43" s="24" t="n">
        <f aca="false">C43*E$8</f>
        <v>1946.82994757078</v>
      </c>
      <c r="E43" s="25" t="n">
        <f aca="false">E$9-D43</f>
        <v>961.194977614294</v>
      </c>
      <c r="F43" s="127" t="n">
        <v>0</v>
      </c>
      <c r="G43" s="24" t="n">
        <f aca="false">C43-E43-F43</f>
        <v>471121.699064612</v>
      </c>
      <c r="I43" s="25" t="n">
        <f aca="false">I42+E43</f>
        <v>28878.3009353881</v>
      </c>
      <c r="J43" s="24" t="n">
        <f aca="false">J42+D43</f>
        <v>64178.4966705344</v>
      </c>
    </row>
    <row r="44" customFormat="false" ht="15" hidden="true" customHeight="false" outlineLevel="1" collapsed="false">
      <c r="B44" s="125" t="n">
        <v>45170</v>
      </c>
      <c r="C44" s="21" t="n">
        <f aca="false">G43</f>
        <v>471121.699064612</v>
      </c>
      <c r="D44" s="24" t="n">
        <f aca="false">C44*E$8</f>
        <v>1942.86606073758</v>
      </c>
      <c r="E44" s="25" t="n">
        <f aca="false">E$9-D44</f>
        <v>965.158864447497</v>
      </c>
      <c r="F44" s="127" t="n">
        <v>0</v>
      </c>
      <c r="G44" s="24" t="n">
        <f aca="false">C44-E44-F44</f>
        <v>470156.540200164</v>
      </c>
      <c r="I44" s="25" t="n">
        <f aca="false">I43+E44</f>
        <v>29843.4597998356</v>
      </c>
      <c r="J44" s="24" t="n">
        <f aca="false">J43+D44</f>
        <v>66121.362731272</v>
      </c>
    </row>
    <row r="45" customFormat="false" ht="15" hidden="true" customHeight="false" outlineLevel="1" collapsed="false">
      <c r="B45" s="125" t="n">
        <v>45200</v>
      </c>
      <c r="C45" s="21" t="n">
        <f aca="false">G44</f>
        <v>470156.540200164</v>
      </c>
      <c r="D45" s="24" t="n">
        <f aca="false">C45*E$8</f>
        <v>1938.88582717016</v>
      </c>
      <c r="E45" s="25" t="n">
        <f aca="false">E$9-D45</f>
        <v>969.139098014913</v>
      </c>
      <c r="F45" s="127" t="n">
        <v>0</v>
      </c>
      <c r="G45" s="24" t="n">
        <f aca="false">C45-E45-F45</f>
        <v>469187.401102149</v>
      </c>
      <c r="I45" s="25" t="n">
        <f aca="false">I44+E45</f>
        <v>30812.5988978505</v>
      </c>
      <c r="J45" s="24" t="n">
        <f aca="false">J44+D45</f>
        <v>68060.2485584422</v>
      </c>
    </row>
    <row r="46" customFormat="false" ht="15" hidden="true" customHeight="false" outlineLevel="1" collapsed="false">
      <c r="B46" s="125" t="n">
        <v>45231</v>
      </c>
      <c r="C46" s="21" t="n">
        <f aca="false">G45</f>
        <v>469187.401102149</v>
      </c>
      <c r="D46" s="24" t="n">
        <f aca="false">C46*E$8</f>
        <v>1934.88917945599</v>
      </c>
      <c r="E46" s="25" t="n">
        <f aca="false">E$9-D46</f>
        <v>973.135745729093</v>
      </c>
      <c r="F46" s="127" t="n">
        <v>0</v>
      </c>
      <c r="G46" s="24" t="n">
        <f aca="false">C46-E46-F46</f>
        <v>468214.26535642</v>
      </c>
      <c r="I46" s="25" t="n">
        <f aca="false">I45+E46</f>
        <v>31785.7346435796</v>
      </c>
      <c r="J46" s="24" t="n">
        <f aca="false">J45+D46</f>
        <v>69995.1377378982</v>
      </c>
    </row>
    <row r="47" customFormat="false" ht="15" hidden="true" customHeight="false" outlineLevel="1" collapsed="false">
      <c r="B47" s="125" t="n">
        <v>45261</v>
      </c>
      <c r="C47" s="21" t="n">
        <f aca="false">G46</f>
        <v>468214.26535642</v>
      </c>
      <c r="D47" s="24" t="n">
        <f aca="false">C47*E$8</f>
        <v>1930.87604990449</v>
      </c>
      <c r="E47" s="25" t="n">
        <f aca="false">E$9-D47</f>
        <v>977.148875280589</v>
      </c>
      <c r="F47" s="127" t="n">
        <v>0</v>
      </c>
      <c r="G47" s="24" t="n">
        <f aca="false">C47-E47-F47</f>
        <v>467237.11648114</v>
      </c>
      <c r="I47" s="25" t="n">
        <f aca="false">I46+E47</f>
        <v>32762.8835188601</v>
      </c>
      <c r="J47" s="24" t="n">
        <f aca="false">J46+D47</f>
        <v>71926.0137878027</v>
      </c>
    </row>
    <row r="48" customFormat="false" ht="15" hidden="true" customHeight="false" outlineLevel="1" collapsed="false">
      <c r="B48" s="125" t="n">
        <v>45292</v>
      </c>
      <c r="C48" s="21" t="n">
        <f aca="false">G47</f>
        <v>467237.11648114</v>
      </c>
      <c r="D48" s="24" t="n">
        <f aca="false">C48*E$8</f>
        <v>1926.84637054597</v>
      </c>
      <c r="E48" s="25" t="n">
        <f aca="false">E$9-D48</f>
        <v>981.178554639107</v>
      </c>
      <c r="F48" s="127" t="n">
        <v>0</v>
      </c>
      <c r="G48" s="24" t="n">
        <f aca="false">C48-E48-F48</f>
        <v>466255.937926501</v>
      </c>
      <c r="I48" s="25" t="n">
        <f aca="false">I47+E48</f>
        <v>33744.0620734993</v>
      </c>
      <c r="J48" s="24" t="n">
        <f aca="false">J47+D48</f>
        <v>73852.8601583486</v>
      </c>
    </row>
    <row r="49" customFormat="false" ht="15" hidden="true" customHeight="false" outlineLevel="1" collapsed="false">
      <c r="B49" s="125" t="n">
        <v>45323</v>
      </c>
      <c r="C49" s="21" t="n">
        <f aca="false">G48</f>
        <v>466255.937926501</v>
      </c>
      <c r="D49" s="24" t="n">
        <f aca="false">C49*E$8</f>
        <v>1922.80007313043</v>
      </c>
      <c r="E49" s="25" t="n">
        <f aca="false">E$9-D49</f>
        <v>985.224852054651</v>
      </c>
      <c r="F49" s="127" t="n">
        <v>0</v>
      </c>
      <c r="G49" s="24" t="n">
        <f aca="false">C49-E49-F49</f>
        <v>465270.713074446</v>
      </c>
      <c r="I49" s="25" t="n">
        <f aca="false">I48+E49</f>
        <v>34729.2869255539</v>
      </c>
      <c r="J49" s="24" t="n">
        <f aca="false">J48+D49</f>
        <v>75775.6602314791</v>
      </c>
    </row>
    <row r="50" customFormat="false" ht="15" hidden="true" customHeight="false" outlineLevel="1" collapsed="false">
      <c r="B50" s="125" t="n">
        <v>45352</v>
      </c>
      <c r="C50" s="21" t="n">
        <f aca="false">G49</f>
        <v>465270.713074446</v>
      </c>
      <c r="D50" s="24" t="n">
        <f aca="false">C50*E$8</f>
        <v>1918.73708912639</v>
      </c>
      <c r="E50" s="25" t="n">
        <f aca="false">E$9-D50</f>
        <v>989.287836058684</v>
      </c>
      <c r="F50" s="127" t="n">
        <v>0</v>
      </c>
      <c r="G50" s="24" t="n">
        <f aca="false">C50-E50-F50</f>
        <v>464281.425238387</v>
      </c>
      <c r="I50" s="25" t="n">
        <f aca="false">I49+E50</f>
        <v>35718.5747616126</v>
      </c>
      <c r="J50" s="24" t="n">
        <f aca="false">J49+D50</f>
        <v>77694.3973206055</v>
      </c>
    </row>
    <row r="51" customFormat="false" ht="15" hidden="true" customHeight="false" outlineLevel="1" collapsed="false">
      <c r="B51" s="125" t="n">
        <v>45383</v>
      </c>
      <c r="C51" s="21" t="n">
        <f aca="false">G50</f>
        <v>464281.425238387</v>
      </c>
      <c r="D51" s="24" t="n">
        <f aca="false">C51*E$8</f>
        <v>1914.65734971979</v>
      </c>
      <c r="E51" s="25" t="n">
        <f aca="false">E$9-D51</f>
        <v>993.367575465286</v>
      </c>
      <c r="F51" s="127" t="n">
        <v>0</v>
      </c>
      <c r="G51" s="24" t="n">
        <f aca="false">C51-E51-F51</f>
        <v>463288.057662922</v>
      </c>
      <c r="I51" s="25" t="n">
        <f aca="false">I50+E51</f>
        <v>36711.9423370779</v>
      </c>
      <c r="J51" s="24" t="n">
        <f aca="false">J50+D51</f>
        <v>79609.0546703253</v>
      </c>
    </row>
    <row r="52" customFormat="false" ht="15" hidden="true" customHeight="false" outlineLevel="1" collapsed="false">
      <c r="B52" s="125" t="n">
        <v>45413</v>
      </c>
      <c r="C52" s="21" t="n">
        <f aca="false">G51</f>
        <v>463288.057662922</v>
      </c>
      <c r="D52" s="24" t="n">
        <f aca="false">C52*E$8</f>
        <v>1910.56078581276</v>
      </c>
      <c r="E52" s="25" t="n">
        <f aca="false">E$9-D52</f>
        <v>997.46413937232</v>
      </c>
      <c r="F52" s="127" t="n">
        <v>0</v>
      </c>
      <c r="G52" s="24" t="n">
        <f aca="false">C52-E52-F52</f>
        <v>462290.59352355</v>
      </c>
      <c r="I52" s="25" t="n">
        <f aca="false">I51+E52</f>
        <v>37709.4064764502</v>
      </c>
      <c r="J52" s="24" t="n">
        <f aca="false">J51+D52</f>
        <v>81519.615456138</v>
      </c>
    </row>
    <row r="53" customFormat="false" ht="15" hidden="true" customHeight="false" outlineLevel="1" collapsed="false">
      <c r="B53" s="125" t="n">
        <v>45444</v>
      </c>
      <c r="C53" s="21" t="n">
        <f aca="false">G52</f>
        <v>462290.59352355</v>
      </c>
      <c r="D53" s="24" t="n">
        <f aca="false">C53*E$8</f>
        <v>1906.44732802247</v>
      </c>
      <c r="E53" s="25" t="n">
        <f aca="false">E$9-D53</f>
        <v>1001.5775971626</v>
      </c>
      <c r="F53" s="127" t="n">
        <v>0</v>
      </c>
      <c r="G53" s="24" t="n">
        <f aca="false">C53-E53-F53</f>
        <v>461289.015926387</v>
      </c>
      <c r="I53" s="25" t="n">
        <f aca="false">I52+E53</f>
        <v>38710.9840736128</v>
      </c>
      <c r="J53" s="24" t="n">
        <f aca="false">J52+D53</f>
        <v>83426.0627841605</v>
      </c>
    </row>
    <row r="54" customFormat="false" ht="15" hidden="true" customHeight="false" outlineLevel="1" collapsed="false">
      <c r="B54" s="125" t="n">
        <v>45474</v>
      </c>
      <c r="C54" s="21" t="n">
        <f aca="false">G53</f>
        <v>461289.015926387</v>
      </c>
      <c r="D54" s="24" t="n">
        <f aca="false">C54*E$8</f>
        <v>1902.31690667999</v>
      </c>
      <c r="E54" s="25" t="n">
        <f aca="false">E$9-D54</f>
        <v>1005.70801850509</v>
      </c>
      <c r="F54" s="127" t="n">
        <v>0</v>
      </c>
      <c r="G54" s="24" t="n">
        <f aca="false">C54-E54-F54</f>
        <v>460283.307907882</v>
      </c>
      <c r="I54" s="25" t="n">
        <f aca="false">I53+E54</f>
        <v>39716.6920921179</v>
      </c>
      <c r="J54" s="24" t="n">
        <f aca="false">J53+D54</f>
        <v>85328.3796908405</v>
      </c>
    </row>
    <row r="55" customFormat="false" ht="15" hidden="true" customHeight="false" outlineLevel="1" collapsed="false">
      <c r="B55" s="125" t="n">
        <v>45505</v>
      </c>
      <c r="C55" s="21" t="n">
        <f aca="false">G54</f>
        <v>460283.307907882</v>
      </c>
      <c r="D55" s="24" t="n">
        <f aca="false">C55*E$8</f>
        <v>1898.16945182906</v>
      </c>
      <c r="E55" s="25" t="n">
        <f aca="false">E$9-D55</f>
        <v>1009.85547335602</v>
      </c>
      <c r="F55" s="127" t="n">
        <v>0</v>
      </c>
      <c r="G55" s="24" t="n">
        <f aca="false">C55-E55-F55</f>
        <v>459273.452434526</v>
      </c>
      <c r="I55" s="25" t="n">
        <f aca="false">I54+E55</f>
        <v>40726.5475654739</v>
      </c>
      <c r="J55" s="24" t="n">
        <f aca="false">J54+D55</f>
        <v>87226.5491426695</v>
      </c>
    </row>
    <row r="56" customFormat="false" ht="15" hidden="true" customHeight="false" outlineLevel="1" collapsed="false">
      <c r="B56" s="125" t="n">
        <v>45536</v>
      </c>
      <c r="C56" s="21" t="n">
        <f aca="false">G55</f>
        <v>459273.452434526</v>
      </c>
      <c r="D56" s="24" t="n">
        <f aca="false">C56*E$8</f>
        <v>1894.00489322493</v>
      </c>
      <c r="E56" s="25" t="n">
        <f aca="false">E$9-D56</f>
        <v>1014.02003196015</v>
      </c>
      <c r="F56" s="127" t="n">
        <v>0</v>
      </c>
      <c r="G56" s="24" t="n">
        <f aca="false">C56-E56-F56</f>
        <v>458259.432402566</v>
      </c>
      <c r="I56" s="25" t="n">
        <f aca="false">I55+E56</f>
        <v>41740.5675974341</v>
      </c>
      <c r="J56" s="24" t="n">
        <f aca="false">J55+D56</f>
        <v>89120.5540358945</v>
      </c>
    </row>
    <row r="57" customFormat="false" ht="15" hidden="true" customHeight="false" outlineLevel="1" collapsed="false">
      <c r="B57" s="125" t="n">
        <v>45566</v>
      </c>
      <c r="C57" s="21" t="n">
        <f aca="false">G56</f>
        <v>458259.432402566</v>
      </c>
      <c r="D57" s="24" t="n">
        <f aca="false">C57*E$8</f>
        <v>1889.82316033316</v>
      </c>
      <c r="E57" s="25" t="n">
        <f aca="false">E$9-D57</f>
        <v>1018.20176485192</v>
      </c>
      <c r="F57" s="127" t="n">
        <v>0</v>
      </c>
      <c r="G57" s="24" t="n">
        <f aca="false">C57-E57-F57</f>
        <v>457241.230637714</v>
      </c>
      <c r="I57" s="25" t="n">
        <f aca="false">I56+E57</f>
        <v>42758.769362286</v>
      </c>
      <c r="J57" s="24" t="n">
        <f aca="false">J56+D57</f>
        <v>91010.3771962276</v>
      </c>
    </row>
    <row r="58" customFormat="false" ht="15" hidden="true" customHeight="false" outlineLevel="1" collapsed="false">
      <c r="B58" s="125" t="n">
        <v>45597</v>
      </c>
      <c r="C58" s="21" t="n">
        <f aca="false">G57</f>
        <v>457241.230637714</v>
      </c>
      <c r="D58" s="24" t="n">
        <f aca="false">C58*E$8</f>
        <v>1885.62418232845</v>
      </c>
      <c r="E58" s="25" t="n">
        <f aca="false">E$9-D58</f>
        <v>1022.40074285663</v>
      </c>
      <c r="F58" s="127" t="n">
        <v>0</v>
      </c>
      <c r="G58" s="24" t="n">
        <f aca="false">C58-E58-F58</f>
        <v>456218.829894857</v>
      </c>
      <c r="I58" s="25" t="n">
        <f aca="false">I57+E58</f>
        <v>43781.1701051426</v>
      </c>
      <c r="J58" s="24" t="n">
        <f aca="false">J57+D58</f>
        <v>92896.0013785561</v>
      </c>
    </row>
    <row r="59" customFormat="false" ht="15" hidden="true" customHeight="false" outlineLevel="1" collapsed="false">
      <c r="B59" s="125" t="n">
        <v>45627</v>
      </c>
      <c r="C59" s="21" t="n">
        <f aca="false">G58</f>
        <v>456218.829894857</v>
      </c>
      <c r="D59" s="24" t="n">
        <f aca="false">C59*E$8</f>
        <v>1881.40788809341</v>
      </c>
      <c r="E59" s="25" t="n">
        <f aca="false">E$9-D59</f>
        <v>1026.61703709167</v>
      </c>
      <c r="F59" s="127" t="n">
        <v>0</v>
      </c>
      <c r="G59" s="24" t="n">
        <f aca="false">C59-E59-F59</f>
        <v>455192.212857766</v>
      </c>
      <c r="I59" s="25" t="n">
        <f aca="false">I58+E59</f>
        <v>44807.7871422343</v>
      </c>
      <c r="J59" s="24" t="n">
        <f aca="false">J58+D59</f>
        <v>94777.4092666495</v>
      </c>
    </row>
    <row r="60" customFormat="false" ht="15" hidden="true" customHeight="false" outlineLevel="1" collapsed="false">
      <c r="B60" s="125" t="n">
        <v>45658</v>
      </c>
      <c r="C60" s="21" t="n">
        <f aca="false">G59</f>
        <v>455192.212857766</v>
      </c>
      <c r="D60" s="24" t="n">
        <f aca="false">C60*E$8</f>
        <v>1877.17420621737</v>
      </c>
      <c r="E60" s="25" t="n">
        <f aca="false">E$9-D60</f>
        <v>1030.85071896771</v>
      </c>
      <c r="F60" s="127" t="n">
        <v>0</v>
      </c>
      <c r="G60" s="24" t="n">
        <f aca="false">C60-E60-F60</f>
        <v>454161.362138798</v>
      </c>
      <c r="I60" s="25" t="n">
        <f aca="false">I59+E60</f>
        <v>45838.637861202</v>
      </c>
      <c r="J60" s="24" t="n">
        <f aca="false">J59+D60</f>
        <v>96654.5834728669</v>
      </c>
    </row>
    <row r="61" customFormat="false" ht="15" hidden="true" customHeight="false" outlineLevel="1" collapsed="false">
      <c r="B61" s="125" t="n">
        <v>45689</v>
      </c>
      <c r="C61" s="21" t="n">
        <f aca="false">G60</f>
        <v>454161.362138798</v>
      </c>
      <c r="D61" s="24" t="n">
        <f aca="false">C61*E$8</f>
        <v>1872.92306499516</v>
      </c>
      <c r="E61" s="25" t="n">
        <f aca="false">E$9-D61</f>
        <v>1035.10186018992</v>
      </c>
      <c r="F61" s="127" t="n">
        <v>0</v>
      </c>
      <c r="G61" s="24" t="n">
        <f aca="false">C61-E61-F61</f>
        <v>453126.260278608</v>
      </c>
      <c r="I61" s="25" t="n">
        <f aca="false">I60+E61</f>
        <v>46873.7397213919</v>
      </c>
      <c r="J61" s="24" t="n">
        <f aca="false">J60+D61</f>
        <v>98527.506537862</v>
      </c>
    </row>
    <row r="62" customFormat="false" ht="15" hidden="true" customHeight="false" outlineLevel="1" collapsed="false">
      <c r="B62" s="125" t="n">
        <v>45717</v>
      </c>
      <c r="C62" s="21" t="n">
        <f aca="false">G61</f>
        <v>453126.260278608</v>
      </c>
      <c r="D62" s="24" t="n">
        <f aca="false">C62*E$8</f>
        <v>1868.65439242592</v>
      </c>
      <c r="E62" s="25" t="n">
        <f aca="false">E$9-D62</f>
        <v>1039.37053275916</v>
      </c>
      <c r="F62" s="127" t="n">
        <v>0</v>
      </c>
      <c r="G62" s="24" t="n">
        <f aca="false">C62-E62-F62</f>
        <v>452086.889745849</v>
      </c>
      <c r="I62" s="25" t="n">
        <f aca="false">I61+E62</f>
        <v>47913.1102541511</v>
      </c>
      <c r="J62" s="24" t="n">
        <f aca="false">J61+D62</f>
        <v>100396.160930288</v>
      </c>
    </row>
    <row r="63" customFormat="false" ht="15" hidden="true" customHeight="false" outlineLevel="1" collapsed="false">
      <c r="B63" s="125" t="n">
        <v>45748</v>
      </c>
      <c r="C63" s="21" t="n">
        <f aca="false">G62</f>
        <v>452086.889745849</v>
      </c>
      <c r="D63" s="24" t="n">
        <f aca="false">C63*E$8</f>
        <v>1864.36811621186</v>
      </c>
      <c r="E63" s="25" t="n">
        <f aca="false">E$9-D63</f>
        <v>1043.65680897322</v>
      </c>
      <c r="F63" s="127" t="n">
        <v>0</v>
      </c>
      <c r="G63" s="24" t="n">
        <f aca="false">C63-E63-F63</f>
        <v>451043.232936876</v>
      </c>
      <c r="I63" s="25" t="n">
        <f aca="false">I62+E63</f>
        <v>48956.7670631243</v>
      </c>
      <c r="J63" s="24" t="n">
        <f aca="false">J62+D63</f>
        <v>102260.5290465</v>
      </c>
    </row>
    <row r="64" customFormat="false" ht="15" hidden="true" customHeight="false" outlineLevel="1" collapsed="false">
      <c r="B64" s="125" t="n">
        <v>45778</v>
      </c>
      <c r="C64" s="21" t="n">
        <f aca="false">G63</f>
        <v>451043.232936876</v>
      </c>
      <c r="D64" s="24" t="n">
        <f aca="false">C64*E$8</f>
        <v>1860.06416375703</v>
      </c>
      <c r="E64" s="25" t="n">
        <f aca="false">E$9-D64</f>
        <v>1047.96076142804</v>
      </c>
      <c r="F64" s="127" t="n">
        <v>0</v>
      </c>
      <c r="G64" s="24" t="n">
        <f aca="false">C64-E64-F64</f>
        <v>449995.272175447</v>
      </c>
      <c r="I64" s="25" t="n">
        <f aca="false">I63+E64</f>
        <v>50004.7278245523</v>
      </c>
      <c r="J64" s="24" t="n">
        <f aca="false">J63+D64</f>
        <v>104120.593210257</v>
      </c>
    </row>
    <row r="65" customFormat="false" ht="15" hidden="true" customHeight="false" outlineLevel="1" collapsed="false">
      <c r="B65" s="125" t="n">
        <v>45809</v>
      </c>
      <c r="C65" s="21" t="n">
        <f aca="false">G64</f>
        <v>449995.272175447</v>
      </c>
      <c r="D65" s="24" t="n">
        <f aca="false">C65*E$8</f>
        <v>1855.74246216612</v>
      </c>
      <c r="E65" s="25" t="n">
        <f aca="false">E$9-D65</f>
        <v>1052.28246301896</v>
      </c>
      <c r="F65" s="127" t="n">
        <v>0</v>
      </c>
      <c r="G65" s="24" t="n">
        <f aca="false">C65-E65-F65</f>
        <v>448942.989712429</v>
      </c>
      <c r="I65" s="25" t="n">
        <f aca="false">I64+E65</f>
        <v>51057.0102875713</v>
      </c>
      <c r="J65" s="24" t="n">
        <f aca="false">J64+D65</f>
        <v>105976.335672423</v>
      </c>
    </row>
    <row r="66" customFormat="false" ht="15" hidden="true" customHeight="false" outlineLevel="1" collapsed="false">
      <c r="B66" s="125" t="n">
        <v>45839</v>
      </c>
      <c r="C66" s="21" t="n">
        <f aca="false">G65</f>
        <v>448942.989712429</v>
      </c>
      <c r="D66" s="24" t="n">
        <f aca="false">C66*E$8</f>
        <v>1851.40293824317</v>
      </c>
      <c r="E66" s="25" t="n">
        <f aca="false">E$9-D66</f>
        <v>1056.62198694191</v>
      </c>
      <c r="F66" s="127" t="n">
        <v>0</v>
      </c>
      <c r="G66" s="24" t="n">
        <f aca="false">C66-E66-F66</f>
        <v>447886.367725487</v>
      </c>
      <c r="I66" s="25" t="n">
        <f aca="false">I65+E66</f>
        <v>52113.6322745132</v>
      </c>
      <c r="J66" s="24" t="n">
        <f aca="false">J65+D66</f>
        <v>107827.738610666</v>
      </c>
    </row>
    <row r="67" customFormat="false" ht="15" hidden="true" customHeight="false" outlineLevel="1" collapsed="false">
      <c r="B67" s="125" t="n">
        <v>45870</v>
      </c>
      <c r="C67" s="21" t="n">
        <f aca="false">G66</f>
        <v>447886.367725487</v>
      </c>
      <c r="D67" s="24" t="n">
        <f aca="false">C67*E$8</f>
        <v>1847.04551849041</v>
      </c>
      <c r="E67" s="25" t="n">
        <f aca="false">E$9-D67</f>
        <v>1060.97940669467</v>
      </c>
      <c r="F67" s="127" t="n">
        <v>0</v>
      </c>
      <c r="G67" s="24" t="n">
        <f aca="false">C67-E67-F67</f>
        <v>446825.388318792</v>
      </c>
      <c r="I67" s="25" t="n">
        <f aca="false">I66+E67</f>
        <v>53174.6116812079</v>
      </c>
      <c r="J67" s="24" t="n">
        <f aca="false">J66+D67</f>
        <v>109674.784129157</v>
      </c>
    </row>
    <row r="68" customFormat="false" ht="15" hidden="true" customHeight="false" outlineLevel="1" collapsed="false">
      <c r="B68" s="125" t="n">
        <v>45901</v>
      </c>
      <c r="C68" s="21" t="n">
        <f aca="false">G67</f>
        <v>446825.388318792</v>
      </c>
      <c r="D68" s="24" t="n">
        <f aca="false">C68*E$8</f>
        <v>1842.67012910694</v>
      </c>
      <c r="E68" s="25" t="n">
        <f aca="false">E$9-D68</f>
        <v>1065.35479607813</v>
      </c>
      <c r="F68" s="127" t="n">
        <v>0</v>
      </c>
      <c r="G68" s="24" t="n">
        <f aca="false">C68-E68-F68</f>
        <v>445760.033522714</v>
      </c>
      <c r="I68" s="25" t="n">
        <f aca="false">I67+E68</f>
        <v>54239.966477286</v>
      </c>
      <c r="J68" s="24" t="n">
        <f aca="false">J67+D68</f>
        <v>111517.454258263</v>
      </c>
    </row>
    <row r="69" customFormat="false" ht="15" hidden="true" customHeight="false" outlineLevel="1" collapsed="false">
      <c r="B69" s="125" t="n">
        <v>45931</v>
      </c>
      <c r="C69" s="21" t="n">
        <f aca="false">G68</f>
        <v>445760.033522714</v>
      </c>
      <c r="D69" s="24" t="n">
        <f aca="false">C69*E$8</f>
        <v>1838.27669598753</v>
      </c>
      <c r="E69" s="25" t="n">
        <f aca="false">E$9-D69</f>
        <v>1069.74822919755</v>
      </c>
      <c r="F69" s="127" t="n">
        <v>0</v>
      </c>
      <c r="G69" s="24" t="n">
        <f aca="false">C69-E69-F69</f>
        <v>444690.285293516</v>
      </c>
      <c r="I69" s="25" t="n">
        <f aca="false">I68+E69</f>
        <v>55309.7147064835</v>
      </c>
      <c r="J69" s="24" t="n">
        <f aca="false">J68+D69</f>
        <v>113355.730954251</v>
      </c>
    </row>
    <row r="70" customFormat="false" ht="15" hidden="true" customHeight="false" outlineLevel="1" collapsed="false">
      <c r="B70" s="125" t="n">
        <v>45962</v>
      </c>
      <c r="C70" s="21" t="n">
        <f aca="false">G69</f>
        <v>444690.285293516</v>
      </c>
      <c r="D70" s="24" t="n">
        <f aca="false">C70*E$8</f>
        <v>1833.86514472133</v>
      </c>
      <c r="E70" s="25" t="n">
        <f aca="false">E$9-D70</f>
        <v>1074.15978046374</v>
      </c>
      <c r="F70" s="127" t="n">
        <v>0</v>
      </c>
      <c r="G70" s="24" t="n">
        <f aca="false">C70-E70-F70</f>
        <v>443616.125513053</v>
      </c>
      <c r="I70" s="25" t="n">
        <f aca="false">I69+E70</f>
        <v>56383.8744869473</v>
      </c>
      <c r="J70" s="24" t="n">
        <f aca="false">J69+D70</f>
        <v>115189.596098972</v>
      </c>
    </row>
    <row r="71" customFormat="false" ht="15" hidden="false" customHeight="false" outlineLevel="0" collapsed="false">
      <c r="A71" s="0" t="s">
        <v>63</v>
      </c>
      <c r="B71" s="135" t="n">
        <v>45992</v>
      </c>
      <c r="C71" s="115" t="n">
        <f aca="false">G70</f>
        <v>443616.125513053</v>
      </c>
      <c r="D71" s="136" t="n">
        <f aca="false">C71*E$8</f>
        <v>1829.43540059064</v>
      </c>
      <c r="E71" s="137" t="n">
        <f aca="false">E$9-D71</f>
        <v>1078.58952459443</v>
      </c>
      <c r="F71" s="139" t="n">
        <v>0</v>
      </c>
      <c r="G71" s="136" t="n">
        <f aca="false">C71-E71-F71</f>
        <v>442537.535988458</v>
      </c>
      <c r="H71" s="5"/>
      <c r="I71" s="137" t="n">
        <f aca="false">I70+E71</f>
        <v>57462.4640115417</v>
      </c>
      <c r="J71" s="136" t="n">
        <f aca="false">J70+D71</f>
        <v>117019.031499563</v>
      </c>
    </row>
    <row r="72" customFormat="false" ht="15" hidden="true" customHeight="false" outlineLevel="1" collapsed="false">
      <c r="B72" s="125" t="n">
        <v>46023</v>
      </c>
      <c r="C72" s="21" t="n">
        <f aca="false">G71</f>
        <v>442537.535988458</v>
      </c>
      <c r="D72" s="24" t="n">
        <f aca="false">C72*E$8</f>
        <v>1824.98738856963</v>
      </c>
      <c r="E72" s="25" t="n">
        <f aca="false">E$9-D72</f>
        <v>1083.03753661545</v>
      </c>
      <c r="F72" s="127" t="n">
        <v>0</v>
      </c>
      <c r="G72" s="24" t="n">
        <f aca="false">C72-E72-F72</f>
        <v>441454.498451843</v>
      </c>
      <c r="I72" s="25" t="n">
        <f aca="false">I71+E72</f>
        <v>58545.5015481572</v>
      </c>
      <c r="J72" s="24" t="n">
        <f aca="false">J71+D72</f>
        <v>118844.018888133</v>
      </c>
    </row>
    <row r="73" customFormat="false" ht="15" hidden="true" customHeight="false" outlineLevel="1" collapsed="false">
      <c r="B73" s="125" t="n">
        <v>46054</v>
      </c>
      <c r="C73" s="21" t="n">
        <f aca="false">G72</f>
        <v>441454.498451843</v>
      </c>
      <c r="D73" s="24" t="n">
        <f aca="false">C73*E$8</f>
        <v>1820.52103332305</v>
      </c>
      <c r="E73" s="25" t="n">
        <f aca="false">E$9-D73</f>
        <v>1087.50389186203</v>
      </c>
      <c r="F73" s="127" t="n">
        <v>0</v>
      </c>
      <c r="G73" s="24" t="n">
        <f aca="false">C73-E73-F73</f>
        <v>440366.994559981</v>
      </c>
      <c r="I73" s="25" t="n">
        <f aca="false">I72+E73</f>
        <v>59633.0054400192</v>
      </c>
      <c r="J73" s="24" t="n">
        <f aca="false">J72+D73</f>
        <v>120664.539921456</v>
      </c>
    </row>
    <row r="74" customFormat="false" ht="15" hidden="true" customHeight="false" outlineLevel="1" collapsed="false">
      <c r="B74" s="125" t="n">
        <v>46082</v>
      </c>
      <c r="C74" s="21" t="n">
        <f aca="false">G73</f>
        <v>440366.994559981</v>
      </c>
      <c r="D74" s="24" t="n">
        <f aca="false">C74*E$8</f>
        <v>1816.03625920499</v>
      </c>
      <c r="E74" s="25" t="n">
        <f aca="false">E$9-D74</f>
        <v>1091.98866598009</v>
      </c>
      <c r="F74" s="126" t="n">
        <v>0</v>
      </c>
      <c r="G74" s="24" t="n">
        <f aca="false">C74-E74-F74</f>
        <v>439275.005894001</v>
      </c>
      <c r="I74" s="25" t="n">
        <f aca="false">I73+E74</f>
        <v>60724.9941059993</v>
      </c>
      <c r="J74" s="24" t="n">
        <f aca="false">J73+D74</f>
        <v>122480.576180661</v>
      </c>
    </row>
    <row r="75" customFormat="false" ht="15" hidden="true" customHeight="false" outlineLevel="1" collapsed="false">
      <c r="B75" s="125" t="n">
        <v>46113</v>
      </c>
      <c r="C75" s="21" t="n">
        <f aca="false">G74</f>
        <v>439275.005894001</v>
      </c>
      <c r="D75" s="24" t="n">
        <f aca="false">C75*E$8</f>
        <v>1811.53299025759</v>
      </c>
      <c r="E75" s="25" t="n">
        <f aca="false">E$9-D75</f>
        <v>1096.49193492748</v>
      </c>
      <c r="F75" s="127" t="n">
        <v>0</v>
      </c>
      <c r="G75" s="24" t="n">
        <f aca="false">C75-E75-F75</f>
        <v>438178.513959073</v>
      </c>
      <c r="I75" s="25" t="n">
        <f aca="false">I74+E75</f>
        <v>61821.4860409268</v>
      </c>
      <c r="J75" s="24" t="n">
        <f aca="false">J74+D75</f>
        <v>124292.109170918</v>
      </c>
    </row>
    <row r="76" customFormat="false" ht="15" hidden="true" customHeight="false" outlineLevel="1" collapsed="false">
      <c r="B76" s="125" t="n">
        <v>46143</v>
      </c>
      <c r="C76" s="21" t="n">
        <f aca="false">G75</f>
        <v>438178.513959073</v>
      </c>
      <c r="D76" s="24" t="n">
        <f aca="false">C76*E$8</f>
        <v>1807.01115020974</v>
      </c>
      <c r="E76" s="25" t="n">
        <f aca="false">E$9-D76</f>
        <v>1101.01377497534</v>
      </c>
      <c r="F76" s="127" t="n">
        <v>0</v>
      </c>
      <c r="G76" s="24" t="n">
        <f aca="false">C76-E76-F76</f>
        <v>437077.500184098</v>
      </c>
      <c r="I76" s="25" t="n">
        <f aca="false">I75+E76</f>
        <v>62922.4998159021</v>
      </c>
      <c r="J76" s="24" t="n">
        <f aca="false">J75+D76</f>
        <v>126099.120321128</v>
      </c>
    </row>
    <row r="77" customFormat="false" ht="15" hidden="true" customHeight="false" outlineLevel="1" collapsed="false">
      <c r="B77" s="125" t="n">
        <v>46174</v>
      </c>
      <c r="C77" s="21" t="n">
        <f aca="false">G76</f>
        <v>437077.500184098</v>
      </c>
      <c r="D77" s="24" t="n">
        <f aca="false">C77*E$8</f>
        <v>1802.47066247578</v>
      </c>
      <c r="E77" s="25" t="n">
        <f aca="false">E$9-D77</f>
        <v>1105.5542627093</v>
      </c>
      <c r="F77" s="126" t="n">
        <v>0</v>
      </c>
      <c r="G77" s="24" t="n">
        <f aca="false">C77-E77-F77</f>
        <v>435971.945921388</v>
      </c>
      <c r="I77" s="25" t="n">
        <f aca="false">I76+E77</f>
        <v>64028.0540786114</v>
      </c>
      <c r="J77" s="24" t="n">
        <f aca="false">J76+D77</f>
        <v>127901.590983604</v>
      </c>
    </row>
    <row r="78" customFormat="false" ht="15" hidden="true" customHeight="false" outlineLevel="1" collapsed="false">
      <c r="B78" s="125" t="n">
        <v>46204</v>
      </c>
      <c r="C78" s="21" t="n">
        <f aca="false">G77</f>
        <v>435971.945921388</v>
      </c>
      <c r="D78" s="24" t="n">
        <f aca="false">C78*E$8</f>
        <v>1797.91145015424</v>
      </c>
      <c r="E78" s="25" t="n">
        <f aca="false">E$9-D78</f>
        <v>1110.11347503084</v>
      </c>
      <c r="F78" s="127" t="n">
        <v>0</v>
      </c>
      <c r="G78" s="24" t="n">
        <f aca="false">C78-E78-F78</f>
        <v>434861.832446358</v>
      </c>
      <c r="I78" s="25" t="n">
        <f aca="false">I77+E78</f>
        <v>65138.1675536422</v>
      </c>
      <c r="J78" s="24" t="n">
        <f aca="false">J77+D78</f>
        <v>129699.502433758</v>
      </c>
    </row>
    <row r="79" customFormat="false" ht="15" hidden="true" customHeight="false" outlineLevel="1" collapsed="false">
      <c r="B79" s="125" t="n">
        <v>46235</v>
      </c>
      <c r="C79" s="21" t="n">
        <f aca="false">G78</f>
        <v>434861.832446358</v>
      </c>
      <c r="D79" s="24" t="n">
        <f aca="false">C79*E$8</f>
        <v>1793.3334360265</v>
      </c>
      <c r="E79" s="25" t="n">
        <f aca="false">E$9-D79</f>
        <v>1114.69148915858</v>
      </c>
      <c r="F79" s="127" t="n">
        <v>0</v>
      </c>
      <c r="G79" s="24" t="n">
        <f aca="false">C79-E79-F79</f>
        <v>433747.140957199</v>
      </c>
      <c r="I79" s="25" t="n">
        <f aca="false">I78+E79</f>
        <v>66252.8590428008</v>
      </c>
      <c r="J79" s="24" t="n">
        <f aca="false">J78+D79</f>
        <v>131492.835869785</v>
      </c>
    </row>
    <row r="80" customFormat="false" ht="15" hidden="true" customHeight="false" outlineLevel="1" collapsed="false">
      <c r="B80" s="125" t="n">
        <v>46266</v>
      </c>
      <c r="C80" s="21" t="n">
        <f aca="false">G79</f>
        <v>433747.140957199</v>
      </c>
      <c r="D80" s="24" t="n">
        <f aca="false">C80*E$8</f>
        <v>1788.73654255549</v>
      </c>
      <c r="E80" s="25" t="n">
        <f aca="false">E$9-D80</f>
        <v>1119.28838262959</v>
      </c>
      <c r="F80" s="126" t="n">
        <v>0</v>
      </c>
      <c r="G80" s="24" t="n">
        <f aca="false">C80-E80-F80</f>
        <v>432627.852574569</v>
      </c>
      <c r="I80" s="25" t="n">
        <f aca="false">I79+E80</f>
        <v>67372.1474254304</v>
      </c>
      <c r="J80" s="24" t="n">
        <f aca="false">J79+D80</f>
        <v>133281.57241234</v>
      </c>
    </row>
    <row r="81" customFormat="false" ht="15" hidden="true" customHeight="false" outlineLevel="1" collapsed="false">
      <c r="B81" s="125" t="n">
        <v>46296</v>
      </c>
      <c r="C81" s="21" t="n">
        <f aca="false">G80</f>
        <v>432627.852574569</v>
      </c>
      <c r="D81" s="24" t="n">
        <f aca="false">C81*E$8</f>
        <v>1784.12069188441</v>
      </c>
      <c r="E81" s="25" t="n">
        <f aca="false">E$9-D81</f>
        <v>1123.90423330067</v>
      </c>
      <c r="F81" s="127" t="n">
        <v>0</v>
      </c>
      <c r="G81" s="24" t="n">
        <f aca="false">C81-E81-F81</f>
        <v>431503.948341269</v>
      </c>
      <c r="I81" s="25" t="n">
        <f aca="false">I80+E81</f>
        <v>68496.0516587311</v>
      </c>
      <c r="J81" s="24" t="n">
        <f aca="false">J80+D81</f>
        <v>135065.693104224</v>
      </c>
    </row>
    <row r="82" customFormat="false" ht="15" hidden="true" customHeight="false" outlineLevel="1" collapsed="false">
      <c r="B82" s="125" t="n">
        <v>46327</v>
      </c>
      <c r="C82" s="21" t="n">
        <f aca="false">G81</f>
        <v>431503.948341269</v>
      </c>
      <c r="D82" s="24" t="n">
        <f aca="false">C82*E$8</f>
        <v>1779.48580583536</v>
      </c>
      <c r="E82" s="25" t="n">
        <f aca="false">E$9-D82</f>
        <v>1128.53911934972</v>
      </c>
      <c r="F82" s="127" t="n">
        <v>0</v>
      </c>
      <c r="G82" s="24" t="n">
        <f aca="false">C82-E82-F82</f>
        <v>430375.409221919</v>
      </c>
      <c r="I82" s="25" t="n">
        <f aca="false">I81+E82</f>
        <v>69624.5907780808</v>
      </c>
      <c r="J82" s="24" t="n">
        <f aca="false">J81+D82</f>
        <v>136845.17891006</v>
      </c>
    </row>
    <row r="83" customFormat="false" ht="15" hidden="true" customHeight="false" outlineLevel="1" collapsed="false">
      <c r="B83" s="125" t="n">
        <v>46357</v>
      </c>
      <c r="C83" s="21" t="n">
        <f aca="false">G82</f>
        <v>430375.409221919</v>
      </c>
      <c r="D83" s="24" t="n">
        <f aca="false">C83*E$8</f>
        <v>1774.83180590805</v>
      </c>
      <c r="E83" s="25" t="n">
        <f aca="false">E$9-D83</f>
        <v>1133.19311927703</v>
      </c>
      <c r="F83" s="126" t="n">
        <v>0</v>
      </c>
      <c r="G83" s="24" t="n">
        <f aca="false">C83-E83-F83</f>
        <v>429242.216102642</v>
      </c>
      <c r="I83" s="25" t="n">
        <f aca="false">I82+E83</f>
        <v>70757.7838973578</v>
      </c>
      <c r="J83" s="24" t="n">
        <f aca="false">J82+D83</f>
        <v>138620.010715968</v>
      </c>
    </row>
    <row r="84" customFormat="false" ht="15" hidden="true" customHeight="false" outlineLevel="1" collapsed="false">
      <c r="B84" s="125" t="n">
        <v>46388</v>
      </c>
      <c r="C84" s="21" t="n">
        <f aca="false">G83</f>
        <v>429242.216102642</v>
      </c>
      <c r="D84" s="24" t="n">
        <f aca="false">C84*E$8</f>
        <v>1770.15861327847</v>
      </c>
      <c r="E84" s="25" t="n">
        <f aca="false">E$9-D84</f>
        <v>1137.86631190661</v>
      </c>
      <c r="F84" s="127" t="n">
        <v>0</v>
      </c>
      <c r="G84" s="24" t="n">
        <f aca="false">C84-E84-F84</f>
        <v>428104.349790735</v>
      </c>
      <c r="I84" s="25" t="n">
        <f aca="false">I83+E84</f>
        <v>71895.6502092644</v>
      </c>
      <c r="J84" s="24" t="n">
        <f aca="false">J83+D84</f>
        <v>140390.169329246</v>
      </c>
    </row>
    <row r="85" customFormat="false" ht="15" hidden="true" customHeight="false" outlineLevel="1" collapsed="false">
      <c r="B85" s="125" t="n">
        <v>46419</v>
      </c>
      <c r="C85" s="21" t="n">
        <f aca="false">G84</f>
        <v>428104.349790735</v>
      </c>
      <c r="D85" s="24" t="n">
        <f aca="false">C85*E$8</f>
        <v>1765.46614879753</v>
      </c>
      <c r="E85" s="25" t="n">
        <f aca="false">E$9-D85</f>
        <v>1142.55877638755</v>
      </c>
      <c r="F85" s="127" t="n">
        <v>0</v>
      </c>
      <c r="G85" s="24" t="n">
        <f aca="false">C85-E85-F85</f>
        <v>426961.791014348</v>
      </c>
      <c r="I85" s="25" t="n">
        <f aca="false">I84+E85</f>
        <v>73038.208985652</v>
      </c>
      <c r="J85" s="24" t="n">
        <f aca="false">J84+D85</f>
        <v>142155.635478044</v>
      </c>
    </row>
    <row r="86" customFormat="false" ht="15" hidden="true" customHeight="false" outlineLevel="1" collapsed="false">
      <c r="B86" s="125" t="n">
        <v>46447</v>
      </c>
      <c r="C86" s="21" t="n">
        <f aca="false">G85</f>
        <v>426961.791014348</v>
      </c>
      <c r="D86" s="24" t="n">
        <f aca="false">C86*E$8</f>
        <v>1760.75433298975</v>
      </c>
      <c r="E86" s="25" t="n">
        <f aca="false">E$9-D86</f>
        <v>1147.27059219533</v>
      </c>
      <c r="F86" s="126" t="n">
        <v>0</v>
      </c>
      <c r="G86" s="24" t="n">
        <f aca="false">C86-E86-F86</f>
        <v>425814.520422153</v>
      </c>
      <c r="I86" s="25" t="n">
        <f aca="false">I85+E86</f>
        <v>74185.4795778473</v>
      </c>
      <c r="J86" s="24" t="n">
        <f aca="false">J85+D86</f>
        <v>143916.389811034</v>
      </c>
    </row>
    <row r="87" customFormat="false" ht="15" hidden="true" customHeight="false" outlineLevel="1" collapsed="false">
      <c r="B87" s="125" t="n">
        <v>46478</v>
      </c>
      <c r="C87" s="21" t="n">
        <f aca="false">G86</f>
        <v>425814.520422153</v>
      </c>
      <c r="D87" s="24" t="n">
        <f aca="false">C87*E$8</f>
        <v>1756.02308605189</v>
      </c>
      <c r="E87" s="25" t="n">
        <f aca="false">E$9-D87</f>
        <v>1152.00183913319</v>
      </c>
      <c r="F87" s="127" t="n">
        <v>0</v>
      </c>
      <c r="G87" s="24" t="n">
        <f aca="false">C87-E87-F87</f>
        <v>424662.518583019</v>
      </c>
      <c r="I87" s="25" t="n">
        <f aca="false">I86+E87</f>
        <v>75337.4814169805</v>
      </c>
      <c r="J87" s="24" t="n">
        <f aca="false">J86+D87</f>
        <v>145672.412897086</v>
      </c>
    </row>
    <row r="88" customFormat="false" ht="15" hidden="true" customHeight="false" outlineLevel="1" collapsed="false">
      <c r="B88" s="125" t="n">
        <v>46508</v>
      </c>
      <c r="C88" s="21" t="n">
        <f aca="false">G87</f>
        <v>424662.518583019</v>
      </c>
      <c r="D88" s="24" t="n">
        <f aca="false">C88*E$8</f>
        <v>1751.27232785161</v>
      </c>
      <c r="E88" s="25" t="n">
        <f aca="false">E$9-D88</f>
        <v>1156.75259733346</v>
      </c>
      <c r="F88" s="127" t="n">
        <v>0</v>
      </c>
      <c r="G88" s="24" t="n">
        <f aca="false">C88-E88-F88</f>
        <v>423505.765985686</v>
      </c>
      <c r="I88" s="25" t="n">
        <f aca="false">I87+E88</f>
        <v>76494.234014314</v>
      </c>
      <c r="J88" s="24" t="n">
        <f aca="false">J87+D88</f>
        <v>147423.685224937</v>
      </c>
    </row>
    <row r="89" customFormat="false" ht="15" hidden="true" customHeight="false" outlineLevel="1" collapsed="false">
      <c r="B89" s="125" t="n">
        <v>46539</v>
      </c>
      <c r="C89" s="21" t="n">
        <f aca="false">G88</f>
        <v>423505.765985686</v>
      </c>
      <c r="D89" s="24" t="n">
        <f aca="false">C89*E$8</f>
        <v>1746.50197792613</v>
      </c>
      <c r="E89" s="25" t="n">
        <f aca="false">E$9-D89</f>
        <v>1161.52294725895</v>
      </c>
      <c r="F89" s="126" t="n">
        <v>0</v>
      </c>
      <c r="G89" s="24" t="n">
        <f aca="false">C89-E89-F89</f>
        <v>422344.243038427</v>
      </c>
      <c r="I89" s="25" t="n">
        <f aca="false">I88+E89</f>
        <v>77655.7569615729</v>
      </c>
      <c r="J89" s="24" t="n">
        <f aca="false">J88+D89</f>
        <v>149170.187202863</v>
      </c>
    </row>
    <row r="90" customFormat="false" ht="15" hidden="true" customHeight="false" outlineLevel="1" collapsed="false">
      <c r="B90" s="125" t="n">
        <v>46569</v>
      </c>
      <c r="C90" s="21" t="n">
        <f aca="false">G89</f>
        <v>422344.243038427</v>
      </c>
      <c r="D90" s="24" t="n">
        <f aca="false">C90*E$8</f>
        <v>1741.7119554808</v>
      </c>
      <c r="E90" s="25" t="n">
        <f aca="false">E$9-D90</f>
        <v>1166.31296970427</v>
      </c>
      <c r="F90" s="127" t="n">
        <v>0</v>
      </c>
      <c r="G90" s="24" t="n">
        <f aca="false">C90-E90-F90</f>
        <v>421177.930068723</v>
      </c>
      <c r="I90" s="25" t="n">
        <f aca="false">I89+E90</f>
        <v>78822.0699312772</v>
      </c>
      <c r="J90" s="24" t="n">
        <f aca="false">J89+D90</f>
        <v>150911.899158344</v>
      </c>
    </row>
    <row r="91" customFormat="false" ht="15" hidden="true" customHeight="false" outlineLevel="1" collapsed="false">
      <c r="B91" s="125" t="n">
        <v>46600</v>
      </c>
      <c r="C91" s="21" t="n">
        <f aca="false">G90</f>
        <v>421177.930068723</v>
      </c>
      <c r="D91" s="24" t="n">
        <f aca="false">C91*E$8</f>
        <v>1736.90217938784</v>
      </c>
      <c r="E91" s="25" t="n">
        <f aca="false">E$9-D91</f>
        <v>1171.12274579724</v>
      </c>
      <c r="F91" s="127" t="n">
        <v>0</v>
      </c>
      <c r="G91" s="24" t="n">
        <f aca="false">C91-E91-F91</f>
        <v>420006.807322926</v>
      </c>
      <c r="I91" s="25" t="n">
        <f aca="false">I90+E91</f>
        <v>79993.1926770744</v>
      </c>
      <c r="J91" s="24" t="n">
        <f aca="false">J90+D91</f>
        <v>152648.801337732</v>
      </c>
    </row>
    <row r="92" customFormat="false" ht="15" hidden="true" customHeight="false" outlineLevel="1" collapsed="false">
      <c r="B92" s="125" t="n">
        <v>46631</v>
      </c>
      <c r="C92" s="21" t="n">
        <f aca="false">G91</f>
        <v>420006.807322926</v>
      </c>
      <c r="D92" s="24" t="n">
        <f aca="false">C92*E$8</f>
        <v>1732.07256818487</v>
      </c>
      <c r="E92" s="25" t="n">
        <f aca="false">E$9-D92</f>
        <v>1175.95235700021</v>
      </c>
      <c r="F92" s="126" t="n">
        <v>0</v>
      </c>
      <c r="G92" s="24" t="n">
        <f aca="false">C92-E92-F92</f>
        <v>418830.854965925</v>
      </c>
      <c r="I92" s="25" t="n">
        <f aca="false">I91+E92</f>
        <v>81169.1450340746</v>
      </c>
      <c r="J92" s="24" t="n">
        <f aca="false">J91+D92</f>
        <v>154380.873905917</v>
      </c>
    </row>
    <row r="93" customFormat="false" ht="15" hidden="true" customHeight="false" outlineLevel="1" collapsed="false">
      <c r="B93" s="125" t="n">
        <v>46661</v>
      </c>
      <c r="C93" s="21" t="n">
        <f aca="false">G92</f>
        <v>418830.854965925</v>
      </c>
      <c r="D93" s="24" t="n">
        <f aca="false">C93*E$8</f>
        <v>1727.22304007356</v>
      </c>
      <c r="E93" s="25" t="n">
        <f aca="false">E$9-D93</f>
        <v>1180.80188511152</v>
      </c>
      <c r="F93" s="127" t="n">
        <v>0</v>
      </c>
      <c r="G93" s="24" t="n">
        <f aca="false">C93-E93-F93</f>
        <v>417650.053080814</v>
      </c>
      <c r="I93" s="25" t="n">
        <f aca="false">I92+E93</f>
        <v>82349.9469191862</v>
      </c>
      <c r="J93" s="24" t="n">
        <f aca="false">J92+D93</f>
        <v>156108.09694599</v>
      </c>
    </row>
    <row r="94" customFormat="false" ht="15" hidden="true" customHeight="false" outlineLevel="1" collapsed="false">
      <c r="B94" s="125" t="n">
        <v>46692</v>
      </c>
      <c r="C94" s="21" t="n">
        <f aca="false">G93</f>
        <v>417650.053080814</v>
      </c>
      <c r="D94" s="24" t="n">
        <f aca="false">C94*E$8</f>
        <v>1722.35351291828</v>
      </c>
      <c r="E94" s="25" t="n">
        <f aca="false">E$9-D94</f>
        <v>1185.6714122668</v>
      </c>
      <c r="F94" s="127" t="n">
        <v>0</v>
      </c>
      <c r="G94" s="24" t="n">
        <f aca="false">C94-E94-F94</f>
        <v>416464.381668547</v>
      </c>
      <c r="I94" s="25" t="n">
        <f aca="false">I93+E94</f>
        <v>83535.618331453</v>
      </c>
      <c r="J94" s="24" t="n">
        <f aca="false">J93+D94</f>
        <v>157830.450458909</v>
      </c>
    </row>
    <row r="95" customFormat="false" ht="15" hidden="true" customHeight="false" outlineLevel="1" collapsed="false">
      <c r="B95" s="125" t="n">
        <v>46722</v>
      </c>
      <c r="C95" s="21" t="n">
        <f aca="false">G94</f>
        <v>416464.381668547</v>
      </c>
      <c r="D95" s="24" t="n">
        <f aca="false">C95*E$8</f>
        <v>1717.46390424465</v>
      </c>
      <c r="E95" s="25" t="n">
        <f aca="false">E$9-D95</f>
        <v>1190.56102094043</v>
      </c>
      <c r="F95" s="126" t="n">
        <v>0</v>
      </c>
      <c r="G95" s="24" t="n">
        <f aca="false">C95-E95-F95</f>
        <v>415273.820647607</v>
      </c>
      <c r="I95" s="25" t="n">
        <f aca="false">I94+E95</f>
        <v>84726.1793523934</v>
      </c>
      <c r="J95" s="24" t="n">
        <f aca="false">J94+D95</f>
        <v>159547.914363153</v>
      </c>
    </row>
    <row r="96" customFormat="false" ht="15" hidden="true" customHeight="false" outlineLevel="1" collapsed="false">
      <c r="B96" s="125" t="n">
        <v>46753</v>
      </c>
      <c r="C96" s="21" t="n">
        <f aca="false">G95</f>
        <v>415273.820647607</v>
      </c>
      <c r="D96" s="24" t="n">
        <f aca="false">C96*E$8</f>
        <v>1712.5541312382</v>
      </c>
      <c r="E96" s="25" t="n">
        <f aca="false">E$9-D96</f>
        <v>1195.47079394688</v>
      </c>
      <c r="F96" s="127" t="n">
        <v>0</v>
      </c>
      <c r="G96" s="24" t="n">
        <f aca="false">C96-E96-F96</f>
        <v>414078.34985366</v>
      </c>
      <c r="I96" s="25" t="n">
        <f aca="false">I95+E96</f>
        <v>85921.6501463403</v>
      </c>
      <c r="J96" s="24" t="n">
        <f aca="false">J95+D96</f>
        <v>161260.468494391</v>
      </c>
    </row>
    <row r="97" customFormat="false" ht="15" hidden="true" customHeight="false" outlineLevel="1" collapsed="false">
      <c r="B97" s="125" t="n">
        <v>46784</v>
      </c>
      <c r="C97" s="21" t="n">
        <f aca="false">G96</f>
        <v>414078.34985366</v>
      </c>
      <c r="D97" s="24" t="n">
        <f aca="false">C97*E$8</f>
        <v>1707.62411074291</v>
      </c>
      <c r="E97" s="25" t="n">
        <f aca="false">E$9-D97</f>
        <v>1200.40081444217</v>
      </c>
      <c r="F97" s="127" t="n">
        <v>0</v>
      </c>
      <c r="G97" s="24" t="n">
        <f aca="false">C97-E97-F97</f>
        <v>412877.949039218</v>
      </c>
      <c r="I97" s="25" t="n">
        <f aca="false">I96+E97</f>
        <v>87122.0509607824</v>
      </c>
      <c r="J97" s="24" t="n">
        <f aca="false">J96+D97</f>
        <v>162968.092605134</v>
      </c>
    </row>
    <row r="98" customFormat="false" ht="15" hidden="true" customHeight="false" outlineLevel="1" collapsed="false">
      <c r="B98" s="125" t="n">
        <v>46813</v>
      </c>
      <c r="C98" s="21" t="n">
        <f aca="false">G97</f>
        <v>412877.949039218</v>
      </c>
      <c r="D98" s="24" t="n">
        <f aca="false">C98*E$8</f>
        <v>1702.67375925986</v>
      </c>
      <c r="E98" s="25" t="n">
        <f aca="false">E$9-D98</f>
        <v>1205.35116592522</v>
      </c>
      <c r="F98" s="126" t="n">
        <v>0</v>
      </c>
      <c r="G98" s="24" t="n">
        <f aca="false">C98-E98-F98</f>
        <v>411672.597873292</v>
      </c>
      <c r="I98" s="25" t="n">
        <f aca="false">I97+E98</f>
        <v>88327.4021267077</v>
      </c>
      <c r="J98" s="24" t="n">
        <f aca="false">J97+D98</f>
        <v>164670.766364394</v>
      </c>
    </row>
    <row r="99" customFormat="false" ht="15" hidden="true" customHeight="false" outlineLevel="1" collapsed="false">
      <c r="B99" s="125" t="n">
        <v>46844</v>
      </c>
      <c r="C99" s="21" t="n">
        <f aca="false">G98</f>
        <v>411672.597873292</v>
      </c>
      <c r="D99" s="24" t="n">
        <f aca="false">C99*E$8</f>
        <v>1697.70299294577</v>
      </c>
      <c r="E99" s="25" t="n">
        <f aca="false">E$9-D99</f>
        <v>1210.3219322393</v>
      </c>
      <c r="F99" s="127" t="n">
        <v>0</v>
      </c>
      <c r="G99" s="24" t="n">
        <f aca="false">C99-E99-F99</f>
        <v>410462.275941053</v>
      </c>
      <c r="I99" s="25" t="n">
        <f aca="false">I98+E99</f>
        <v>89537.7240589469</v>
      </c>
      <c r="J99" s="24" t="n">
        <f aca="false">J98+D99</f>
        <v>166368.46935734</v>
      </c>
    </row>
    <row r="100" customFormat="false" ht="15" hidden="true" customHeight="false" outlineLevel="1" collapsed="false">
      <c r="B100" s="125" t="n">
        <v>46874</v>
      </c>
      <c r="C100" s="21" t="n">
        <f aca="false">G99</f>
        <v>410462.275941053</v>
      </c>
      <c r="D100" s="24" t="n">
        <f aca="false">C100*E$8</f>
        <v>1692.71172761161</v>
      </c>
      <c r="E100" s="25" t="n">
        <f aca="false">E$9-D100</f>
        <v>1215.31319757347</v>
      </c>
      <c r="F100" s="127" t="n">
        <v>0</v>
      </c>
      <c r="G100" s="24" t="n">
        <f aca="false">C100-E100-F100</f>
        <v>409246.96274348</v>
      </c>
      <c r="I100" s="25" t="n">
        <f aca="false">I99+E100</f>
        <v>90753.0372565204</v>
      </c>
      <c r="J100" s="24" t="n">
        <f aca="false">J99+D100</f>
        <v>168061.181084952</v>
      </c>
    </row>
    <row r="101" customFormat="false" ht="15" hidden="true" customHeight="false" outlineLevel="1" collapsed="false">
      <c r="B101" s="125" t="n">
        <v>46905</v>
      </c>
      <c r="C101" s="21" t="n">
        <f aca="false">G100</f>
        <v>409246.96274348</v>
      </c>
      <c r="D101" s="24" t="n">
        <f aca="false">C101*E$8</f>
        <v>1687.69987872114</v>
      </c>
      <c r="E101" s="25" t="n">
        <f aca="false">E$9-D101</f>
        <v>1220.32504646394</v>
      </c>
      <c r="F101" s="126" t="n">
        <v>0</v>
      </c>
      <c r="G101" s="24" t="n">
        <f aca="false">C101-E101-F101</f>
        <v>408026.637697016</v>
      </c>
      <c r="I101" s="25" t="n">
        <f aca="false">I100+E101</f>
        <v>91973.3623029844</v>
      </c>
      <c r="J101" s="24" t="n">
        <f aca="false">J100+D101</f>
        <v>169748.880963673</v>
      </c>
    </row>
    <row r="102" customFormat="false" ht="15" hidden="true" customHeight="false" outlineLevel="1" collapsed="false">
      <c r="B102" s="125" t="n">
        <v>46935</v>
      </c>
      <c r="C102" s="21" t="n">
        <f aca="false">G101</f>
        <v>408026.637697016</v>
      </c>
      <c r="D102" s="24" t="n">
        <f aca="false">C102*E$8</f>
        <v>1682.66736138953</v>
      </c>
      <c r="E102" s="25" t="n">
        <f aca="false">E$9-D102</f>
        <v>1225.35756379555</v>
      </c>
      <c r="F102" s="127" t="n">
        <v>0</v>
      </c>
      <c r="G102" s="24" t="n">
        <f aca="false">C102-E102-F102</f>
        <v>406801.28013322</v>
      </c>
      <c r="I102" s="25" t="n">
        <f aca="false">I101+E102</f>
        <v>93198.7198667799</v>
      </c>
      <c r="J102" s="24" t="n">
        <f aca="false">J101+D102</f>
        <v>171431.548325062</v>
      </c>
    </row>
    <row r="103" customFormat="false" ht="15" hidden="true" customHeight="false" outlineLevel="1" collapsed="false">
      <c r="B103" s="125" t="n">
        <v>46966</v>
      </c>
      <c r="C103" s="21" t="n">
        <f aca="false">G102</f>
        <v>406801.28013322</v>
      </c>
      <c r="D103" s="24" t="n">
        <f aca="false">C103*E$8</f>
        <v>1677.61409038186</v>
      </c>
      <c r="E103" s="25" t="n">
        <f aca="false">E$9-D103</f>
        <v>1230.41083480322</v>
      </c>
      <c r="F103" s="127" t="n">
        <v>0</v>
      </c>
      <c r="G103" s="24" t="n">
        <f aca="false">C103-E103-F103</f>
        <v>405570.869298417</v>
      </c>
      <c r="I103" s="25" t="n">
        <f aca="false">I102+E103</f>
        <v>94429.1307015831</v>
      </c>
      <c r="J103" s="24" t="n">
        <f aca="false">J102+D103</f>
        <v>173109.162415444</v>
      </c>
    </row>
    <row r="104" customFormat="false" ht="15" hidden="true" customHeight="false" outlineLevel="1" collapsed="false">
      <c r="B104" s="125" t="n">
        <v>46997</v>
      </c>
      <c r="C104" s="21" t="n">
        <f aca="false">G103</f>
        <v>405570.869298417</v>
      </c>
      <c r="D104" s="24" t="n">
        <f aca="false">C104*E$8</f>
        <v>1672.53998011173</v>
      </c>
      <c r="E104" s="25" t="n">
        <f aca="false">E$9-D104</f>
        <v>1235.48494507335</v>
      </c>
      <c r="F104" s="126" t="n">
        <v>0</v>
      </c>
      <c r="G104" s="24" t="n">
        <f aca="false">C104-E104-F104</f>
        <v>404335.384353343</v>
      </c>
      <c r="I104" s="25" t="n">
        <f aca="false">I103+E104</f>
        <v>95664.6156466565</v>
      </c>
      <c r="J104" s="24" t="n">
        <f aca="false">J103+D104</f>
        <v>174781.702395556</v>
      </c>
    </row>
    <row r="105" customFormat="false" ht="15" hidden="true" customHeight="false" outlineLevel="1" collapsed="false">
      <c r="B105" s="125" t="n">
        <v>47027</v>
      </c>
      <c r="C105" s="21" t="n">
        <f aca="false">G104</f>
        <v>404335.384353343</v>
      </c>
      <c r="D105" s="24" t="n">
        <f aca="false">C105*E$8</f>
        <v>1667.44494463979</v>
      </c>
      <c r="E105" s="25" t="n">
        <f aca="false">E$9-D105</f>
        <v>1240.57998054529</v>
      </c>
      <c r="F105" s="127" t="n">
        <v>0</v>
      </c>
      <c r="G105" s="24" t="n">
        <f aca="false">C105-E105-F105</f>
        <v>403094.804372798</v>
      </c>
      <c r="I105" s="25" t="n">
        <f aca="false">I104+E105</f>
        <v>96905.1956272018</v>
      </c>
      <c r="J105" s="24" t="n">
        <f aca="false">J104+D105</f>
        <v>176449.147340196</v>
      </c>
    </row>
    <row r="106" customFormat="false" ht="15" hidden="true" customHeight="false" outlineLevel="1" collapsed="false">
      <c r="B106" s="125" t="n">
        <v>47058</v>
      </c>
      <c r="C106" s="21" t="n">
        <f aca="false">G105</f>
        <v>403094.804372798</v>
      </c>
      <c r="D106" s="24" t="n">
        <f aca="false">C106*E$8</f>
        <v>1662.32889767227</v>
      </c>
      <c r="E106" s="25" t="n">
        <f aca="false">E$9-D106</f>
        <v>1245.69602751281</v>
      </c>
      <c r="F106" s="127" t="n">
        <v>0</v>
      </c>
      <c r="G106" s="24" t="n">
        <f aca="false">C106-E106-F106</f>
        <v>401849.108345285</v>
      </c>
      <c r="I106" s="25" t="n">
        <f aca="false">I105+E106</f>
        <v>98150.8916547146</v>
      </c>
      <c r="J106" s="24" t="n">
        <f aca="false">J105+D106</f>
        <v>178111.476237868</v>
      </c>
    </row>
    <row r="107" customFormat="false" ht="15" hidden="true" customHeight="false" outlineLevel="1" collapsed="false">
      <c r="B107" s="125" t="n">
        <v>47088</v>
      </c>
      <c r="C107" s="21" t="n">
        <f aca="false">G106</f>
        <v>401849.108345285</v>
      </c>
      <c r="D107" s="24" t="n">
        <f aca="false">C107*E$8</f>
        <v>1657.19175255954</v>
      </c>
      <c r="E107" s="25" t="n">
        <f aca="false">E$9-D107</f>
        <v>1250.83317262553</v>
      </c>
      <c r="F107" s="126" t="n">
        <v>0</v>
      </c>
      <c r="G107" s="24" t="n">
        <f aca="false">C107-E107-F107</f>
        <v>400598.27517266</v>
      </c>
      <c r="I107" s="25" t="n">
        <f aca="false">I106+E107</f>
        <v>99401.7248273401</v>
      </c>
      <c r="J107" s="24" t="n">
        <f aca="false">J106+D107</f>
        <v>179768.667990427</v>
      </c>
    </row>
    <row r="108" customFormat="false" ht="15" hidden="true" customHeight="false" outlineLevel="1" collapsed="false">
      <c r="B108" s="125" t="n">
        <v>47119</v>
      </c>
      <c r="C108" s="21" t="n">
        <f aca="false">G107</f>
        <v>400598.27517266</v>
      </c>
      <c r="D108" s="24" t="n">
        <f aca="false">C108*E$8</f>
        <v>1652.03342229464</v>
      </c>
      <c r="E108" s="25" t="n">
        <f aca="false">E$9-D108</f>
        <v>1255.99150289044</v>
      </c>
      <c r="F108" s="127" t="n">
        <v>0</v>
      </c>
      <c r="G108" s="24" t="n">
        <f aca="false">C108-E108-F108</f>
        <v>399342.28366977</v>
      </c>
      <c r="I108" s="25" t="n">
        <f aca="false">I107+E108</f>
        <v>100657.716330231</v>
      </c>
      <c r="J108" s="24" t="n">
        <f aca="false">J107+D108</f>
        <v>181420.701412722</v>
      </c>
    </row>
    <row r="109" customFormat="false" ht="15" hidden="true" customHeight="false" outlineLevel="1" collapsed="false">
      <c r="B109" s="125" t="n">
        <v>47150</v>
      </c>
      <c r="C109" s="21" t="n">
        <f aca="false">G108</f>
        <v>399342.28366977</v>
      </c>
      <c r="D109" s="24" t="n">
        <f aca="false">C109*E$8</f>
        <v>1646.85381951178</v>
      </c>
      <c r="E109" s="25" t="n">
        <f aca="false">E$9-D109</f>
        <v>1261.1711056733</v>
      </c>
      <c r="F109" s="127" t="n">
        <v>0</v>
      </c>
      <c r="G109" s="24" t="n">
        <f aca="false">C109-E109-F109</f>
        <v>398081.112564096</v>
      </c>
      <c r="I109" s="25" t="n">
        <f aca="false">I108+E109</f>
        <v>101918.887435904</v>
      </c>
      <c r="J109" s="24" t="n">
        <f aca="false">J108+D109</f>
        <v>183067.555232234</v>
      </c>
    </row>
    <row r="110" customFormat="false" ht="15" hidden="true" customHeight="false" outlineLevel="1" collapsed="false">
      <c r="B110" s="125" t="n">
        <v>47178</v>
      </c>
      <c r="C110" s="21" t="n">
        <f aca="false">G109</f>
        <v>398081.112564096</v>
      </c>
      <c r="D110" s="24" t="n">
        <f aca="false">C110*E$8</f>
        <v>1641.6528564849</v>
      </c>
      <c r="E110" s="25" t="n">
        <f aca="false">E$9-D110</f>
        <v>1266.37206870018</v>
      </c>
      <c r="F110" s="126" t="n">
        <v>0</v>
      </c>
      <c r="G110" s="24" t="n">
        <f aca="false">C110-E110-F110</f>
        <v>396814.740495396</v>
      </c>
      <c r="I110" s="25" t="n">
        <f aca="false">I109+E110</f>
        <v>103185.259504604</v>
      </c>
      <c r="J110" s="24" t="n">
        <f aca="false">J109+D110</f>
        <v>184709.208088719</v>
      </c>
    </row>
    <row r="111" customFormat="false" ht="15" hidden="true" customHeight="false" outlineLevel="1" collapsed="false">
      <c r="B111" s="125" t="n">
        <v>47209</v>
      </c>
      <c r="C111" s="21" t="n">
        <f aca="false">G110</f>
        <v>396814.740495396</v>
      </c>
      <c r="D111" s="24" t="n">
        <f aca="false">C111*E$8</f>
        <v>1636.43044512616</v>
      </c>
      <c r="E111" s="25" t="n">
        <f aca="false">E$9-D111</f>
        <v>1271.59448005892</v>
      </c>
      <c r="F111" s="127" t="n">
        <v>0</v>
      </c>
      <c r="G111" s="24" t="n">
        <f aca="false">C111-E111-F111</f>
        <v>395543.146015337</v>
      </c>
      <c r="I111" s="25" t="n">
        <f aca="false">I110+E111</f>
        <v>104456.853984663</v>
      </c>
      <c r="J111" s="24" t="n">
        <f aca="false">J110+D111</f>
        <v>186345.638533845</v>
      </c>
    </row>
    <row r="112" customFormat="false" ht="15" hidden="true" customHeight="false" outlineLevel="1" collapsed="false">
      <c r="B112" s="125" t="n">
        <v>47239</v>
      </c>
      <c r="C112" s="21" t="n">
        <f aca="false">G111</f>
        <v>395543.146015337</v>
      </c>
      <c r="D112" s="24" t="n">
        <f aca="false">C112*E$8</f>
        <v>1631.18649698445</v>
      </c>
      <c r="E112" s="25" t="n">
        <f aca="false">E$9-D112</f>
        <v>1276.83842820063</v>
      </c>
      <c r="F112" s="127" t="n">
        <v>0</v>
      </c>
      <c r="G112" s="24" t="n">
        <f aca="false">C112-E112-F112</f>
        <v>394266.307587136</v>
      </c>
      <c r="I112" s="25" t="n">
        <f aca="false">I111+E112</f>
        <v>105733.692412864</v>
      </c>
      <c r="J112" s="24" t="n">
        <f aca="false">J111+D112</f>
        <v>187976.825030829</v>
      </c>
    </row>
    <row r="113" customFormat="false" ht="15" hidden="true" customHeight="false" outlineLevel="1" collapsed="false">
      <c r="B113" s="125" t="n">
        <v>47270</v>
      </c>
      <c r="C113" s="21" t="n">
        <f aca="false">G112</f>
        <v>394266.307587136</v>
      </c>
      <c r="D113" s="24" t="n">
        <f aca="false">C113*E$8</f>
        <v>1625.92092324391</v>
      </c>
      <c r="E113" s="25" t="n">
        <f aca="false">E$9-D113</f>
        <v>1282.10400194117</v>
      </c>
      <c r="F113" s="126" t="n">
        <v>0</v>
      </c>
      <c r="G113" s="24" t="n">
        <f aca="false">C113-E113-F113</f>
        <v>392984.203585195</v>
      </c>
      <c r="I113" s="25" t="n">
        <f aca="false">I112+E113</f>
        <v>107015.796414805</v>
      </c>
      <c r="J113" s="24" t="n">
        <f aca="false">J112+D113</f>
        <v>189602.745954073</v>
      </c>
    </row>
    <row r="114" customFormat="false" ht="15" hidden="true" customHeight="false" outlineLevel="1" collapsed="false">
      <c r="B114" s="125" t="n">
        <v>47300</v>
      </c>
      <c r="C114" s="21" t="n">
        <f aca="false">G113</f>
        <v>392984.203585195</v>
      </c>
      <c r="D114" s="24" t="n">
        <f aca="false">C114*E$8</f>
        <v>1620.63363472238</v>
      </c>
      <c r="E114" s="25" t="n">
        <f aca="false">E$9-D114</f>
        <v>1287.3912904627</v>
      </c>
      <c r="F114" s="127" t="n">
        <v>0</v>
      </c>
      <c r="G114" s="24" t="n">
        <f aca="false">C114-E114-F114</f>
        <v>391696.812294733</v>
      </c>
      <c r="I114" s="25" t="n">
        <f aca="false">I113+E114</f>
        <v>108303.187705267</v>
      </c>
      <c r="J114" s="24" t="n">
        <f aca="false">J113+D114</f>
        <v>191223.379588796</v>
      </c>
    </row>
    <row r="115" customFormat="false" ht="15" hidden="true" customHeight="false" outlineLevel="1" collapsed="false">
      <c r="B115" s="125" t="n">
        <v>47331</v>
      </c>
      <c r="C115" s="21" t="n">
        <f aca="false">G114</f>
        <v>391696.812294733</v>
      </c>
      <c r="D115" s="24" t="n">
        <f aca="false">C115*E$8</f>
        <v>1615.32454186995</v>
      </c>
      <c r="E115" s="25" t="n">
        <f aca="false">E$9-D115</f>
        <v>1292.70038331513</v>
      </c>
      <c r="F115" s="127" t="n">
        <v>0</v>
      </c>
      <c r="G115" s="24" t="n">
        <f aca="false">C115-E115-F115</f>
        <v>390404.111911417</v>
      </c>
      <c r="I115" s="25" t="n">
        <f aca="false">I114+E115</f>
        <v>109595.888088583</v>
      </c>
      <c r="J115" s="24" t="n">
        <f aca="false">J114+D115</f>
        <v>192838.704130666</v>
      </c>
    </row>
    <row r="116" customFormat="false" ht="15" hidden="true" customHeight="false" outlineLevel="1" collapsed="false">
      <c r="B116" s="125" t="n">
        <v>47362</v>
      </c>
      <c r="C116" s="21" t="n">
        <f aca="false">G115</f>
        <v>390404.111911417</v>
      </c>
      <c r="D116" s="24" t="n">
        <f aca="false">C116*E$8</f>
        <v>1609.99355476739</v>
      </c>
      <c r="E116" s="25" t="n">
        <f aca="false">E$9-D116</f>
        <v>1298.03137041768</v>
      </c>
      <c r="F116" s="126" t="n">
        <v>0</v>
      </c>
      <c r="G116" s="24" t="n">
        <f aca="false">C116-E116-F116</f>
        <v>389106.080541</v>
      </c>
      <c r="I116" s="25" t="n">
        <f aca="false">I115+E116</f>
        <v>110893.919459</v>
      </c>
      <c r="J116" s="24" t="n">
        <f aca="false">J115+D116</f>
        <v>194448.697685433</v>
      </c>
    </row>
    <row r="117" customFormat="false" ht="15" hidden="true" customHeight="false" outlineLevel="1" collapsed="false">
      <c r="B117" s="125" t="n">
        <v>47392</v>
      </c>
      <c r="C117" s="21" t="n">
        <f aca="false">G116</f>
        <v>389106.080541</v>
      </c>
      <c r="D117" s="24" t="n">
        <f aca="false">C117*E$8</f>
        <v>1604.64058312469</v>
      </c>
      <c r="E117" s="25" t="n">
        <f aca="false">E$9-D117</f>
        <v>1303.38434206039</v>
      </c>
      <c r="F117" s="127" t="n">
        <v>0</v>
      </c>
      <c r="G117" s="24" t="n">
        <f aca="false">C117-E117-F117</f>
        <v>387802.696198939</v>
      </c>
      <c r="I117" s="25" t="n">
        <f aca="false">I116+E117</f>
        <v>112197.303801061</v>
      </c>
      <c r="J117" s="24" t="n">
        <f aca="false">J116+D117</f>
        <v>196053.338268558</v>
      </c>
    </row>
    <row r="118" customFormat="false" ht="15" hidden="true" customHeight="false" outlineLevel="1" collapsed="false">
      <c r="B118" s="125" t="n">
        <v>47423</v>
      </c>
      <c r="C118" s="21" t="n">
        <f aca="false">G117</f>
        <v>387802.696198939</v>
      </c>
      <c r="D118" s="24" t="n">
        <f aca="false">C118*E$8</f>
        <v>1599.26553627944</v>
      </c>
      <c r="E118" s="25" t="n">
        <f aca="false">E$9-D118</f>
        <v>1308.75938890564</v>
      </c>
      <c r="F118" s="127" t="n">
        <v>0</v>
      </c>
      <c r="G118" s="24" t="n">
        <f aca="false">C118-E118-F118</f>
        <v>386493.936810034</v>
      </c>
      <c r="I118" s="25" t="n">
        <f aca="false">I117+E118</f>
        <v>113506.063189966</v>
      </c>
      <c r="J118" s="24" t="n">
        <f aca="false">J117+D118</f>
        <v>197652.603804837</v>
      </c>
    </row>
    <row r="119" customFormat="false" ht="15" hidden="true" customHeight="false" outlineLevel="1" collapsed="false">
      <c r="B119" s="125" t="n">
        <v>47453</v>
      </c>
      <c r="C119" s="21" t="n">
        <f aca="false">G118</f>
        <v>386493.936810034</v>
      </c>
      <c r="D119" s="24" t="n">
        <f aca="false">C119*E$8</f>
        <v>1593.86832319538</v>
      </c>
      <c r="E119" s="25" t="n">
        <f aca="false">E$9-D119</f>
        <v>1314.1566019897</v>
      </c>
      <c r="F119" s="126" t="n">
        <v>0</v>
      </c>
      <c r="G119" s="24" t="n">
        <f aca="false">C119-E119-F119</f>
        <v>385179.780208044</v>
      </c>
      <c r="I119" s="25" t="n">
        <f aca="false">I118+E119</f>
        <v>114820.219791956</v>
      </c>
      <c r="J119" s="24" t="n">
        <f aca="false">J118+D119</f>
        <v>199246.472128033</v>
      </c>
    </row>
    <row r="120" customFormat="false" ht="15" hidden="true" customHeight="false" outlineLevel="1" collapsed="false">
      <c r="B120" s="125" t="n">
        <v>47484</v>
      </c>
      <c r="C120" s="21" t="n">
        <f aca="false">G119</f>
        <v>385179.780208044</v>
      </c>
      <c r="D120" s="24" t="n">
        <f aca="false">C120*E$8</f>
        <v>1588.44885246081</v>
      </c>
      <c r="E120" s="25" t="n">
        <f aca="false">E$9-D120</f>
        <v>1319.57607272427</v>
      </c>
      <c r="F120" s="127" t="n">
        <v>0</v>
      </c>
      <c r="G120" s="24" t="n">
        <f aca="false">C120-E120-F120</f>
        <v>383860.20413532</v>
      </c>
      <c r="I120" s="25" t="n">
        <f aca="false">I119+E120</f>
        <v>116139.79586468</v>
      </c>
      <c r="J120" s="24" t="n">
        <f aca="false">J119+D120</f>
        <v>200834.920980493</v>
      </c>
    </row>
    <row r="121" customFormat="false" ht="15" hidden="true" customHeight="false" outlineLevel="1" collapsed="false">
      <c r="B121" s="125" t="n">
        <v>47515</v>
      </c>
      <c r="C121" s="21" t="n">
        <f aca="false">G120</f>
        <v>383860.20413532</v>
      </c>
      <c r="D121" s="24" t="n">
        <f aca="false">C121*E$8</f>
        <v>1583.00703228707</v>
      </c>
      <c r="E121" s="25" t="n">
        <f aca="false">E$9-D121</f>
        <v>1325.01789289801</v>
      </c>
      <c r="F121" s="127" t="n">
        <v>0</v>
      </c>
      <c r="G121" s="24" t="n">
        <f aca="false">C121-E121-F121</f>
        <v>382535.186242422</v>
      </c>
      <c r="I121" s="25" t="n">
        <f aca="false">I120+E121</f>
        <v>117464.813757578</v>
      </c>
      <c r="J121" s="24" t="n">
        <f aca="false">J120+D121</f>
        <v>202417.92801278</v>
      </c>
    </row>
    <row r="122" customFormat="false" ht="15" hidden="true" customHeight="false" outlineLevel="1" collapsed="false">
      <c r="B122" s="125" t="n">
        <v>47543</v>
      </c>
      <c r="C122" s="21" t="n">
        <f aca="false">G121</f>
        <v>382535.186242422</v>
      </c>
      <c r="D122" s="24" t="n">
        <f aca="false">C122*E$8</f>
        <v>1577.54277050695</v>
      </c>
      <c r="E122" s="25" t="n">
        <f aca="false">E$9-D122</f>
        <v>1330.48215467812</v>
      </c>
      <c r="F122" s="126" t="n">
        <v>0</v>
      </c>
      <c r="G122" s="24" t="n">
        <f aca="false">C122-E122-F122</f>
        <v>381204.704087744</v>
      </c>
      <c r="I122" s="25" t="n">
        <f aca="false">I121+E122</f>
        <v>118795.295912256</v>
      </c>
      <c r="J122" s="24" t="n">
        <f aca="false">J121+D122</f>
        <v>203995.470783287</v>
      </c>
    </row>
    <row r="123" customFormat="false" ht="15" hidden="true" customHeight="false" outlineLevel="1" collapsed="false">
      <c r="B123" s="125" t="n">
        <v>47574</v>
      </c>
      <c r="C123" s="21" t="n">
        <f aca="false">G122</f>
        <v>381204.704087744</v>
      </c>
      <c r="D123" s="24" t="n">
        <f aca="false">C123*E$8</f>
        <v>1572.05597457318</v>
      </c>
      <c r="E123" s="25" t="n">
        <f aca="false">E$9-D123</f>
        <v>1335.9689506119</v>
      </c>
      <c r="F123" s="127" t="n">
        <v>0</v>
      </c>
      <c r="G123" s="24" t="n">
        <f aca="false">C123-E123-F123</f>
        <v>379868.735137132</v>
      </c>
      <c r="I123" s="25" t="n">
        <f aca="false">I122+E123</f>
        <v>120131.264862868</v>
      </c>
      <c r="J123" s="24" t="n">
        <f aca="false">J122+D123</f>
        <v>205567.526757861</v>
      </c>
    </row>
    <row r="124" customFormat="false" ht="15" hidden="true" customHeight="false" outlineLevel="1" collapsed="false">
      <c r="B124" s="125" t="n">
        <v>47604</v>
      </c>
      <c r="C124" s="21" t="n">
        <f aca="false">G123</f>
        <v>379868.735137132</v>
      </c>
      <c r="D124" s="24" t="n">
        <f aca="false">C124*E$8</f>
        <v>1566.5465515568</v>
      </c>
      <c r="E124" s="25" t="n">
        <f aca="false">E$9-D124</f>
        <v>1341.47837362828</v>
      </c>
      <c r="F124" s="127" t="n">
        <v>0</v>
      </c>
      <c r="G124" s="24" t="n">
        <f aca="false">C124-E124-F124</f>
        <v>378527.256763503</v>
      </c>
      <c r="I124" s="25" t="n">
        <f aca="false">I123+E124</f>
        <v>121472.743236497</v>
      </c>
      <c r="J124" s="24" t="n">
        <f aca="false">J123+D124</f>
        <v>207134.073309417</v>
      </c>
    </row>
    <row r="125" customFormat="false" ht="15" hidden="true" customHeight="false" outlineLevel="1" collapsed="false">
      <c r="B125" s="125" t="n">
        <v>47635</v>
      </c>
      <c r="C125" s="21" t="n">
        <f aca="false">G124</f>
        <v>378527.256763503</v>
      </c>
      <c r="D125" s="24" t="n">
        <f aca="false">C125*E$8</f>
        <v>1561.01440814563</v>
      </c>
      <c r="E125" s="25" t="n">
        <f aca="false">E$9-D125</f>
        <v>1347.01051703944</v>
      </c>
      <c r="F125" s="126" t="n">
        <v>0</v>
      </c>
      <c r="G125" s="24" t="n">
        <f aca="false">C125-E125-F125</f>
        <v>377180.246246464</v>
      </c>
      <c r="I125" s="25" t="n">
        <f aca="false">I124+E125</f>
        <v>122819.753753536</v>
      </c>
      <c r="J125" s="24" t="n">
        <f aca="false">J124+D125</f>
        <v>208695.087717563</v>
      </c>
    </row>
    <row r="126" customFormat="false" ht="15" hidden="true" customHeight="false" outlineLevel="1" collapsed="false">
      <c r="B126" s="125" t="n">
        <v>47665</v>
      </c>
      <c r="C126" s="21" t="n">
        <f aca="false">G125</f>
        <v>377180.246246464</v>
      </c>
      <c r="D126" s="24" t="n">
        <f aca="false">C126*E$8</f>
        <v>1555.4594506427</v>
      </c>
      <c r="E126" s="25" t="n">
        <f aca="false">E$9-D126</f>
        <v>1352.56547454237</v>
      </c>
      <c r="F126" s="127" t="n">
        <v>0</v>
      </c>
      <c r="G126" s="24" t="n">
        <f aca="false">C126-E126-F126</f>
        <v>375827.680771922</v>
      </c>
      <c r="I126" s="25" t="n">
        <f aca="false">I125+E126</f>
        <v>124172.319228078</v>
      </c>
      <c r="J126" s="24" t="n">
        <f aca="false">J125+D126</f>
        <v>210250.547168206</v>
      </c>
    </row>
    <row r="127" customFormat="false" ht="15" hidden="true" customHeight="false" outlineLevel="1" collapsed="false">
      <c r="B127" s="125" t="n">
        <v>47696</v>
      </c>
      <c r="C127" s="21" t="n">
        <f aca="false">G126</f>
        <v>375827.680771922</v>
      </c>
      <c r="D127" s="24" t="n">
        <f aca="false">C127*E$8</f>
        <v>1549.88158496462</v>
      </c>
      <c r="E127" s="25" t="n">
        <f aca="false">E$9-D127</f>
        <v>1358.14334022046</v>
      </c>
      <c r="F127" s="127" t="n">
        <v>0</v>
      </c>
      <c r="G127" s="24" t="n">
        <f aca="false">C127-E127-F127</f>
        <v>374469.537431701</v>
      </c>
      <c r="I127" s="25" t="n">
        <f aca="false">I126+E127</f>
        <v>125530.462568299</v>
      </c>
      <c r="J127" s="24" t="n">
        <f aca="false">J126+D127</f>
        <v>211800.42875317</v>
      </c>
    </row>
    <row r="128" customFormat="false" ht="15" hidden="true" customHeight="false" outlineLevel="1" collapsed="false">
      <c r="B128" s="125" t="n">
        <v>47727</v>
      </c>
      <c r="C128" s="21" t="n">
        <f aca="false">G127</f>
        <v>374469.537431701</v>
      </c>
      <c r="D128" s="24" t="n">
        <f aca="false">C128*E$8</f>
        <v>1544.28071664</v>
      </c>
      <c r="E128" s="25" t="n">
        <f aca="false">E$9-D128</f>
        <v>1363.74420854508</v>
      </c>
      <c r="F128" s="126" t="n">
        <v>0</v>
      </c>
      <c r="G128" s="24" t="n">
        <f aca="false">C128-E128-F128</f>
        <v>373105.793223156</v>
      </c>
      <c r="I128" s="25" t="n">
        <f aca="false">I127+E128</f>
        <v>126894.206776844</v>
      </c>
      <c r="J128" s="24" t="n">
        <f aca="false">J127+D128</f>
        <v>213344.70946981</v>
      </c>
    </row>
    <row r="129" customFormat="false" ht="15" hidden="true" customHeight="false" outlineLevel="1" collapsed="false">
      <c r="B129" s="125" t="n">
        <v>47757</v>
      </c>
      <c r="C129" s="21" t="n">
        <f aca="false">G128</f>
        <v>373105.793223156</v>
      </c>
      <c r="D129" s="24" t="n">
        <f aca="false">C129*E$8</f>
        <v>1538.65675080788</v>
      </c>
      <c r="E129" s="25" t="n">
        <f aca="false">E$9-D129</f>
        <v>1369.3681743772</v>
      </c>
      <c r="F129" s="127" t="n">
        <v>0</v>
      </c>
      <c r="G129" s="24" t="n">
        <f aca="false">C129-E129-F129</f>
        <v>371736.425048779</v>
      </c>
      <c r="I129" s="25" t="n">
        <f aca="false">I128+E129</f>
        <v>128263.574951221</v>
      </c>
      <c r="J129" s="24" t="n">
        <f aca="false">J128+D129</f>
        <v>214883.366220618</v>
      </c>
    </row>
    <row r="130" customFormat="false" ht="15" hidden="true" customHeight="false" outlineLevel="1" collapsed="false">
      <c r="B130" s="125" t="n">
        <v>47788</v>
      </c>
      <c r="C130" s="21" t="n">
        <f aca="false">G129</f>
        <v>371736.425048779</v>
      </c>
      <c r="D130" s="24" t="n">
        <f aca="false">C130*E$8</f>
        <v>1533.00959221609</v>
      </c>
      <c r="E130" s="25" t="n">
        <f aca="false">E$9-D130</f>
        <v>1375.01533296899</v>
      </c>
      <c r="F130" s="127" t="n">
        <v>0</v>
      </c>
      <c r="G130" s="24" t="n">
        <f aca="false">C130-E130-F130</f>
        <v>370361.40971581</v>
      </c>
      <c r="I130" s="25" t="n">
        <f aca="false">I129+E130</f>
        <v>129638.59028419</v>
      </c>
      <c r="J130" s="24" t="n">
        <f aca="false">J129+D130</f>
        <v>216416.375812834</v>
      </c>
    </row>
    <row r="131" customFormat="false" ht="15" hidden="true" customHeight="false" outlineLevel="1" collapsed="false">
      <c r="A131" s="0" t="s">
        <v>350</v>
      </c>
      <c r="B131" s="135" t="n">
        <v>47818</v>
      </c>
      <c r="C131" s="115" t="n">
        <f aca="false">G130</f>
        <v>370361.40971581</v>
      </c>
      <c r="D131" s="136" t="n">
        <f aca="false">C131*E$8</f>
        <v>1527.33914521965</v>
      </c>
      <c r="E131" s="137" t="n">
        <f aca="false">E$9-D131</f>
        <v>1380.68577996543</v>
      </c>
      <c r="F131" s="139" t="n">
        <v>0</v>
      </c>
      <c r="G131" s="136" t="n">
        <f aca="false">C131-E131-F131</f>
        <v>368980.723935845</v>
      </c>
      <c r="H131" s="5"/>
      <c r="I131" s="137" t="n">
        <f aca="false">I130+E131</f>
        <v>131019.276064156</v>
      </c>
      <c r="J131" s="136" t="n">
        <f aca="false">J130+D131</f>
        <v>217943.714958054</v>
      </c>
    </row>
    <row r="132" customFormat="false" ht="15" hidden="true" customHeight="false" outlineLevel="1" collapsed="false">
      <c r="B132" s="125" t="n">
        <v>47849</v>
      </c>
      <c r="C132" s="21" t="n">
        <f aca="false">G131</f>
        <v>368980.723935845</v>
      </c>
      <c r="D132" s="24" t="n">
        <f aca="false">C132*E$8</f>
        <v>1521.64531377914</v>
      </c>
      <c r="E132" s="25" t="n">
        <f aca="false">E$9-D132</f>
        <v>1386.37961140593</v>
      </c>
      <c r="F132" s="127" t="n">
        <v>0</v>
      </c>
      <c r="G132" s="24" t="n">
        <f aca="false">C132-E132-F132</f>
        <v>367594.344324439</v>
      </c>
      <c r="I132" s="25" t="n">
        <f aca="false">I131+E132</f>
        <v>132405.655675562</v>
      </c>
      <c r="J132" s="24" t="n">
        <f aca="false">J131+D132</f>
        <v>219465.360271833</v>
      </c>
    </row>
    <row r="133" customFormat="false" ht="15" hidden="true" customHeight="false" outlineLevel="1" collapsed="false">
      <c r="B133" s="125" t="n">
        <v>47880</v>
      </c>
      <c r="C133" s="21" t="n">
        <f aca="false">G132</f>
        <v>367594.344324439</v>
      </c>
      <c r="D133" s="24" t="n">
        <f aca="false">C133*E$8</f>
        <v>1515.92800145911</v>
      </c>
      <c r="E133" s="25" t="n">
        <f aca="false">E$9-D133</f>
        <v>1392.09692372597</v>
      </c>
      <c r="F133" s="127" t="n">
        <v>0</v>
      </c>
      <c r="G133" s="24" t="n">
        <f aca="false">C133-E133-F133</f>
        <v>366202.247400713</v>
      </c>
      <c r="I133" s="25" t="n">
        <f aca="false">I132+E133</f>
        <v>133797.752599287</v>
      </c>
      <c r="J133" s="24" t="n">
        <f aca="false">J132+D133</f>
        <v>220981.288273292</v>
      </c>
    </row>
    <row r="134" customFormat="false" ht="15" hidden="true" customHeight="false" outlineLevel="1" collapsed="false">
      <c r="B134" s="125" t="n">
        <v>47908</v>
      </c>
      <c r="C134" s="21" t="n">
        <f aca="false">G133</f>
        <v>366202.247400713</v>
      </c>
      <c r="D134" s="24" t="n">
        <f aca="false">C134*E$8</f>
        <v>1510.18711142637</v>
      </c>
      <c r="E134" s="25" t="n">
        <f aca="false">E$9-D134</f>
        <v>1397.8378137587</v>
      </c>
      <c r="F134" s="126" t="n">
        <v>0</v>
      </c>
      <c r="G134" s="24" t="n">
        <f aca="false">C134-E134-F134</f>
        <v>364804.409586954</v>
      </c>
      <c r="I134" s="25" t="n">
        <f aca="false">I133+E134</f>
        <v>135195.590413046</v>
      </c>
      <c r="J134" s="24" t="n">
        <f aca="false">J133+D134</f>
        <v>222491.475384719</v>
      </c>
    </row>
    <row r="135" customFormat="false" ht="15" hidden="true" customHeight="false" outlineLevel="1" collapsed="false">
      <c r="B135" s="125" t="n">
        <v>47939</v>
      </c>
      <c r="C135" s="21" t="n">
        <f aca="false">G134</f>
        <v>364804.409586954</v>
      </c>
      <c r="D135" s="24" t="n">
        <f aca="false">C135*E$8</f>
        <v>1504.42254644845</v>
      </c>
      <c r="E135" s="25" t="n">
        <f aca="false">E$9-D135</f>
        <v>1403.60237873663</v>
      </c>
      <c r="F135" s="127" t="n">
        <v>0</v>
      </c>
      <c r="G135" s="24" t="n">
        <f aca="false">C135-E135-F135</f>
        <v>363400.807208217</v>
      </c>
      <c r="I135" s="25" t="n">
        <f aca="false">I134+E135</f>
        <v>136599.192791783</v>
      </c>
      <c r="J135" s="24" t="n">
        <f aca="false">J134+D135</f>
        <v>223995.897931167</v>
      </c>
    </row>
    <row r="136" customFormat="false" ht="15" hidden="true" customHeight="false" outlineLevel="1" collapsed="false">
      <c r="B136" s="125" t="n">
        <v>47969</v>
      </c>
      <c r="C136" s="21" t="n">
        <f aca="false">G135</f>
        <v>363400.807208217</v>
      </c>
      <c r="D136" s="24" t="n">
        <f aca="false">C136*E$8</f>
        <v>1498.63420889187</v>
      </c>
      <c r="E136" s="25" t="n">
        <f aca="false">E$9-D136</f>
        <v>1409.39071629321</v>
      </c>
      <c r="F136" s="127" t="n">
        <v>0</v>
      </c>
      <c r="G136" s="24" t="n">
        <f aca="false">C136-E136-F136</f>
        <v>361991.416491924</v>
      </c>
      <c r="I136" s="25" t="n">
        <f aca="false">I135+E136</f>
        <v>138008.583508076</v>
      </c>
      <c r="J136" s="24" t="n">
        <f aca="false">J135+D136</f>
        <v>225494.532140059</v>
      </c>
    </row>
    <row r="137" customFormat="false" ht="15" hidden="true" customHeight="false" outlineLevel="1" collapsed="false">
      <c r="B137" s="125" t="n">
        <v>48000</v>
      </c>
      <c r="C137" s="21" t="n">
        <f aca="false">G136</f>
        <v>361991.416491924</v>
      </c>
      <c r="D137" s="24" t="n">
        <f aca="false">C137*E$8</f>
        <v>1492.82200072051</v>
      </c>
      <c r="E137" s="25" t="n">
        <f aca="false">E$9-D137</f>
        <v>1415.20292446456</v>
      </c>
      <c r="F137" s="126" t="n">
        <v>0</v>
      </c>
      <c r="G137" s="24" t="n">
        <f aca="false">C137-E137-F137</f>
        <v>360576.21356746</v>
      </c>
      <c r="I137" s="25" t="n">
        <f aca="false">I136+E137</f>
        <v>139423.786432541</v>
      </c>
      <c r="J137" s="24" t="n">
        <f aca="false">J136+D137</f>
        <v>226987.354140779</v>
      </c>
    </row>
    <row r="138" customFormat="false" ht="15" hidden="true" customHeight="false" outlineLevel="1" collapsed="false">
      <c r="B138" s="125" t="n">
        <v>48030</v>
      </c>
      <c r="C138" s="21" t="n">
        <f aca="false">G137</f>
        <v>360576.21356746</v>
      </c>
      <c r="D138" s="24" t="n">
        <f aca="false">C138*E$8</f>
        <v>1486.985823494</v>
      </c>
      <c r="E138" s="25" t="n">
        <f aca="false">E$9-D138</f>
        <v>1421.03910169108</v>
      </c>
      <c r="F138" s="127" t="n">
        <v>0</v>
      </c>
      <c r="G138" s="24" t="n">
        <f aca="false">C138-E138-F138</f>
        <v>359155.174465768</v>
      </c>
      <c r="I138" s="25" t="n">
        <f aca="false">I137+E138</f>
        <v>140844.825534232</v>
      </c>
      <c r="J138" s="24" t="n">
        <f aca="false">J137+D138</f>
        <v>228474.339964273</v>
      </c>
    </row>
    <row r="139" customFormat="false" ht="15" hidden="true" customHeight="false" outlineLevel="1" collapsed="false">
      <c r="B139" s="125" t="n">
        <v>48061</v>
      </c>
      <c r="C139" s="21" t="n">
        <f aca="false">G138</f>
        <v>359155.174465768</v>
      </c>
      <c r="D139" s="24" t="n">
        <f aca="false">C139*E$8</f>
        <v>1481.12557836596</v>
      </c>
      <c r="E139" s="25" t="n">
        <f aca="false">E$9-D139</f>
        <v>1426.89934681912</v>
      </c>
      <c r="F139" s="127" t="n">
        <v>0</v>
      </c>
      <c r="G139" s="24" t="n">
        <f aca="false">C139-E139-F139</f>
        <v>357728.275118949</v>
      </c>
      <c r="I139" s="25" t="n">
        <f aca="false">I138+E139</f>
        <v>142271.724881051</v>
      </c>
      <c r="J139" s="24" t="n">
        <f aca="false">J138+D139</f>
        <v>229955.465542639</v>
      </c>
    </row>
    <row r="140" customFormat="false" ht="15" hidden="true" customHeight="false" outlineLevel="1" collapsed="false">
      <c r="B140" s="125" t="n">
        <v>48092</v>
      </c>
      <c r="C140" s="21" t="n">
        <f aca="false">G139</f>
        <v>357728.275118949</v>
      </c>
      <c r="D140" s="24" t="n">
        <f aca="false">C140*E$8</f>
        <v>1475.24116608241</v>
      </c>
      <c r="E140" s="25" t="n">
        <f aca="false">E$9-D140</f>
        <v>1432.78375910267</v>
      </c>
      <c r="F140" s="126" t="n">
        <v>0</v>
      </c>
      <c r="G140" s="24" t="n">
        <f aca="false">C140-E140-F140</f>
        <v>356295.491359847</v>
      </c>
      <c r="I140" s="25" t="n">
        <f aca="false">I139+E140</f>
        <v>143704.508640153</v>
      </c>
      <c r="J140" s="24" t="n">
        <f aca="false">J139+D140</f>
        <v>231430.706708722</v>
      </c>
    </row>
    <row r="141" customFormat="false" ht="15" hidden="true" customHeight="false" outlineLevel="1" collapsed="false">
      <c r="B141" s="125" t="n">
        <v>48122</v>
      </c>
      <c r="C141" s="21" t="n">
        <f aca="false">G140</f>
        <v>356295.491359847</v>
      </c>
      <c r="D141" s="24" t="n">
        <f aca="false">C141*E$8</f>
        <v>1469.33248698004</v>
      </c>
      <c r="E141" s="25" t="n">
        <f aca="false">E$9-D141</f>
        <v>1438.69243820504</v>
      </c>
      <c r="F141" s="127" t="n">
        <v>0</v>
      </c>
      <c r="G141" s="24" t="n">
        <f aca="false">C141-E141-F141</f>
        <v>354856.798921642</v>
      </c>
      <c r="I141" s="25" t="n">
        <f aca="false">I140+E141</f>
        <v>145143.201078358</v>
      </c>
      <c r="J141" s="24" t="n">
        <f aca="false">J140+D141</f>
        <v>232900.039195702</v>
      </c>
    </row>
    <row r="142" customFormat="false" ht="15" hidden="true" customHeight="false" outlineLevel="1" collapsed="false">
      <c r="B142" s="125" t="n">
        <v>48153</v>
      </c>
      <c r="C142" s="21" t="n">
        <f aca="false">G141</f>
        <v>354856.798921642</v>
      </c>
      <c r="D142" s="24" t="n">
        <f aca="false">C142*E$8</f>
        <v>1463.39944098454</v>
      </c>
      <c r="E142" s="25" t="n">
        <f aca="false">E$9-D142</f>
        <v>1444.62548420054</v>
      </c>
      <c r="F142" s="127" t="n">
        <v>0</v>
      </c>
      <c r="G142" s="24" t="n">
        <f aca="false">C142-E142-F142</f>
        <v>353412.173437441</v>
      </c>
      <c r="I142" s="25" t="n">
        <f aca="false">I141+E142</f>
        <v>146587.826562559</v>
      </c>
      <c r="J142" s="24" t="n">
        <f aca="false">J141+D142</f>
        <v>234363.438636686</v>
      </c>
    </row>
    <row r="143" customFormat="false" ht="15" hidden="true" customHeight="false" outlineLevel="1" collapsed="false">
      <c r="B143" s="125" t="n">
        <v>48183</v>
      </c>
      <c r="C143" s="21" t="n">
        <f aca="false">G142</f>
        <v>353412.173437441</v>
      </c>
      <c r="D143" s="24" t="n">
        <f aca="false">C143*E$8</f>
        <v>1457.4419276089</v>
      </c>
      <c r="E143" s="25" t="n">
        <f aca="false">E$9-D143</f>
        <v>1450.58299757618</v>
      </c>
      <c r="F143" s="126" t="n">
        <v>0</v>
      </c>
      <c r="G143" s="24" t="n">
        <f aca="false">C143-E143-F143</f>
        <v>351961.590439865</v>
      </c>
      <c r="I143" s="25" t="n">
        <f aca="false">I142+E143</f>
        <v>148038.409560135</v>
      </c>
      <c r="J143" s="24" t="n">
        <f aca="false">J142+D143</f>
        <v>235820.880564295</v>
      </c>
    </row>
    <row r="144" customFormat="false" ht="15" hidden="true" customHeight="false" outlineLevel="1" collapsed="false">
      <c r="B144" s="125" t="n">
        <v>48214</v>
      </c>
      <c r="C144" s="21" t="n">
        <f aca="false">G143</f>
        <v>351961.590439865</v>
      </c>
      <c r="D144" s="24" t="n">
        <f aca="false">C144*E$8</f>
        <v>1451.45984595172</v>
      </c>
      <c r="E144" s="25" t="n">
        <f aca="false">E$9-D144</f>
        <v>1456.56507923336</v>
      </c>
      <c r="F144" s="127" t="n">
        <v>0</v>
      </c>
      <c r="G144" s="24" t="n">
        <f aca="false">C144-E144-F144</f>
        <v>350505.025360631</v>
      </c>
      <c r="I144" s="25" t="n">
        <f aca="false">I143+E144</f>
        <v>149494.974639369</v>
      </c>
      <c r="J144" s="24" t="n">
        <f aca="false">J143+D144</f>
        <v>237272.340410247</v>
      </c>
    </row>
    <row r="145" customFormat="false" ht="15" hidden="true" customHeight="false" outlineLevel="1" collapsed="false">
      <c r="B145" s="125" t="n">
        <v>48245</v>
      </c>
      <c r="C145" s="21" t="n">
        <f aca="false">G144</f>
        <v>350505.025360631</v>
      </c>
      <c r="D145" s="24" t="n">
        <f aca="false">C145*E$8</f>
        <v>1445.45309469548</v>
      </c>
      <c r="E145" s="25" t="n">
        <f aca="false">E$9-D145</f>
        <v>1462.5718304896</v>
      </c>
      <c r="F145" s="127" t="n">
        <v>0</v>
      </c>
      <c r="G145" s="24" t="n">
        <f aca="false">C145-E145-F145</f>
        <v>349042.453530142</v>
      </c>
      <c r="I145" s="25" t="n">
        <f aca="false">I144+E145</f>
        <v>150957.546469858</v>
      </c>
      <c r="J145" s="24" t="n">
        <f aca="false">J144+D145</f>
        <v>238717.793504942</v>
      </c>
    </row>
    <row r="146" customFormat="false" ht="15" hidden="true" customHeight="false" outlineLevel="1" collapsed="false">
      <c r="B146" s="125" t="n">
        <v>48274</v>
      </c>
      <c r="C146" s="21" t="n">
        <f aca="false">G145</f>
        <v>349042.453530142</v>
      </c>
      <c r="D146" s="24" t="n">
        <f aca="false">C146*E$8</f>
        <v>1439.42157210484</v>
      </c>
      <c r="E146" s="25" t="n">
        <f aca="false">E$9-D146</f>
        <v>1468.60335308024</v>
      </c>
      <c r="F146" s="126" t="n">
        <v>0</v>
      </c>
      <c r="G146" s="24" t="n">
        <f aca="false">C146-E146-F146</f>
        <v>347573.850177062</v>
      </c>
      <c r="I146" s="25" t="n">
        <f aca="false">I145+E146</f>
        <v>152426.149822938</v>
      </c>
      <c r="J146" s="24" t="n">
        <f aca="false">J145+D146</f>
        <v>240157.215077047</v>
      </c>
    </row>
    <row r="147" customFormat="false" ht="15" hidden="true" customHeight="false" outlineLevel="1" collapsed="false">
      <c r="B147" s="125" t="n">
        <v>48305</v>
      </c>
      <c r="C147" s="21" t="n">
        <f aca="false">G146</f>
        <v>347573.850177062</v>
      </c>
      <c r="D147" s="24" t="n">
        <f aca="false">C147*E$8</f>
        <v>1433.36517602491</v>
      </c>
      <c r="E147" s="25" t="n">
        <f aca="false">E$9-D147</f>
        <v>1474.65974916017</v>
      </c>
      <c r="F147" s="127" t="n">
        <v>0</v>
      </c>
      <c r="G147" s="24" t="n">
        <f aca="false">C147-E147-F147</f>
        <v>346099.190427901</v>
      </c>
      <c r="I147" s="25" t="n">
        <f aca="false">I146+E147</f>
        <v>153900.809572099</v>
      </c>
      <c r="J147" s="24" t="n">
        <f aca="false">J146+D147</f>
        <v>241590.580253072</v>
      </c>
    </row>
    <row r="148" customFormat="false" ht="15" hidden="true" customHeight="false" outlineLevel="1" collapsed="false">
      <c r="B148" s="125" t="n">
        <v>48335</v>
      </c>
      <c r="C148" s="21" t="n">
        <f aca="false">G147</f>
        <v>346099.190427901</v>
      </c>
      <c r="D148" s="24" t="n">
        <f aca="false">C148*E$8</f>
        <v>1427.28380387952</v>
      </c>
      <c r="E148" s="25" t="n">
        <f aca="false">E$9-D148</f>
        <v>1480.74112130556</v>
      </c>
      <c r="F148" s="127" t="n">
        <v>0</v>
      </c>
      <c r="G148" s="24" t="n">
        <f aca="false">C148-E148-F148</f>
        <v>344618.449306596</v>
      </c>
      <c r="I148" s="25" t="n">
        <f aca="false">I147+E148</f>
        <v>155381.550693404</v>
      </c>
      <c r="J148" s="24" t="n">
        <f aca="false">J147+D148</f>
        <v>243017.864056952</v>
      </c>
    </row>
    <row r="149" customFormat="false" ht="15" hidden="true" customHeight="false" outlineLevel="1" collapsed="false">
      <c r="B149" s="125" t="n">
        <v>48366</v>
      </c>
      <c r="C149" s="21" t="n">
        <f aca="false">G148</f>
        <v>344618.449306596</v>
      </c>
      <c r="D149" s="24" t="n">
        <f aca="false">C149*E$8</f>
        <v>1421.1773526695</v>
      </c>
      <c r="E149" s="25" t="n">
        <f aca="false">E$9-D149</f>
        <v>1486.84757251558</v>
      </c>
      <c r="F149" s="126" t="n">
        <v>0</v>
      </c>
      <c r="G149" s="24" t="n">
        <f aca="false">C149-E149-F149</f>
        <v>343131.60173408</v>
      </c>
      <c r="I149" s="25" t="n">
        <f aca="false">I148+E149</f>
        <v>156868.39826592</v>
      </c>
      <c r="J149" s="24" t="n">
        <f aca="false">J148+D149</f>
        <v>244439.041409621</v>
      </c>
    </row>
    <row r="150" customFormat="false" ht="15" hidden="true" customHeight="false" outlineLevel="1" collapsed="false">
      <c r="B150" s="125" t="n">
        <v>48396</v>
      </c>
      <c r="C150" s="21" t="n">
        <f aca="false">G149</f>
        <v>343131.60173408</v>
      </c>
      <c r="D150" s="24" t="n">
        <f aca="false">C150*E$8</f>
        <v>1415.04571897089</v>
      </c>
      <c r="E150" s="25" t="n">
        <f aca="false">E$9-D150</f>
        <v>1492.97920621419</v>
      </c>
      <c r="F150" s="127" t="n">
        <v>0</v>
      </c>
      <c r="G150" s="24" t="n">
        <f aca="false">C150-E150-F150</f>
        <v>341638.622527866</v>
      </c>
      <c r="I150" s="25" t="n">
        <f aca="false">I149+E150</f>
        <v>158361.377472134</v>
      </c>
      <c r="J150" s="24" t="n">
        <f aca="false">J149+D150</f>
        <v>245854.087128592</v>
      </c>
    </row>
    <row r="151" customFormat="false" ht="15" hidden="true" customHeight="false" outlineLevel="1" collapsed="false">
      <c r="B151" s="125" t="n">
        <v>48427</v>
      </c>
      <c r="C151" s="21" t="n">
        <f aca="false">G150</f>
        <v>341638.622527866</v>
      </c>
      <c r="D151" s="24" t="n">
        <f aca="false">C151*E$8</f>
        <v>1408.88879893324</v>
      </c>
      <c r="E151" s="25" t="n">
        <f aca="false">E$9-D151</f>
        <v>1499.13612625184</v>
      </c>
      <c r="F151" s="127" t="n">
        <v>0</v>
      </c>
      <c r="G151" s="24" t="n">
        <f aca="false">C151-E151-F151</f>
        <v>340139.486401614</v>
      </c>
      <c r="I151" s="25" t="n">
        <f aca="false">I150+E151</f>
        <v>159860.513598386</v>
      </c>
      <c r="J151" s="24" t="n">
        <f aca="false">J150+D151</f>
        <v>247262.975927525</v>
      </c>
    </row>
    <row r="152" customFormat="false" ht="15" hidden="true" customHeight="false" outlineLevel="1" collapsed="false">
      <c r="B152" s="125" t="n">
        <v>48458</v>
      </c>
      <c r="C152" s="21" t="n">
        <f aca="false">G151</f>
        <v>340139.486401614</v>
      </c>
      <c r="D152" s="24" t="n">
        <f aca="false">C152*E$8</f>
        <v>1402.70648827783</v>
      </c>
      <c r="E152" s="25" t="n">
        <f aca="false">E$9-D152</f>
        <v>1505.31843690724</v>
      </c>
      <c r="F152" s="126" t="n">
        <v>0</v>
      </c>
      <c r="G152" s="24" t="n">
        <f aca="false">C152-E152-F152</f>
        <v>338634.167964707</v>
      </c>
      <c r="I152" s="25" t="n">
        <f aca="false">I151+E152</f>
        <v>161365.832035293</v>
      </c>
      <c r="J152" s="24" t="n">
        <f aca="false">J151+D152</f>
        <v>248665.682415803</v>
      </c>
    </row>
    <row r="153" customFormat="false" ht="15" hidden="true" customHeight="false" outlineLevel="1" collapsed="false">
      <c r="B153" s="125" t="n">
        <v>48488</v>
      </c>
      <c r="C153" s="21" t="n">
        <f aca="false">G152</f>
        <v>338634.167964707</v>
      </c>
      <c r="D153" s="24" t="n">
        <f aca="false">C153*E$8</f>
        <v>1396.49868229591</v>
      </c>
      <c r="E153" s="25" t="n">
        <f aca="false">E$9-D153</f>
        <v>1511.52624288917</v>
      </c>
      <c r="F153" s="127" t="n">
        <v>0</v>
      </c>
      <c r="G153" s="24" t="n">
        <f aca="false">C153-E153-F153</f>
        <v>337122.641721818</v>
      </c>
      <c r="I153" s="25" t="n">
        <f aca="false">I152+E153</f>
        <v>162877.358278182</v>
      </c>
      <c r="J153" s="24" t="n">
        <f aca="false">J152+D153</f>
        <v>250062.181098099</v>
      </c>
    </row>
    <row r="154" customFormat="false" ht="15" hidden="true" customHeight="false" outlineLevel="1" collapsed="false">
      <c r="B154" s="125" t="n">
        <v>48519</v>
      </c>
      <c r="C154" s="21" t="n">
        <f aca="false">G153</f>
        <v>337122.641721818</v>
      </c>
      <c r="D154" s="24" t="n">
        <f aca="false">C154*E$8</f>
        <v>1390.26527584688</v>
      </c>
      <c r="E154" s="25" t="n">
        <f aca="false">E$9-D154</f>
        <v>1517.75964933819</v>
      </c>
      <c r="F154" s="127" t="n">
        <v>0</v>
      </c>
      <c r="G154" s="24" t="n">
        <f aca="false">C154-E154-F154</f>
        <v>335604.88207248</v>
      </c>
      <c r="I154" s="25" t="n">
        <f aca="false">I153+E154</f>
        <v>164395.11792752</v>
      </c>
      <c r="J154" s="24" t="n">
        <f aca="false">J153+D154</f>
        <v>251452.446373946</v>
      </c>
    </row>
    <row r="155" customFormat="false" ht="15" hidden="true" customHeight="false" outlineLevel="1" collapsed="false">
      <c r="B155" s="125" t="n">
        <v>48549</v>
      </c>
      <c r="C155" s="21" t="n">
        <f aca="false">G154</f>
        <v>335604.88207248</v>
      </c>
      <c r="D155" s="24" t="n">
        <f aca="false">C155*E$8</f>
        <v>1384.00616335661</v>
      </c>
      <c r="E155" s="25" t="n">
        <f aca="false">E$9-D155</f>
        <v>1524.01876182847</v>
      </c>
      <c r="F155" s="126" t="n">
        <v>0</v>
      </c>
      <c r="G155" s="24" t="n">
        <f aca="false">C155-E155-F155</f>
        <v>334080.863310651</v>
      </c>
      <c r="I155" s="25" t="n">
        <f aca="false">I154+E155</f>
        <v>165919.136689349</v>
      </c>
      <c r="J155" s="24" t="n">
        <f aca="false">J154+D155</f>
        <v>252836.452537302</v>
      </c>
    </row>
    <row r="156" customFormat="false" ht="15" hidden="true" customHeight="false" outlineLevel="1" collapsed="false">
      <c r="B156" s="125" t="n">
        <v>48580</v>
      </c>
      <c r="C156" s="21" t="n">
        <f aca="false">G155</f>
        <v>334080.863310651</v>
      </c>
      <c r="D156" s="24" t="n">
        <f aca="false">C156*E$8</f>
        <v>1377.72123881553</v>
      </c>
      <c r="E156" s="25" t="n">
        <f aca="false">E$9-D156</f>
        <v>1530.30368636955</v>
      </c>
      <c r="F156" s="127" t="n">
        <v>0</v>
      </c>
      <c r="G156" s="24" t="n">
        <f aca="false">C156-E156-F156</f>
        <v>332550.559624282</v>
      </c>
      <c r="I156" s="25" t="n">
        <f aca="false">I155+E156</f>
        <v>167449.440375718</v>
      </c>
      <c r="J156" s="24" t="n">
        <f aca="false">J155+D156</f>
        <v>254214.173776118</v>
      </c>
    </row>
    <row r="157" customFormat="false" ht="15" hidden="true" customHeight="false" outlineLevel="1" collapsed="false">
      <c r="B157" s="125" t="n">
        <v>48611</v>
      </c>
      <c r="C157" s="21" t="n">
        <f aca="false">G156</f>
        <v>332550.559624282</v>
      </c>
      <c r="D157" s="24" t="n">
        <f aca="false">C157*E$8</f>
        <v>1371.41039577694</v>
      </c>
      <c r="E157" s="25" t="n">
        <f aca="false">E$9-D157</f>
        <v>1536.61452940813</v>
      </c>
      <c r="F157" s="127" t="n">
        <v>0</v>
      </c>
      <c r="G157" s="24" t="n">
        <f aca="false">C157-E157-F157</f>
        <v>331013.945094874</v>
      </c>
      <c r="I157" s="25" t="n">
        <f aca="false">I156+E157</f>
        <v>168986.054905127</v>
      </c>
      <c r="J157" s="24" t="n">
        <f aca="false">J156+D157</f>
        <v>255585.584171895</v>
      </c>
    </row>
    <row r="158" customFormat="false" ht="15" hidden="true" customHeight="false" outlineLevel="1" collapsed="false">
      <c r="B158" s="125" t="n">
        <v>48639</v>
      </c>
      <c r="C158" s="21" t="n">
        <f aca="false">G157</f>
        <v>331013.945094874</v>
      </c>
      <c r="D158" s="24" t="n">
        <f aca="false">C158*E$8</f>
        <v>1365.07352735515</v>
      </c>
      <c r="E158" s="25" t="n">
        <f aca="false">E$9-D158</f>
        <v>1542.95139782992</v>
      </c>
      <c r="F158" s="126" t="n">
        <v>0</v>
      </c>
      <c r="G158" s="24" t="n">
        <f aca="false">C158-E158-F158</f>
        <v>329470.993697044</v>
      </c>
      <c r="I158" s="25" t="n">
        <f aca="false">I157+E158</f>
        <v>170529.006302956</v>
      </c>
      <c r="J158" s="24" t="n">
        <f aca="false">J157+D158</f>
        <v>256950.65769925</v>
      </c>
    </row>
    <row r="159" customFormat="false" ht="15" hidden="true" customHeight="false" outlineLevel="1" collapsed="false">
      <c r="B159" s="125" t="n">
        <v>48670</v>
      </c>
      <c r="C159" s="21" t="n">
        <f aca="false">G158</f>
        <v>329470.993697044</v>
      </c>
      <c r="D159" s="24" t="n">
        <f aca="false">C159*E$8</f>
        <v>1358.71052622368</v>
      </c>
      <c r="E159" s="25" t="n">
        <f aca="false">E$9-D159</f>
        <v>1549.3143989614</v>
      </c>
      <c r="F159" s="127" t="n">
        <v>0</v>
      </c>
      <c r="G159" s="24" t="n">
        <f aca="false">C159-E159-F159</f>
        <v>327921.679298082</v>
      </c>
      <c r="I159" s="25" t="n">
        <f aca="false">I158+E159</f>
        <v>172078.320701918</v>
      </c>
      <c r="J159" s="24" t="n">
        <f aca="false">J158+D159</f>
        <v>258309.368225474</v>
      </c>
    </row>
    <row r="160" customFormat="false" ht="15" hidden="true" customHeight="false" outlineLevel="1" collapsed="false">
      <c r="B160" s="125" t="n">
        <v>48700</v>
      </c>
      <c r="C160" s="21" t="n">
        <f aca="false">G159</f>
        <v>327921.679298082</v>
      </c>
      <c r="D160" s="24" t="n">
        <f aca="false">C160*E$8</f>
        <v>1352.32128461343</v>
      </c>
      <c r="E160" s="25" t="n">
        <f aca="false">E$9-D160</f>
        <v>1555.70364057165</v>
      </c>
      <c r="F160" s="127" t="n">
        <v>0</v>
      </c>
      <c r="G160" s="24" t="n">
        <f aca="false">C160-E160-F160</f>
        <v>326365.975657511</v>
      </c>
      <c r="I160" s="25" t="n">
        <f aca="false">I159+E160</f>
        <v>173634.02434249</v>
      </c>
      <c r="J160" s="24" t="n">
        <f aca="false">J159+D160</f>
        <v>259661.689510087</v>
      </c>
    </row>
    <row r="161" customFormat="false" ht="15" hidden="true" customHeight="false" outlineLevel="1" collapsed="false">
      <c r="B161" s="125" t="n">
        <v>48731</v>
      </c>
      <c r="C161" s="21" t="n">
        <f aca="false">G160</f>
        <v>326365.975657511</v>
      </c>
      <c r="D161" s="24" t="n">
        <f aca="false">C161*E$8</f>
        <v>1345.90569431089</v>
      </c>
      <c r="E161" s="25" t="n">
        <f aca="false">E$9-D161</f>
        <v>1562.11923087418</v>
      </c>
      <c r="F161" s="126" t="n">
        <v>0</v>
      </c>
      <c r="G161" s="24" t="n">
        <f aca="false">C161-E161-F161</f>
        <v>324803.856426636</v>
      </c>
      <c r="I161" s="25" t="n">
        <f aca="false">I160+E161</f>
        <v>175196.143573364</v>
      </c>
      <c r="J161" s="24" t="n">
        <f aca="false">J160+D161</f>
        <v>261007.595204398</v>
      </c>
    </row>
    <row r="162" customFormat="false" ht="15" hidden="true" customHeight="false" outlineLevel="1" collapsed="false">
      <c r="B162" s="125" t="n">
        <v>48761</v>
      </c>
      <c r="C162" s="21" t="n">
        <f aca="false">G161</f>
        <v>324803.856426636</v>
      </c>
      <c r="D162" s="24" t="n">
        <f aca="false">C162*E$8</f>
        <v>1339.46364665629</v>
      </c>
      <c r="E162" s="25" t="n">
        <f aca="false">E$9-D162</f>
        <v>1568.56127852878</v>
      </c>
      <c r="F162" s="127" t="n">
        <v>0</v>
      </c>
      <c r="G162" s="24" t="n">
        <f aca="false">C162-E162-F162</f>
        <v>323235.295148108</v>
      </c>
      <c r="I162" s="25" t="n">
        <f aca="false">I161+E162</f>
        <v>176764.704851892</v>
      </c>
      <c r="J162" s="24" t="n">
        <f aca="false">J161+D162</f>
        <v>262347.058851054</v>
      </c>
    </row>
    <row r="163" customFormat="false" ht="15" hidden="true" customHeight="false" outlineLevel="1" collapsed="false">
      <c r="B163" s="125" t="n">
        <v>48792</v>
      </c>
      <c r="C163" s="21" t="n">
        <f aca="false">G162</f>
        <v>323235.295148108</v>
      </c>
      <c r="D163" s="24" t="n">
        <f aca="false">C163*E$8</f>
        <v>1332.99503254174</v>
      </c>
      <c r="E163" s="25" t="n">
        <f aca="false">E$9-D163</f>
        <v>1575.02989264334</v>
      </c>
      <c r="F163" s="127" t="n">
        <v>0</v>
      </c>
      <c r="G163" s="24" t="n">
        <f aca="false">C163-E163-F163</f>
        <v>321660.265255464</v>
      </c>
      <c r="I163" s="25" t="n">
        <f aca="false">I162+E163</f>
        <v>178339.734744536</v>
      </c>
      <c r="J163" s="24" t="n">
        <f aca="false">J162+D163</f>
        <v>263680.053883596</v>
      </c>
    </row>
    <row r="164" customFormat="false" ht="15" hidden="true" customHeight="false" outlineLevel="1" collapsed="false">
      <c r="B164" s="125" t="n">
        <v>48823</v>
      </c>
      <c r="C164" s="21" t="n">
        <f aca="false">G163</f>
        <v>321660.265255464</v>
      </c>
      <c r="D164" s="24" t="n">
        <f aca="false">C164*E$8</f>
        <v>1326.49974240941</v>
      </c>
      <c r="E164" s="25" t="n">
        <f aca="false">E$9-D164</f>
        <v>1581.52518277567</v>
      </c>
      <c r="F164" s="126" t="n">
        <v>0</v>
      </c>
      <c r="G164" s="24" t="n">
        <f aca="false">C164-E164-F164</f>
        <v>320078.740072689</v>
      </c>
      <c r="I164" s="25" t="n">
        <f aca="false">I163+E164</f>
        <v>179921.259927311</v>
      </c>
      <c r="J164" s="24" t="n">
        <f aca="false">J163+D164</f>
        <v>265006.553626006</v>
      </c>
    </row>
    <row r="165" customFormat="false" ht="15" hidden="true" customHeight="false" outlineLevel="1" collapsed="false">
      <c r="B165" s="125" t="n">
        <v>48853</v>
      </c>
      <c r="C165" s="21" t="n">
        <f aca="false">G164</f>
        <v>320078.740072689</v>
      </c>
      <c r="D165" s="24" t="n">
        <f aca="false">C165*E$8</f>
        <v>1319.97766624964</v>
      </c>
      <c r="E165" s="25" t="n">
        <f aca="false">E$9-D165</f>
        <v>1588.04725893544</v>
      </c>
      <c r="F165" s="127" t="n">
        <v>0</v>
      </c>
      <c r="G165" s="24" t="n">
        <f aca="false">C165-E165-F165</f>
        <v>318490.692813753</v>
      </c>
      <c r="I165" s="25" t="n">
        <f aca="false">I164+E165</f>
        <v>181509.307186247</v>
      </c>
      <c r="J165" s="24" t="n">
        <f aca="false">J164+D165</f>
        <v>266326.531292255</v>
      </c>
    </row>
    <row r="166" customFormat="false" ht="15" hidden="true" customHeight="false" outlineLevel="1" collapsed="false">
      <c r="B166" s="125" t="n">
        <v>48884</v>
      </c>
      <c r="C166" s="21" t="n">
        <f aca="false">G165</f>
        <v>318490.692813753</v>
      </c>
      <c r="D166" s="24" t="n">
        <f aca="false">C166*E$8</f>
        <v>1313.42869359914</v>
      </c>
      <c r="E166" s="25" t="n">
        <f aca="false">E$9-D166</f>
        <v>1594.59623158594</v>
      </c>
      <c r="F166" s="127" t="n">
        <v>0</v>
      </c>
      <c r="G166" s="24" t="n">
        <f aca="false">C166-E166-F166</f>
        <v>316896.096582167</v>
      </c>
      <c r="I166" s="25" t="n">
        <f aca="false">I165+E166</f>
        <v>183103.903417833</v>
      </c>
      <c r="J166" s="24" t="n">
        <f aca="false">J165+D166</f>
        <v>267639.959985854</v>
      </c>
    </row>
    <row r="167" customFormat="false" ht="15" hidden="true" customHeight="false" outlineLevel="1" collapsed="false">
      <c r="B167" s="125" t="n">
        <v>48914</v>
      </c>
      <c r="C167" s="21" t="n">
        <f aca="false">G166</f>
        <v>316896.096582167</v>
      </c>
      <c r="D167" s="24" t="n">
        <f aca="false">C167*E$8</f>
        <v>1306.85271353904</v>
      </c>
      <c r="E167" s="25" t="n">
        <f aca="false">E$9-D167</f>
        <v>1601.17221164604</v>
      </c>
      <c r="F167" s="126" t="n">
        <v>0</v>
      </c>
      <c r="G167" s="24" t="n">
        <f aca="false">C167-E167-F167</f>
        <v>315294.924370521</v>
      </c>
      <c r="I167" s="25" t="n">
        <f aca="false">I166+E167</f>
        <v>184705.075629479</v>
      </c>
      <c r="J167" s="24" t="n">
        <f aca="false">J166+D167</f>
        <v>268946.812699393</v>
      </c>
    </row>
    <row r="168" customFormat="false" ht="15" hidden="true" customHeight="false" outlineLevel="1" collapsed="false">
      <c r="B168" s="125" t="n">
        <v>48945</v>
      </c>
      <c r="C168" s="21" t="n">
        <f aca="false">G167</f>
        <v>315294.924370521</v>
      </c>
      <c r="D168" s="24" t="n">
        <f aca="false">C168*E$8</f>
        <v>1300.24961469307</v>
      </c>
      <c r="E168" s="25" t="n">
        <f aca="false">E$9-D168</f>
        <v>1607.775310492</v>
      </c>
      <c r="F168" s="127" t="n">
        <v>0</v>
      </c>
      <c r="G168" s="24" t="n">
        <f aca="false">C168-E168-F168</f>
        <v>313687.149060029</v>
      </c>
      <c r="I168" s="25" t="n">
        <f aca="false">I167+E168</f>
        <v>186312.850939971</v>
      </c>
      <c r="J168" s="24" t="n">
        <f aca="false">J167+D168</f>
        <v>270247.062314086</v>
      </c>
    </row>
    <row r="169" customFormat="false" ht="15" hidden="true" customHeight="false" outlineLevel="1" collapsed="false">
      <c r="B169" s="125" t="n">
        <v>48976</v>
      </c>
      <c r="C169" s="21" t="n">
        <f aca="false">G168</f>
        <v>313687.149060029</v>
      </c>
      <c r="D169" s="24" t="n">
        <f aca="false">C169*E$8</f>
        <v>1293.61928522566</v>
      </c>
      <c r="E169" s="25" t="n">
        <f aca="false">E$9-D169</f>
        <v>1614.40563995942</v>
      </c>
      <c r="F169" s="127" t="n">
        <v>0</v>
      </c>
      <c r="G169" s="24" t="n">
        <f aca="false">C169-E169-F169</f>
        <v>312072.74342007</v>
      </c>
      <c r="I169" s="25" t="n">
        <f aca="false">I168+E169</f>
        <v>187927.25657993</v>
      </c>
      <c r="J169" s="24" t="n">
        <f aca="false">J168+D169</f>
        <v>271540.681599312</v>
      </c>
    </row>
    <row r="170" customFormat="false" ht="15" hidden="true" customHeight="false" outlineLevel="1" collapsed="false">
      <c r="B170" s="125" t="n">
        <v>49004</v>
      </c>
      <c r="C170" s="21" t="n">
        <f aca="false">G169</f>
        <v>312072.74342007</v>
      </c>
      <c r="D170" s="24" t="n">
        <f aca="false">C170*E$8</f>
        <v>1286.96161284001</v>
      </c>
      <c r="E170" s="25" t="n">
        <f aca="false">E$9-D170</f>
        <v>1621.06331234506</v>
      </c>
      <c r="F170" s="126" t="n">
        <v>0</v>
      </c>
      <c r="G170" s="24" t="n">
        <f aca="false">C170-E170-F170</f>
        <v>310451.680107725</v>
      </c>
      <c r="I170" s="25" t="n">
        <f aca="false">I169+E170</f>
        <v>189548.319892275</v>
      </c>
      <c r="J170" s="24" t="n">
        <f aca="false">J169+D170</f>
        <v>272827.643212152</v>
      </c>
    </row>
    <row r="171" customFormat="false" ht="15" hidden="true" customHeight="false" outlineLevel="1" collapsed="false">
      <c r="B171" s="125" t="n">
        <v>49035</v>
      </c>
      <c r="C171" s="21" t="n">
        <f aca="false">G170</f>
        <v>310451.680107725</v>
      </c>
      <c r="D171" s="24" t="n">
        <f aca="false">C171*E$8</f>
        <v>1280.27648477626</v>
      </c>
      <c r="E171" s="25" t="n">
        <f aca="false">E$9-D171</f>
        <v>1627.74844040882</v>
      </c>
      <c r="F171" s="127" t="n">
        <v>0</v>
      </c>
      <c r="G171" s="24" t="n">
        <f aca="false">C171-E171-F171</f>
        <v>308823.931667316</v>
      </c>
      <c r="I171" s="25" t="n">
        <f aca="false">I170+E171</f>
        <v>191176.068332684</v>
      </c>
      <c r="J171" s="24" t="n">
        <f aca="false">J170+D171</f>
        <v>274107.919696928</v>
      </c>
    </row>
    <row r="172" customFormat="false" ht="15" hidden="true" customHeight="false" outlineLevel="1" collapsed="false">
      <c r="B172" s="125" t="n">
        <v>49065</v>
      </c>
      <c r="C172" s="21" t="n">
        <f aca="false">G171</f>
        <v>308823.931667316</v>
      </c>
      <c r="D172" s="24" t="n">
        <f aca="false">C172*E$8</f>
        <v>1273.56378780949</v>
      </c>
      <c r="E172" s="25" t="n">
        <f aca="false">E$9-D172</f>
        <v>1634.46113737559</v>
      </c>
      <c r="F172" s="127" t="n">
        <v>0</v>
      </c>
      <c r="G172" s="24" t="n">
        <f aca="false">C172-E172-F172</f>
        <v>307189.47052994</v>
      </c>
      <c r="I172" s="25" t="n">
        <f aca="false">I171+E172</f>
        <v>192810.52947006</v>
      </c>
      <c r="J172" s="24" t="n">
        <f aca="false">J171+D172</f>
        <v>275381.483484738</v>
      </c>
    </row>
    <row r="173" customFormat="false" ht="15" hidden="true" customHeight="false" outlineLevel="1" collapsed="false">
      <c r="B173" s="125" t="n">
        <v>49096</v>
      </c>
      <c r="C173" s="21" t="n">
        <f aca="false">G172</f>
        <v>307189.47052994</v>
      </c>
      <c r="D173" s="24" t="n">
        <f aca="false">C173*E$8</f>
        <v>1266.82340824789</v>
      </c>
      <c r="E173" s="25" t="n">
        <f aca="false">E$9-D173</f>
        <v>1641.20151693719</v>
      </c>
      <c r="F173" s="126" t="n">
        <v>0</v>
      </c>
      <c r="G173" s="24" t="n">
        <f aca="false">C173-E173-F173</f>
        <v>305548.269013003</v>
      </c>
      <c r="I173" s="25" t="n">
        <f aca="false">I172+E173</f>
        <v>194451.730986997</v>
      </c>
      <c r="J173" s="24" t="n">
        <f aca="false">J172+D173</f>
        <v>276648.306892986</v>
      </c>
    </row>
    <row r="174" customFormat="false" ht="15" hidden="true" customHeight="false" outlineLevel="1" collapsed="false">
      <c r="B174" s="125" t="n">
        <v>49126</v>
      </c>
      <c r="C174" s="21" t="n">
        <f aca="false">G173</f>
        <v>305548.269013003</v>
      </c>
      <c r="D174" s="24" t="n">
        <f aca="false">C174*E$8</f>
        <v>1260.05523193077</v>
      </c>
      <c r="E174" s="25" t="n">
        <f aca="false">E$9-D174</f>
        <v>1647.9696932543</v>
      </c>
      <c r="F174" s="127" t="n">
        <v>0</v>
      </c>
      <c r="G174" s="24" t="n">
        <f aca="false">C174-E174-F174</f>
        <v>303900.299319749</v>
      </c>
      <c r="I174" s="25" t="n">
        <f aca="false">I173+E174</f>
        <v>196099.700680251</v>
      </c>
      <c r="J174" s="24" t="n">
        <f aca="false">J173+D174</f>
        <v>277908.362124916</v>
      </c>
    </row>
    <row r="175" customFormat="false" ht="15" hidden="true" customHeight="false" outlineLevel="1" collapsed="false">
      <c r="B175" s="125" t="n">
        <v>49157</v>
      </c>
      <c r="C175" s="21" t="n">
        <f aca="false">G174</f>
        <v>303900.299319749</v>
      </c>
      <c r="D175" s="24" t="n">
        <f aca="false">C175*E$8</f>
        <v>1253.25914422667</v>
      </c>
      <c r="E175" s="25" t="n">
        <f aca="false">E$9-D175</f>
        <v>1654.7657809584</v>
      </c>
      <c r="F175" s="127" t="n">
        <v>0</v>
      </c>
      <c r="G175" s="24" t="n">
        <f aca="false">C175-E175-F175</f>
        <v>302245.53353879</v>
      </c>
      <c r="I175" s="25" t="n">
        <f aca="false">I174+E175</f>
        <v>197754.46646121</v>
      </c>
      <c r="J175" s="24" t="n">
        <f aca="false">J174+D175</f>
        <v>279161.621269143</v>
      </c>
    </row>
    <row r="176" customFormat="false" ht="15" hidden="true" customHeight="false" outlineLevel="1" collapsed="false">
      <c r="B176" s="125" t="n">
        <v>49188</v>
      </c>
      <c r="C176" s="21" t="n">
        <f aca="false">G175</f>
        <v>302245.53353879</v>
      </c>
      <c r="D176" s="24" t="n">
        <f aca="false">C176*E$8</f>
        <v>1246.43503003139</v>
      </c>
      <c r="E176" s="25" t="n">
        <f aca="false">E$9-D176</f>
        <v>1661.58989515369</v>
      </c>
      <c r="F176" s="126" t="n">
        <v>0</v>
      </c>
      <c r="G176" s="24" t="n">
        <f aca="false">C176-E176-F176</f>
        <v>300583.943643637</v>
      </c>
      <c r="I176" s="25" t="n">
        <f aca="false">I175+E176</f>
        <v>199416.056356363</v>
      </c>
      <c r="J176" s="24" t="n">
        <f aca="false">J175+D176</f>
        <v>280408.056299174</v>
      </c>
    </row>
    <row r="177" customFormat="false" ht="15" hidden="true" customHeight="false" outlineLevel="1" collapsed="false">
      <c r="B177" s="125" t="n">
        <v>49218</v>
      </c>
      <c r="C177" s="21" t="n">
        <f aca="false">G176</f>
        <v>300583.943643637</v>
      </c>
      <c r="D177" s="24" t="n">
        <f aca="false">C177*E$8</f>
        <v>1239.58277376604</v>
      </c>
      <c r="E177" s="25" t="n">
        <f aca="false">E$9-D177</f>
        <v>1668.44215141904</v>
      </c>
      <c r="F177" s="127" t="n">
        <v>0</v>
      </c>
      <c r="G177" s="24" t="n">
        <f aca="false">C177-E177-F177</f>
        <v>298915.501492218</v>
      </c>
      <c r="I177" s="25" t="n">
        <f aca="false">I176+E177</f>
        <v>201084.498507782</v>
      </c>
      <c r="J177" s="24" t="n">
        <f aca="false">J176+D177</f>
        <v>281647.63907294</v>
      </c>
    </row>
    <row r="178" customFormat="false" ht="15" hidden="true" customHeight="false" outlineLevel="1" collapsed="false">
      <c r="B178" s="125" t="n">
        <v>49249</v>
      </c>
      <c r="C178" s="21" t="n">
        <f aca="false">G177</f>
        <v>298915.501492218</v>
      </c>
      <c r="D178" s="24" t="n">
        <f aca="false">C178*E$8</f>
        <v>1232.7022593751</v>
      </c>
      <c r="E178" s="25" t="n">
        <f aca="false">E$9-D178</f>
        <v>1675.32266580998</v>
      </c>
      <c r="F178" s="127" t="n">
        <v>0</v>
      </c>
      <c r="G178" s="24" t="n">
        <f aca="false">C178-E178-F178</f>
        <v>297240.178826408</v>
      </c>
      <c r="I178" s="25" t="n">
        <f aca="false">I177+E178</f>
        <v>202759.821173592</v>
      </c>
      <c r="J178" s="24" t="n">
        <f aca="false">J177+D178</f>
        <v>282880.341332316</v>
      </c>
    </row>
    <row r="179" customFormat="false" ht="15" hidden="true" customHeight="false" outlineLevel="1" collapsed="false">
      <c r="B179" s="125" t="n">
        <v>49279</v>
      </c>
      <c r="C179" s="21" t="n">
        <f aca="false">G178</f>
        <v>297240.178826408</v>
      </c>
      <c r="D179" s="24" t="n">
        <f aca="false">C179*E$8</f>
        <v>1225.79337032446</v>
      </c>
      <c r="E179" s="25" t="n">
        <f aca="false">E$9-D179</f>
        <v>1682.23155486062</v>
      </c>
      <c r="F179" s="126" t="n">
        <v>0</v>
      </c>
      <c r="G179" s="24" t="n">
        <f aca="false">C179-E179-F179</f>
        <v>295557.947271547</v>
      </c>
      <c r="I179" s="25" t="n">
        <f aca="false">I178+E179</f>
        <v>204442.052728453</v>
      </c>
      <c r="J179" s="24" t="n">
        <f aca="false">J178+D179</f>
        <v>284106.13470264</v>
      </c>
    </row>
    <row r="180" customFormat="false" ht="15" hidden="true" customHeight="false" outlineLevel="1" collapsed="false">
      <c r="B180" s="125" t="n">
        <v>49310</v>
      </c>
      <c r="C180" s="21" t="n">
        <f aca="false">G179</f>
        <v>295557.947271547</v>
      </c>
      <c r="D180" s="24" t="n">
        <f aca="false">C180*E$8</f>
        <v>1218.85598959942</v>
      </c>
      <c r="E180" s="25" t="n">
        <f aca="false">E$9-D180</f>
        <v>1689.16893558566</v>
      </c>
      <c r="F180" s="127" t="n">
        <v>0</v>
      </c>
      <c r="G180" s="24" t="n">
        <f aca="false">C180-E180-F180</f>
        <v>293868.778335961</v>
      </c>
      <c r="I180" s="25" t="n">
        <f aca="false">I179+E180</f>
        <v>206131.221664039</v>
      </c>
      <c r="J180" s="24" t="n">
        <f aca="false">J179+D180</f>
        <v>285324.990692239</v>
      </c>
    </row>
    <row r="181" customFormat="false" ht="15" hidden="true" customHeight="false" outlineLevel="1" collapsed="false">
      <c r="B181" s="125" t="n">
        <v>49341</v>
      </c>
      <c r="C181" s="21" t="n">
        <f aca="false">G180</f>
        <v>293868.778335961</v>
      </c>
      <c r="D181" s="24" t="n">
        <f aca="false">C181*E$8</f>
        <v>1211.88999970271</v>
      </c>
      <c r="E181" s="25" t="n">
        <f aca="false">E$9-D181</f>
        <v>1696.13492548236</v>
      </c>
      <c r="F181" s="127" t="n">
        <v>0</v>
      </c>
      <c r="G181" s="24" t="n">
        <f aca="false">C181-E181-F181</f>
        <v>292172.643410479</v>
      </c>
      <c r="I181" s="25" t="n">
        <f aca="false">I180+E181</f>
        <v>207827.356589521</v>
      </c>
      <c r="J181" s="24" t="n">
        <f aca="false">J180+D181</f>
        <v>286536.880691942</v>
      </c>
    </row>
    <row r="182" customFormat="false" ht="15" hidden="true" customHeight="false" outlineLevel="1" collapsed="false">
      <c r="B182" s="125" t="n">
        <v>49369</v>
      </c>
      <c r="C182" s="21" t="n">
        <f aca="false">G181</f>
        <v>292172.643410479</v>
      </c>
      <c r="D182" s="24" t="n">
        <f aca="false">C182*E$8</f>
        <v>1204.89528265255</v>
      </c>
      <c r="E182" s="25" t="n">
        <f aca="false">E$9-D182</f>
        <v>1703.12964253253</v>
      </c>
      <c r="F182" s="126" t="n">
        <v>0</v>
      </c>
      <c r="G182" s="24" t="n">
        <f aca="false">C182-E182-F182</f>
        <v>290469.513767946</v>
      </c>
      <c r="I182" s="25" t="n">
        <f aca="false">I181+E182</f>
        <v>209530.486232054</v>
      </c>
      <c r="J182" s="24" t="n">
        <f aca="false">J181+D182</f>
        <v>287741.775974595</v>
      </c>
    </row>
    <row r="183" customFormat="false" ht="15" hidden="true" customHeight="false" outlineLevel="1" collapsed="false">
      <c r="B183" s="125" t="n">
        <v>49400</v>
      </c>
      <c r="C183" s="21" t="n">
        <f aca="false">G182</f>
        <v>290469.513767946</v>
      </c>
      <c r="D183" s="24" t="n">
        <f aca="false">C183*E$8</f>
        <v>1197.87171998056</v>
      </c>
      <c r="E183" s="25" t="n">
        <f aca="false">E$9-D183</f>
        <v>1710.15320520452</v>
      </c>
      <c r="F183" s="127" t="n">
        <v>0</v>
      </c>
      <c r="G183" s="24" t="n">
        <f aca="false">C183-E183-F183</f>
        <v>288759.360562742</v>
      </c>
      <c r="I183" s="25" t="n">
        <f aca="false">I182+E183</f>
        <v>211240.639437258</v>
      </c>
      <c r="J183" s="24" t="n">
        <f aca="false">J182+D183</f>
        <v>288939.647694575</v>
      </c>
    </row>
    <row r="184" customFormat="false" ht="15" hidden="true" customHeight="false" outlineLevel="1" collapsed="false">
      <c r="B184" s="125" t="n">
        <v>49430</v>
      </c>
      <c r="C184" s="21" t="n">
        <f aca="false">G183</f>
        <v>288759.360562742</v>
      </c>
      <c r="D184" s="24" t="n">
        <f aca="false">C184*E$8</f>
        <v>1190.81919272985</v>
      </c>
      <c r="E184" s="25" t="n">
        <f aca="false">E$9-D184</f>
        <v>1717.20573245523</v>
      </c>
      <c r="F184" s="127" t="n">
        <v>0</v>
      </c>
      <c r="G184" s="24" t="n">
        <f aca="false">C184-E184-F184</f>
        <v>287042.154830287</v>
      </c>
      <c r="I184" s="25" t="n">
        <f aca="false">I183+E184</f>
        <v>212957.845169713</v>
      </c>
      <c r="J184" s="24" t="n">
        <f aca="false">J183+D184</f>
        <v>290130.466887305</v>
      </c>
    </row>
    <row r="185" customFormat="false" ht="15" hidden="true" customHeight="false" outlineLevel="1" collapsed="false">
      <c r="B185" s="125" t="n">
        <v>49461</v>
      </c>
      <c r="C185" s="21" t="n">
        <f aca="false">G184</f>
        <v>287042.154830287</v>
      </c>
      <c r="D185" s="24" t="n">
        <f aca="false">C185*E$8</f>
        <v>1183.73758145294</v>
      </c>
      <c r="E185" s="25" t="n">
        <f aca="false">E$9-D185</f>
        <v>1724.28734373213</v>
      </c>
      <c r="F185" s="126" t="n">
        <v>0</v>
      </c>
      <c r="G185" s="24" t="n">
        <f aca="false">C185-E185-F185</f>
        <v>285317.867486554</v>
      </c>
      <c r="I185" s="25" t="n">
        <f aca="false">I184+E185</f>
        <v>214682.132513445</v>
      </c>
      <c r="J185" s="24" t="n">
        <f aca="false">J184+D185</f>
        <v>291314.204468758</v>
      </c>
    </row>
    <row r="186" customFormat="false" ht="15" hidden="true" customHeight="false" outlineLevel="1" collapsed="false">
      <c r="B186" s="125" t="n">
        <v>49491</v>
      </c>
      <c r="C186" s="21" t="n">
        <f aca="false">G185</f>
        <v>285317.867486554</v>
      </c>
      <c r="D186" s="24" t="n">
        <f aca="false">C186*E$8</f>
        <v>1176.62676620978</v>
      </c>
      <c r="E186" s="25" t="n">
        <f aca="false">E$9-D186</f>
        <v>1731.3981589753</v>
      </c>
      <c r="F186" s="127" t="n">
        <v>0</v>
      </c>
      <c r="G186" s="24" t="n">
        <f aca="false">C186-E186-F186</f>
        <v>283586.469327579</v>
      </c>
      <c r="I186" s="25" t="n">
        <f aca="false">I185+E186</f>
        <v>216413.530672421</v>
      </c>
      <c r="J186" s="24" t="n">
        <f aca="false">J185+D186</f>
        <v>292490.831234968</v>
      </c>
    </row>
    <row r="187" customFormat="false" ht="15" hidden="true" customHeight="false" outlineLevel="1" collapsed="false">
      <c r="B187" s="125" t="n">
        <v>49522</v>
      </c>
      <c r="C187" s="21" t="n">
        <f aca="false">G186</f>
        <v>283586.469327579</v>
      </c>
      <c r="D187" s="24" t="n">
        <f aca="false">C187*E$8</f>
        <v>1169.48662656565</v>
      </c>
      <c r="E187" s="25" t="n">
        <f aca="false">E$9-D187</f>
        <v>1738.53829861942</v>
      </c>
      <c r="F187" s="127" t="n">
        <v>0</v>
      </c>
      <c r="G187" s="24" t="n">
        <f aca="false">C187-E187-F187</f>
        <v>281847.93102896</v>
      </c>
      <c r="I187" s="25" t="n">
        <f aca="false">I186+E187</f>
        <v>218152.06897104</v>
      </c>
      <c r="J187" s="24" t="n">
        <f aca="false">J186+D187</f>
        <v>293660.317861533</v>
      </c>
    </row>
    <row r="188" customFormat="false" ht="15" hidden="true" customHeight="false" outlineLevel="1" collapsed="false">
      <c r="B188" s="125" t="n">
        <v>49553</v>
      </c>
      <c r="C188" s="21" t="n">
        <f aca="false">G187</f>
        <v>281847.93102896</v>
      </c>
      <c r="D188" s="24" t="n">
        <f aca="false">C188*E$8</f>
        <v>1162.31704158923</v>
      </c>
      <c r="E188" s="25" t="n">
        <f aca="false">E$9-D188</f>
        <v>1745.70788359585</v>
      </c>
      <c r="F188" s="126" t="n">
        <v>0</v>
      </c>
      <c r="G188" s="24" t="n">
        <f aca="false">C188-E188-F188</f>
        <v>280102.223145364</v>
      </c>
      <c r="I188" s="25" t="n">
        <f aca="false">I187+E188</f>
        <v>219897.776854636</v>
      </c>
      <c r="J188" s="24" t="n">
        <f aca="false">J187+D188</f>
        <v>294822.634903123</v>
      </c>
    </row>
    <row r="189" customFormat="false" ht="15" hidden="true" customHeight="false" outlineLevel="1" collapsed="false">
      <c r="B189" s="125" t="n">
        <v>49583</v>
      </c>
      <c r="C189" s="21" t="n">
        <f aca="false">G188</f>
        <v>280102.223145364</v>
      </c>
      <c r="D189" s="24" t="n">
        <f aca="false">C189*E$8</f>
        <v>1155.11788985045</v>
      </c>
      <c r="E189" s="25" t="n">
        <f aca="false">E$9-D189</f>
        <v>1752.90703533463</v>
      </c>
      <c r="F189" s="127" t="n">
        <v>0</v>
      </c>
      <c r="G189" s="24" t="n">
        <f aca="false">C189-E189-F189</f>
        <v>278349.316110029</v>
      </c>
      <c r="I189" s="25" t="n">
        <f aca="false">I188+E189</f>
        <v>221650.683889971</v>
      </c>
      <c r="J189" s="24" t="n">
        <f aca="false">J188+D189</f>
        <v>295977.752792973</v>
      </c>
    </row>
    <row r="190" customFormat="false" ht="15" hidden="true" customHeight="false" outlineLevel="1" collapsed="false">
      <c r="B190" s="125" t="n">
        <v>49614</v>
      </c>
      <c r="C190" s="21" t="n">
        <f aca="false">G189</f>
        <v>278349.316110029</v>
      </c>
      <c r="D190" s="24" t="n">
        <f aca="false">C190*E$8</f>
        <v>1147.88904941847</v>
      </c>
      <c r="E190" s="25" t="n">
        <f aca="false">E$9-D190</f>
        <v>1760.13587576661</v>
      </c>
      <c r="F190" s="127" t="n">
        <v>0</v>
      </c>
      <c r="G190" s="24" t="n">
        <f aca="false">C190-E190-F190</f>
        <v>276589.180234263</v>
      </c>
      <c r="I190" s="25" t="n">
        <f aca="false">I189+E190</f>
        <v>223410.819765737</v>
      </c>
      <c r="J190" s="24" t="n">
        <f aca="false">J189+D190</f>
        <v>297125.641842392</v>
      </c>
    </row>
    <row r="191" customFormat="false" ht="15" hidden="true" customHeight="false" outlineLevel="1" collapsed="false">
      <c r="B191" s="125" t="n">
        <v>49644</v>
      </c>
      <c r="C191" s="21" t="n">
        <f aca="false">G190</f>
        <v>276589.180234263</v>
      </c>
      <c r="D191" s="24" t="n">
        <f aca="false">C191*E$8</f>
        <v>1140.63039785964</v>
      </c>
      <c r="E191" s="25" t="n">
        <f aca="false">E$9-D191</f>
        <v>1767.39452732544</v>
      </c>
      <c r="F191" s="126" t="n">
        <v>0</v>
      </c>
      <c r="G191" s="24" t="n">
        <f aca="false">C191-E191-F191</f>
        <v>274821.785706937</v>
      </c>
      <c r="I191" s="25" t="n">
        <f aca="false">I190+E191</f>
        <v>225178.214293063</v>
      </c>
      <c r="J191" s="24" t="n">
        <f aca="false">J190+D191</f>
        <v>298266.272240251</v>
      </c>
    </row>
    <row r="192" customFormat="false" ht="15" hidden="true" customHeight="false" outlineLevel="1" collapsed="false">
      <c r="B192" s="125" t="n">
        <v>49675</v>
      </c>
      <c r="C192" s="21" t="n">
        <f aca="false">G191</f>
        <v>274821.785706937</v>
      </c>
      <c r="D192" s="24" t="n">
        <f aca="false">C192*E$8</f>
        <v>1133.34181223539</v>
      </c>
      <c r="E192" s="25" t="n">
        <f aca="false">E$9-D192</f>
        <v>1774.68311294969</v>
      </c>
      <c r="F192" s="127" t="n">
        <v>0</v>
      </c>
      <c r="G192" s="24" t="n">
        <f aca="false">C192-E192-F192</f>
        <v>273047.102593988</v>
      </c>
      <c r="I192" s="25" t="n">
        <f aca="false">I191+E192</f>
        <v>226952.897406012</v>
      </c>
      <c r="J192" s="24" t="n">
        <f aca="false">J191+D192</f>
        <v>299399.614052487</v>
      </c>
    </row>
    <row r="193" customFormat="false" ht="15" hidden="true" customHeight="false" outlineLevel="1" collapsed="false">
      <c r="B193" s="125" t="n">
        <v>49706</v>
      </c>
      <c r="C193" s="21" t="n">
        <f aca="false">G192</f>
        <v>273047.102593988</v>
      </c>
      <c r="D193" s="24" t="n">
        <f aca="false">C193*E$8</f>
        <v>1126.02316910017</v>
      </c>
      <c r="E193" s="25" t="n">
        <f aca="false">E$9-D193</f>
        <v>1782.00175608491</v>
      </c>
      <c r="F193" s="127" t="n">
        <v>0</v>
      </c>
      <c r="G193" s="24" t="n">
        <f aca="false">C193-E193-F193</f>
        <v>271265.100837903</v>
      </c>
      <c r="I193" s="25" t="n">
        <f aca="false">I192+E193</f>
        <v>228734.899162097</v>
      </c>
      <c r="J193" s="24" t="n">
        <f aca="false">J192+D193</f>
        <v>300525.637221587</v>
      </c>
    </row>
    <row r="194" customFormat="false" ht="15" hidden="true" customHeight="false" outlineLevel="1" collapsed="false">
      <c r="B194" s="125" t="n">
        <v>49735</v>
      </c>
      <c r="C194" s="21" t="n">
        <f aca="false">G193</f>
        <v>271265.100837903</v>
      </c>
      <c r="D194" s="24" t="n">
        <f aca="false">C194*E$8</f>
        <v>1118.67434449934</v>
      </c>
      <c r="E194" s="25" t="n">
        <f aca="false">E$9-D194</f>
        <v>1789.35058068574</v>
      </c>
      <c r="F194" s="126" t="n">
        <v>0</v>
      </c>
      <c r="G194" s="24" t="n">
        <f aca="false">C194-E194-F194</f>
        <v>269475.750257217</v>
      </c>
      <c r="I194" s="25" t="n">
        <f aca="false">I193+E194</f>
        <v>230524.249742783</v>
      </c>
      <c r="J194" s="24" t="n">
        <f aca="false">J193+D194</f>
        <v>301644.311566086</v>
      </c>
    </row>
    <row r="195" customFormat="false" ht="15" hidden="true" customHeight="false" outlineLevel="1" collapsed="false">
      <c r="B195" s="125" t="n">
        <v>49766</v>
      </c>
      <c r="C195" s="21" t="n">
        <f aca="false">G194</f>
        <v>269475.750257217</v>
      </c>
      <c r="D195" s="24" t="n">
        <f aca="false">C195*E$8</f>
        <v>1111.29521396708</v>
      </c>
      <c r="E195" s="25" t="n">
        <f aca="false">E$9-D195</f>
        <v>1796.729711218</v>
      </c>
      <c r="F195" s="127" t="n">
        <v>0</v>
      </c>
      <c r="G195" s="24" t="n">
        <f aca="false">C195-E195-F195</f>
        <v>267679.020545999</v>
      </c>
      <c r="I195" s="25" t="n">
        <f aca="false">I194+E195</f>
        <v>232320.979454001</v>
      </c>
      <c r="J195" s="24" t="n">
        <f aca="false">J194+D195</f>
        <v>302755.606780053</v>
      </c>
    </row>
    <row r="196" customFormat="false" ht="15" hidden="true" customHeight="false" outlineLevel="1" collapsed="false">
      <c r="B196" s="125" t="n">
        <v>49796</v>
      </c>
      <c r="C196" s="21" t="n">
        <f aca="false">G195</f>
        <v>267679.020545999</v>
      </c>
      <c r="D196" s="24" t="n">
        <f aca="false">C196*E$8</f>
        <v>1103.88565252431</v>
      </c>
      <c r="E196" s="25" t="n">
        <f aca="false">E$9-D196</f>
        <v>1804.13927266077</v>
      </c>
      <c r="F196" s="127" t="n">
        <v>0</v>
      </c>
      <c r="G196" s="24" t="n">
        <f aca="false">C196-E196-F196</f>
        <v>265874.881273338</v>
      </c>
      <c r="I196" s="25" t="n">
        <f aca="false">I195+E196</f>
        <v>234125.118726662</v>
      </c>
      <c r="J196" s="24" t="n">
        <f aca="false">J195+D196</f>
        <v>303859.492432578</v>
      </c>
    </row>
    <row r="197" customFormat="false" ht="15" hidden="true" customHeight="false" outlineLevel="1" collapsed="false">
      <c r="B197" s="125" t="n">
        <v>49827</v>
      </c>
      <c r="C197" s="21" t="n">
        <f aca="false">G196</f>
        <v>265874.881273338</v>
      </c>
      <c r="D197" s="24" t="n">
        <f aca="false">C197*E$8</f>
        <v>1096.44553467651</v>
      </c>
      <c r="E197" s="25" t="n">
        <f aca="false">E$9-D197</f>
        <v>1811.57939050857</v>
      </c>
      <c r="F197" s="126" t="n">
        <v>0</v>
      </c>
      <c r="G197" s="24" t="n">
        <f aca="false">C197-E197-F197</f>
        <v>264063.30188283</v>
      </c>
      <c r="I197" s="25" t="n">
        <f aca="false">I196+E197</f>
        <v>235936.69811717</v>
      </c>
      <c r="J197" s="24" t="n">
        <f aca="false">J196+D197</f>
        <v>304955.937967254</v>
      </c>
    </row>
    <row r="198" customFormat="false" ht="15" hidden="true" customHeight="false" outlineLevel="1" collapsed="false">
      <c r="B198" s="125" t="n">
        <v>49857</v>
      </c>
      <c r="C198" s="21" t="n">
        <f aca="false">G197</f>
        <v>264063.30188283</v>
      </c>
      <c r="D198" s="24" t="n">
        <f aca="false">C198*E$8</f>
        <v>1088.97473441165</v>
      </c>
      <c r="E198" s="25" t="n">
        <f aca="false">E$9-D198</f>
        <v>1819.05019077343</v>
      </c>
      <c r="F198" s="127" t="n">
        <v>0</v>
      </c>
      <c r="G198" s="24" t="n">
        <f aca="false">C198-E198-F198</f>
        <v>262244.251692056</v>
      </c>
      <c r="I198" s="25" t="n">
        <f aca="false">I197+E198</f>
        <v>237755.748307944</v>
      </c>
      <c r="J198" s="24" t="n">
        <f aca="false">J197+D198</f>
        <v>306044.912701666</v>
      </c>
    </row>
    <row r="199" customFormat="false" ht="15" hidden="true" customHeight="false" outlineLevel="1" collapsed="false">
      <c r="B199" s="125" t="n">
        <v>49888</v>
      </c>
      <c r="C199" s="21" t="n">
        <f aca="false">G198</f>
        <v>262244.251692056</v>
      </c>
      <c r="D199" s="24" t="n">
        <f aca="false">C199*E$8</f>
        <v>1081.47312519805</v>
      </c>
      <c r="E199" s="25" t="n">
        <f aca="false">E$9-D199</f>
        <v>1826.55179998703</v>
      </c>
      <c r="F199" s="127" t="n">
        <v>0</v>
      </c>
      <c r="G199" s="24" t="n">
        <f aca="false">C199-E199-F199</f>
        <v>260417.699892069</v>
      </c>
      <c r="I199" s="25" t="n">
        <f aca="false">I198+E199</f>
        <v>239582.300107931</v>
      </c>
      <c r="J199" s="24" t="n">
        <f aca="false">J198+D199</f>
        <v>307126.385826864</v>
      </c>
    </row>
    <row r="200" customFormat="false" ht="15" hidden="true" customHeight="false" outlineLevel="1" collapsed="false">
      <c r="B200" s="125" t="n">
        <v>49919</v>
      </c>
      <c r="C200" s="21" t="n">
        <f aca="false">G199</f>
        <v>260417.699892069</v>
      </c>
      <c r="D200" s="24" t="n">
        <f aca="false">C200*E$8</f>
        <v>1073.94057998219</v>
      </c>
      <c r="E200" s="25" t="n">
        <f aca="false">E$9-D200</f>
        <v>1834.08434520288</v>
      </c>
      <c r="F200" s="126" t="n">
        <v>0</v>
      </c>
      <c r="G200" s="24" t="n">
        <f aca="false">C200-E200-F200</f>
        <v>258583.615546866</v>
      </c>
      <c r="I200" s="25" t="n">
        <f aca="false">I199+E200</f>
        <v>241416.384453134</v>
      </c>
      <c r="J200" s="24" t="n">
        <f aca="false">J199+D200</f>
        <v>308200.326406846</v>
      </c>
    </row>
    <row r="201" customFormat="false" ht="15" hidden="true" customHeight="false" outlineLevel="1" collapsed="false">
      <c r="B201" s="125" t="n">
        <v>49949</v>
      </c>
      <c r="C201" s="21" t="n">
        <f aca="false">G200</f>
        <v>258583.615546866</v>
      </c>
      <c r="D201" s="24" t="n">
        <f aca="false">C201*E$8</f>
        <v>1066.37697118663</v>
      </c>
      <c r="E201" s="25" t="n">
        <f aca="false">E$9-D201</f>
        <v>1841.64795399845</v>
      </c>
      <c r="F201" s="127" t="n">
        <v>0</v>
      </c>
      <c r="G201" s="24" t="n">
        <f aca="false">C201-E201-F201</f>
        <v>256741.967592868</v>
      </c>
      <c r="I201" s="25" t="n">
        <f aca="false">I200+E201</f>
        <v>243258.032407132</v>
      </c>
      <c r="J201" s="24" t="n">
        <f aca="false">J200+D201</f>
        <v>309266.703378033</v>
      </c>
    </row>
    <row r="202" customFormat="false" ht="15" hidden="true" customHeight="false" outlineLevel="1" collapsed="false">
      <c r="B202" s="125" t="n">
        <v>49980</v>
      </c>
      <c r="C202" s="21" t="n">
        <f aca="false">G201</f>
        <v>256741.967592868</v>
      </c>
      <c r="D202" s="24" t="n">
        <f aca="false">C202*E$8</f>
        <v>1058.78217070779</v>
      </c>
      <c r="E202" s="25" t="n">
        <f aca="false">E$9-D202</f>
        <v>1849.24275447729</v>
      </c>
      <c r="F202" s="127" t="n">
        <v>0</v>
      </c>
      <c r="G202" s="24" t="n">
        <f aca="false">C202-E202-F202</f>
        <v>254892.72483839</v>
      </c>
      <c r="I202" s="25" t="n">
        <f aca="false">I201+E202</f>
        <v>245107.275161609</v>
      </c>
      <c r="J202" s="24" t="n">
        <f aca="false">J201+D202</f>
        <v>310325.48554874</v>
      </c>
    </row>
    <row r="203" customFormat="false" ht="15" hidden="true" customHeight="false" outlineLevel="1" collapsed="false">
      <c r="B203" s="125" t="n">
        <v>50010</v>
      </c>
      <c r="C203" s="21" t="n">
        <f aca="false">G202</f>
        <v>254892.72483839</v>
      </c>
      <c r="D203" s="24" t="n">
        <f aca="false">C203*E$8</f>
        <v>1051.15604991379</v>
      </c>
      <c r="E203" s="25" t="n">
        <f aca="false">E$9-D203</f>
        <v>1856.86887527129</v>
      </c>
      <c r="F203" s="126" t="n">
        <v>0</v>
      </c>
      <c r="G203" s="24" t="n">
        <f aca="false">C203-E203-F203</f>
        <v>253035.855963119</v>
      </c>
      <c r="I203" s="25" t="n">
        <f aca="false">I202+E203</f>
        <v>246964.144036881</v>
      </c>
      <c r="J203" s="24" t="n">
        <f aca="false">J202+D203</f>
        <v>311376.641598654</v>
      </c>
    </row>
    <row r="204" customFormat="false" ht="15" hidden="true" customHeight="false" outlineLevel="1" collapsed="false">
      <c r="B204" s="125" t="n">
        <v>50041</v>
      </c>
      <c r="C204" s="21" t="n">
        <f aca="false">G203</f>
        <v>253035.855963119</v>
      </c>
      <c r="D204" s="24" t="n">
        <f aca="false">C204*E$8</f>
        <v>1043.49847964232</v>
      </c>
      <c r="E204" s="25" t="n">
        <f aca="false">E$9-D204</f>
        <v>1864.52644554276</v>
      </c>
      <c r="F204" s="127" t="n">
        <v>0</v>
      </c>
      <c r="G204" s="24" t="n">
        <f aca="false">C204-E204-F204</f>
        <v>251171.329517576</v>
      </c>
      <c r="I204" s="25" t="n">
        <f aca="false">I203+E204</f>
        <v>248828.670482423</v>
      </c>
      <c r="J204" s="24" t="n">
        <f aca="false">J203+D204</f>
        <v>312420.140078296</v>
      </c>
    </row>
    <row r="205" customFormat="false" ht="15" hidden="true" customHeight="false" outlineLevel="1" collapsed="false">
      <c r="B205" s="125" t="n">
        <v>50072</v>
      </c>
      <c r="C205" s="21" t="n">
        <f aca="false">G204</f>
        <v>251171.329517576</v>
      </c>
      <c r="D205" s="24" t="n">
        <f aca="false">C205*E$8</f>
        <v>1035.80933019837</v>
      </c>
      <c r="E205" s="25" t="n">
        <f aca="false">E$9-D205</f>
        <v>1872.21559498671</v>
      </c>
      <c r="F205" s="127" t="n">
        <v>0</v>
      </c>
      <c r="G205" s="24" t="n">
        <f aca="false">C205-E205-F205</f>
        <v>249299.11392259</v>
      </c>
      <c r="I205" s="25" t="n">
        <f aca="false">I204+E205</f>
        <v>250700.88607741</v>
      </c>
      <c r="J205" s="24" t="n">
        <f aca="false">J204+D205</f>
        <v>313455.949408495</v>
      </c>
    </row>
    <row r="206" customFormat="false" ht="15" hidden="true" customHeight="false" outlineLevel="1" collapsed="false">
      <c r="B206" s="125" t="n">
        <v>50100</v>
      </c>
      <c r="C206" s="21" t="n">
        <f aca="false">G205</f>
        <v>249299.11392259</v>
      </c>
      <c r="D206" s="24" t="n">
        <f aca="false">C206*E$8</f>
        <v>1028.08847135212</v>
      </c>
      <c r="E206" s="25" t="n">
        <f aca="false">E$9-D206</f>
        <v>1879.93645383296</v>
      </c>
      <c r="F206" s="126" t="n">
        <v>0</v>
      </c>
      <c r="G206" s="24" t="n">
        <f aca="false">C206-E206-F206</f>
        <v>247419.177468757</v>
      </c>
      <c r="I206" s="25" t="n">
        <f aca="false">I205+E206</f>
        <v>252580.822531243</v>
      </c>
      <c r="J206" s="24" t="n">
        <f aca="false">J205+D206</f>
        <v>314484.037879847</v>
      </c>
    </row>
    <row r="207" customFormat="false" ht="15" hidden="true" customHeight="false" outlineLevel="1" collapsed="false">
      <c r="B207" s="125" t="n">
        <v>50131</v>
      </c>
      <c r="C207" s="21" t="n">
        <f aca="false">G206</f>
        <v>247419.177468757</v>
      </c>
      <c r="D207" s="24" t="n">
        <f aca="false">C207*E$8</f>
        <v>1020.33577233667</v>
      </c>
      <c r="E207" s="25" t="n">
        <f aca="false">E$9-D207</f>
        <v>1887.68915284841</v>
      </c>
      <c r="F207" s="127" t="n">
        <v>0</v>
      </c>
      <c r="G207" s="24" t="n">
        <f aca="false">C207-E207-F207</f>
        <v>245531.488315908</v>
      </c>
      <c r="I207" s="25" t="n">
        <f aca="false">I206+E207</f>
        <v>254468.511684091</v>
      </c>
      <c r="J207" s="24" t="n">
        <f aca="false">J206+D207</f>
        <v>315504.373652184</v>
      </c>
    </row>
    <row r="208" customFormat="false" ht="15" hidden="true" customHeight="false" outlineLevel="1" collapsed="false">
      <c r="B208" s="125" t="n">
        <v>50161</v>
      </c>
      <c r="C208" s="21" t="n">
        <f aca="false">G207</f>
        <v>245531.488315908</v>
      </c>
      <c r="D208" s="24" t="n">
        <f aca="false">C208*E$8</f>
        <v>1012.55110184586</v>
      </c>
      <c r="E208" s="25" t="n">
        <f aca="false">E$9-D208</f>
        <v>1895.47382333922</v>
      </c>
      <c r="F208" s="127" t="n">
        <v>0</v>
      </c>
      <c r="G208" s="24" t="n">
        <f aca="false">C208-E208-F208</f>
        <v>243636.014492569</v>
      </c>
      <c r="I208" s="25" t="n">
        <f aca="false">I207+E208</f>
        <v>256363.985507431</v>
      </c>
      <c r="J208" s="24" t="n">
        <f aca="false">J207+D208</f>
        <v>316516.924754029</v>
      </c>
    </row>
    <row r="209" customFormat="false" ht="15" hidden="true" customHeight="false" outlineLevel="1" collapsed="false">
      <c r="B209" s="125" t="n">
        <v>50192</v>
      </c>
      <c r="C209" s="21" t="n">
        <f aca="false">G208</f>
        <v>243636.014492569</v>
      </c>
      <c r="D209" s="24" t="n">
        <f aca="false">C209*E$8</f>
        <v>1004.73432803201</v>
      </c>
      <c r="E209" s="25" t="n">
        <f aca="false">E$9-D209</f>
        <v>1903.29059715307</v>
      </c>
      <c r="F209" s="126" t="n">
        <v>0</v>
      </c>
      <c r="G209" s="24" t="n">
        <f aca="false">C209-E209-F209</f>
        <v>241732.723895416</v>
      </c>
      <c r="I209" s="25" t="n">
        <f aca="false">I208+E209</f>
        <v>258267.276104584</v>
      </c>
      <c r="J209" s="24" t="n">
        <f aca="false">J208+D209</f>
        <v>317521.659082061</v>
      </c>
    </row>
    <row r="210" customFormat="false" ht="15" hidden="true" customHeight="false" outlineLevel="1" collapsed="false">
      <c r="B210" s="125" t="n">
        <v>50222</v>
      </c>
      <c r="C210" s="21" t="n">
        <f aca="false">G209</f>
        <v>241732.723895416</v>
      </c>
      <c r="D210" s="24" t="n">
        <f aca="false">C210*E$8</f>
        <v>996.885318503747</v>
      </c>
      <c r="E210" s="25" t="n">
        <f aca="false">E$9-D210</f>
        <v>1911.13960668133</v>
      </c>
      <c r="F210" s="127" t="n">
        <v>0</v>
      </c>
      <c r="G210" s="24" t="n">
        <f aca="false">C210-E210-F210</f>
        <v>239821.584288735</v>
      </c>
      <c r="I210" s="25" t="n">
        <f aca="false">I209+E210</f>
        <v>260178.415711265</v>
      </c>
      <c r="J210" s="24" t="n">
        <f aca="false">J209+D210</f>
        <v>318518.544400565</v>
      </c>
    </row>
    <row r="211" customFormat="false" ht="15" hidden="true" customHeight="false" outlineLevel="1" collapsed="false">
      <c r="B211" s="125" t="n">
        <v>50253</v>
      </c>
      <c r="C211" s="21" t="n">
        <f aca="false">G210</f>
        <v>239821.584288735</v>
      </c>
      <c r="D211" s="24" t="n">
        <f aca="false">C211*E$8</f>
        <v>989.003940323705</v>
      </c>
      <c r="E211" s="25" t="n">
        <f aca="false">E$9-D211</f>
        <v>1919.02098486137</v>
      </c>
      <c r="F211" s="127" t="n">
        <v>0</v>
      </c>
      <c r="G211" s="24" t="n">
        <f aca="false">C211-E211-F211</f>
        <v>237902.563303873</v>
      </c>
      <c r="I211" s="25" t="n">
        <f aca="false">I210+E211</f>
        <v>262097.436696126</v>
      </c>
      <c r="J211" s="24" t="n">
        <f aca="false">J210+D211</f>
        <v>319507.548340889</v>
      </c>
    </row>
    <row r="212" customFormat="false" ht="15" hidden="true" customHeight="false" outlineLevel="1" collapsed="false">
      <c r="B212" s="125" t="n">
        <v>50284</v>
      </c>
      <c r="C212" s="21" t="n">
        <f aca="false">G211</f>
        <v>237902.563303873</v>
      </c>
      <c r="D212" s="24" t="n">
        <f aca="false">C212*E$8</f>
        <v>981.090060006299</v>
      </c>
      <c r="E212" s="25" t="n">
        <f aca="false">E$9-D212</f>
        <v>1926.93486517878</v>
      </c>
      <c r="F212" s="126" t="n">
        <v>0</v>
      </c>
      <c r="G212" s="24" t="n">
        <f aca="false">C212-E212-F212</f>
        <v>235975.628438695</v>
      </c>
      <c r="I212" s="25" t="n">
        <f aca="false">I211+E212</f>
        <v>264024.371561305</v>
      </c>
      <c r="J212" s="24" t="n">
        <f aca="false">J211+D212</f>
        <v>320488.638400895</v>
      </c>
    </row>
    <row r="213" customFormat="false" ht="15" hidden="true" customHeight="false" outlineLevel="1" collapsed="false">
      <c r="B213" s="125" t="n">
        <v>50314</v>
      </c>
      <c r="C213" s="21" t="n">
        <f aca="false">G212</f>
        <v>235975.628438695</v>
      </c>
      <c r="D213" s="24" t="n">
        <f aca="false">C213*E$8</f>
        <v>973.143543515462</v>
      </c>
      <c r="E213" s="25" t="n">
        <f aca="false">E$9-D213</f>
        <v>1934.88138166962</v>
      </c>
      <c r="F213" s="127" t="n">
        <v>0</v>
      </c>
      <c r="G213" s="24" t="n">
        <f aca="false">C213-E213-F213</f>
        <v>234040.747057025</v>
      </c>
      <c r="I213" s="25" t="n">
        <f aca="false">I212+E213</f>
        <v>265959.252942975</v>
      </c>
      <c r="J213" s="24" t="n">
        <f aca="false">J212+D213</f>
        <v>321461.781944411</v>
      </c>
    </row>
    <row r="214" customFormat="false" ht="15" hidden="true" customHeight="false" outlineLevel="1" collapsed="false">
      <c r="B214" s="125" t="n">
        <v>50345</v>
      </c>
      <c r="C214" s="21" t="n">
        <f aca="false">G213</f>
        <v>234040.747057025</v>
      </c>
      <c r="D214" s="24" t="n">
        <f aca="false">C214*E$8</f>
        <v>965.164256262375</v>
      </c>
      <c r="E214" s="25" t="n">
        <f aca="false">E$9-D214</f>
        <v>1942.8606689227</v>
      </c>
      <c r="F214" s="127" t="n">
        <v>0</v>
      </c>
      <c r="G214" s="24" t="n">
        <f aca="false">C214-E214-F214</f>
        <v>232097.886388102</v>
      </c>
      <c r="I214" s="25" t="n">
        <f aca="false">I213+E214</f>
        <v>267902.113611898</v>
      </c>
      <c r="J214" s="24" t="n">
        <f aca="false">J213+D214</f>
        <v>322426.946200673</v>
      </c>
    </row>
    <row r="215" customFormat="false" ht="15" hidden="true" customHeight="false" outlineLevel="1" collapsed="false">
      <c r="B215" s="125" t="n">
        <v>50375</v>
      </c>
      <c r="C215" s="21" t="n">
        <f aca="false">G214</f>
        <v>232097.886388102</v>
      </c>
      <c r="D215" s="24" t="n">
        <f aca="false">C215*E$8</f>
        <v>957.152063103184</v>
      </c>
      <c r="E215" s="25" t="n">
        <f aca="false">E$9-D215</f>
        <v>1950.87286208189</v>
      </c>
      <c r="F215" s="126" t="n">
        <v>0</v>
      </c>
      <c r="G215" s="24" t="n">
        <f aca="false">C215-E215-F215</f>
        <v>230147.01352602</v>
      </c>
      <c r="I215" s="25" t="n">
        <f aca="false">I214+E215</f>
        <v>269852.98647398</v>
      </c>
      <c r="J215" s="24" t="n">
        <f aca="false">J214+D215</f>
        <v>323384.098263776</v>
      </c>
    </row>
    <row r="216" customFormat="false" ht="15" hidden="true" customHeight="false" outlineLevel="1" collapsed="false">
      <c r="B216" s="125" t="n">
        <v>50406</v>
      </c>
      <c r="C216" s="21" t="n">
        <f aca="false">G215</f>
        <v>230147.01352602</v>
      </c>
      <c r="D216" s="24" t="n">
        <f aca="false">C216*E$8</f>
        <v>949.106828336715</v>
      </c>
      <c r="E216" s="25" t="n">
        <f aca="false">E$9-D216</f>
        <v>1958.91809684836</v>
      </c>
      <c r="F216" s="127" t="n">
        <v>0</v>
      </c>
      <c r="G216" s="24" t="n">
        <f aca="false">C216-E216-F216</f>
        <v>228188.095429172</v>
      </c>
      <c r="I216" s="25" t="n">
        <f aca="false">I215+E216</f>
        <v>271811.904570828</v>
      </c>
      <c r="J216" s="24" t="n">
        <f aca="false">J215+D216</f>
        <v>324333.205092113</v>
      </c>
    </row>
    <row r="217" customFormat="false" ht="15" hidden="true" customHeight="false" outlineLevel="1" collapsed="false">
      <c r="B217" s="125" t="n">
        <v>50437</v>
      </c>
      <c r="C217" s="21" t="n">
        <f aca="false">G216</f>
        <v>228188.095429172</v>
      </c>
      <c r="D217" s="24" t="n">
        <f aca="false">C217*E$8</f>
        <v>941.028415702171</v>
      </c>
      <c r="E217" s="25" t="n">
        <f aca="false">E$9-D217</f>
        <v>1966.99650948291</v>
      </c>
      <c r="F217" s="127" t="n">
        <v>0</v>
      </c>
      <c r="G217" s="24" t="n">
        <f aca="false">C217-E217-F217</f>
        <v>226221.098919689</v>
      </c>
      <c r="I217" s="25" t="n">
        <f aca="false">I216+E217</f>
        <v>273778.901080311</v>
      </c>
      <c r="J217" s="24" t="n">
        <f aca="false">J216+D217</f>
        <v>325274.233507815</v>
      </c>
    </row>
    <row r="218" customFormat="false" ht="15" hidden="true" customHeight="false" outlineLevel="1" collapsed="false">
      <c r="B218" s="125" t="n">
        <v>50465</v>
      </c>
      <c r="C218" s="21" t="n">
        <f aca="false">G217</f>
        <v>226221.098919689</v>
      </c>
      <c r="D218" s="24" t="n">
        <f aca="false">C218*E$8</f>
        <v>932.91668837683</v>
      </c>
      <c r="E218" s="25" t="n">
        <f aca="false">E$9-D218</f>
        <v>1975.10823680825</v>
      </c>
      <c r="F218" s="126" t="n">
        <v>0</v>
      </c>
      <c r="G218" s="24" t="n">
        <f aca="false">C218-E218-F218</f>
        <v>224245.990682881</v>
      </c>
      <c r="I218" s="25" t="n">
        <f aca="false">I217+E218</f>
        <v>275754.009317119</v>
      </c>
      <c r="J218" s="24" t="n">
        <f aca="false">J217+D218</f>
        <v>326207.150196192</v>
      </c>
    </row>
    <row r="219" customFormat="false" ht="15" hidden="true" customHeight="false" outlineLevel="1" collapsed="false">
      <c r="B219" s="125" t="n">
        <v>50496</v>
      </c>
      <c r="C219" s="21" t="n">
        <f aca="false">G218</f>
        <v>224245.990682881</v>
      </c>
      <c r="D219" s="24" t="n">
        <f aca="false">C219*E$8</f>
        <v>924.771508973722</v>
      </c>
      <c r="E219" s="25" t="n">
        <f aca="false">E$9-D219</f>
        <v>1983.25341621136</v>
      </c>
      <c r="F219" s="127" t="n">
        <v>0</v>
      </c>
      <c r="G219" s="24" t="n">
        <f aca="false">C219-E219-F219</f>
        <v>222262.73726667</v>
      </c>
      <c r="I219" s="25" t="n">
        <f aca="false">I218+E219</f>
        <v>277737.26273333</v>
      </c>
      <c r="J219" s="24" t="n">
        <f aca="false">J218+D219</f>
        <v>327131.921705166</v>
      </c>
    </row>
    <row r="220" customFormat="false" ht="15" hidden="true" customHeight="false" outlineLevel="1" collapsed="false">
      <c r="B220" s="125" t="n">
        <v>50526</v>
      </c>
      <c r="C220" s="21" t="n">
        <f aca="false">G219</f>
        <v>222262.73726667</v>
      </c>
      <c r="D220" s="24" t="n">
        <f aca="false">C220*E$8</f>
        <v>916.592739539308</v>
      </c>
      <c r="E220" s="25" t="n">
        <f aca="false">E$9-D220</f>
        <v>1991.43218564577</v>
      </c>
      <c r="F220" s="127" t="n">
        <v>0</v>
      </c>
      <c r="G220" s="24" t="n">
        <f aca="false">C220-E220-F220</f>
        <v>220271.305081024</v>
      </c>
      <c r="I220" s="25" t="n">
        <f aca="false">I219+E220</f>
        <v>279728.694918976</v>
      </c>
      <c r="J220" s="24" t="n">
        <f aca="false">J219+D220</f>
        <v>328048.514444705</v>
      </c>
    </row>
    <row r="221" customFormat="false" ht="15" hidden="true" customHeight="false" outlineLevel="1" collapsed="false">
      <c r="B221" s="125" t="n">
        <v>50557</v>
      </c>
      <c r="C221" s="21" t="n">
        <f aca="false">G220</f>
        <v>220271.305081024</v>
      </c>
      <c r="D221" s="24" t="n">
        <f aca="false">C221*E$8</f>
        <v>908.380241551138</v>
      </c>
      <c r="E221" s="25" t="n">
        <f aca="false">E$9-D221</f>
        <v>1999.64468363394</v>
      </c>
      <c r="F221" s="126" t="n">
        <v>0</v>
      </c>
      <c r="G221" s="24" t="n">
        <f aca="false">C221-E221-F221</f>
        <v>218271.66039739</v>
      </c>
      <c r="I221" s="25" t="n">
        <f aca="false">I220+E221</f>
        <v>281728.33960261</v>
      </c>
      <c r="J221" s="24" t="n">
        <f aca="false">J220+D221</f>
        <v>328956.894686256</v>
      </c>
    </row>
    <row r="222" customFormat="false" ht="15" hidden="true" customHeight="false" outlineLevel="1" collapsed="false">
      <c r="B222" s="125" t="n">
        <v>50587</v>
      </c>
      <c r="C222" s="21" t="n">
        <f aca="false">G221</f>
        <v>218271.66039739</v>
      </c>
      <c r="D222" s="24" t="n">
        <f aca="false">C222*E$8</f>
        <v>900.133875915506</v>
      </c>
      <c r="E222" s="25" t="n">
        <f aca="false">E$9-D222</f>
        <v>2007.89104926957</v>
      </c>
      <c r="F222" s="127" t="n">
        <v>0</v>
      </c>
      <c r="G222" s="24" t="n">
        <f aca="false">C222-E222-F222</f>
        <v>216263.76934812</v>
      </c>
      <c r="I222" s="25" t="n">
        <f aca="false">I221+E222</f>
        <v>283736.23065188</v>
      </c>
      <c r="J222" s="24" t="n">
        <f aca="false">J221+D222</f>
        <v>329857.028562172</v>
      </c>
    </row>
    <row r="223" customFormat="false" ht="15" hidden="true" customHeight="false" outlineLevel="1" collapsed="false">
      <c r="B223" s="125" t="n">
        <v>50618</v>
      </c>
      <c r="C223" s="21" t="n">
        <f aca="false">G222</f>
        <v>216263.76934812</v>
      </c>
      <c r="D223" s="24" t="n">
        <f aca="false">C223*E$8</f>
        <v>891.853502965099</v>
      </c>
      <c r="E223" s="25" t="n">
        <f aca="false">E$9-D223</f>
        <v>2016.17142221998</v>
      </c>
      <c r="F223" s="127" t="n">
        <v>0</v>
      </c>
      <c r="G223" s="24" t="n">
        <f aca="false">C223-E223-F223</f>
        <v>214247.5979259</v>
      </c>
      <c r="I223" s="25" t="n">
        <f aca="false">I222+E223</f>
        <v>285752.4020741</v>
      </c>
      <c r="J223" s="24" t="n">
        <f aca="false">J222+D223</f>
        <v>330748.882065137</v>
      </c>
    </row>
    <row r="224" customFormat="false" ht="15" hidden="true" customHeight="false" outlineLevel="1" collapsed="false">
      <c r="B224" s="125" t="n">
        <v>50649</v>
      </c>
      <c r="C224" s="21" t="n">
        <f aca="false">G223</f>
        <v>214247.5979259</v>
      </c>
      <c r="D224" s="24" t="n">
        <f aca="false">C224*E$8</f>
        <v>883.538982456624</v>
      </c>
      <c r="E224" s="25" t="n">
        <f aca="false">E$9-D224</f>
        <v>2024.48594272845</v>
      </c>
      <c r="F224" s="126" t="n">
        <v>0</v>
      </c>
      <c r="G224" s="24" t="n">
        <f aca="false">C224-E224-F224</f>
        <v>212223.111983172</v>
      </c>
      <c r="I224" s="25" t="n">
        <f aca="false">I223+E224</f>
        <v>287776.888016828</v>
      </c>
      <c r="J224" s="24" t="n">
        <f aca="false">J223+D224</f>
        <v>331632.421047593</v>
      </c>
    </row>
    <row r="225" customFormat="false" ht="15" hidden="true" customHeight="false" outlineLevel="1" collapsed="false">
      <c r="B225" s="125" t="n">
        <v>50679</v>
      </c>
      <c r="C225" s="21" t="n">
        <f aca="false">G224</f>
        <v>212223.111983172</v>
      </c>
      <c r="D225" s="24" t="n">
        <f aca="false">C225*E$8</f>
        <v>875.190173568439</v>
      </c>
      <c r="E225" s="25" t="n">
        <f aca="false">E$9-D225</f>
        <v>2032.83475161664</v>
      </c>
      <c r="F225" s="127" t="n">
        <v>0</v>
      </c>
      <c r="G225" s="24" t="n">
        <f aca="false">C225-E225-F225</f>
        <v>210190.277231555</v>
      </c>
      <c r="I225" s="25" t="n">
        <f aca="false">I224+E225</f>
        <v>289809.722768445</v>
      </c>
      <c r="J225" s="24" t="n">
        <f aca="false">J224+D225</f>
        <v>332507.611221162</v>
      </c>
    </row>
    <row r="226" customFormat="false" ht="15" hidden="true" customHeight="false" outlineLevel="1" collapsed="false">
      <c r="B226" s="125" t="n">
        <v>50710</v>
      </c>
      <c r="C226" s="21" t="n">
        <f aca="false">G225</f>
        <v>210190.277231555</v>
      </c>
      <c r="D226" s="24" t="n">
        <f aca="false">C226*E$8</f>
        <v>866.806934898164</v>
      </c>
      <c r="E226" s="25" t="n">
        <f aca="false">E$9-D226</f>
        <v>2041.21799028691</v>
      </c>
      <c r="F226" s="127" t="n">
        <v>0</v>
      </c>
      <c r="G226" s="24" t="n">
        <f aca="false">C226-E226-F226</f>
        <v>208149.059241268</v>
      </c>
      <c r="I226" s="25" t="n">
        <f aca="false">I225+E226</f>
        <v>291850.940758732</v>
      </c>
      <c r="J226" s="24" t="n">
        <f aca="false">J225+D226</f>
        <v>333374.41815606</v>
      </c>
    </row>
    <row r="227" customFormat="false" ht="15" hidden="true" customHeight="false" outlineLevel="1" collapsed="false">
      <c r="B227" s="125" t="n">
        <v>50740</v>
      </c>
      <c r="C227" s="21" t="n">
        <f aca="false">G226</f>
        <v>208149.059241268</v>
      </c>
      <c r="D227" s="24" t="n">
        <f aca="false">C227*E$8</f>
        <v>858.38912446029</v>
      </c>
      <c r="E227" s="25" t="n">
        <f aca="false">E$9-D227</f>
        <v>2049.63580072479</v>
      </c>
      <c r="F227" s="126" t="n">
        <v>0</v>
      </c>
      <c r="G227" s="24" t="n">
        <f aca="false">C227-E227-F227</f>
        <v>206099.423440543</v>
      </c>
      <c r="I227" s="25" t="n">
        <f aca="false">I226+E227</f>
        <v>293900.576559457</v>
      </c>
      <c r="J227" s="24" t="n">
        <f aca="false">J226+D227</f>
        <v>334232.80728052</v>
      </c>
    </row>
    <row r="228" customFormat="false" ht="15" hidden="true" customHeight="false" outlineLevel="1" collapsed="false">
      <c r="B228" s="125" t="n">
        <v>50771</v>
      </c>
      <c r="C228" s="21" t="n">
        <f aca="false">G227</f>
        <v>206099.423440543</v>
      </c>
      <c r="D228" s="24" t="n">
        <f aca="false">C228*E$8</f>
        <v>849.936599683767</v>
      </c>
      <c r="E228" s="25" t="n">
        <f aca="false">E$9-D228</f>
        <v>2058.08832550131</v>
      </c>
      <c r="F228" s="127" t="n">
        <v>0</v>
      </c>
      <c r="G228" s="24" t="n">
        <f aca="false">C228-E228-F228</f>
        <v>204041.335115042</v>
      </c>
      <c r="I228" s="25" t="n">
        <f aca="false">I227+E228</f>
        <v>295958.664884958</v>
      </c>
      <c r="J228" s="24" t="n">
        <f aca="false">J227+D228</f>
        <v>335082.743880204</v>
      </c>
    </row>
    <row r="229" customFormat="false" ht="15" hidden="true" customHeight="false" outlineLevel="1" collapsed="false">
      <c r="B229" s="125" t="n">
        <v>50802</v>
      </c>
      <c r="C229" s="21" t="n">
        <f aca="false">G228</f>
        <v>204041.335115042</v>
      </c>
      <c r="D229" s="24" t="n">
        <f aca="false">C229*E$8</f>
        <v>841.4492174096</v>
      </c>
      <c r="E229" s="25" t="n">
        <f aca="false">E$9-D229</f>
        <v>2066.57570777548</v>
      </c>
      <c r="F229" s="127" t="n">
        <v>0</v>
      </c>
      <c r="G229" s="24" t="n">
        <f aca="false">C229-E229-F229</f>
        <v>201974.759407267</v>
      </c>
      <c r="I229" s="25" t="n">
        <f aca="false">I228+E229</f>
        <v>298025.240592733</v>
      </c>
      <c r="J229" s="24" t="n">
        <f aca="false">J228+D229</f>
        <v>335924.193097614</v>
      </c>
    </row>
    <row r="230" customFormat="false" ht="15" hidden="true" customHeight="false" outlineLevel="1" collapsed="false">
      <c r="B230" s="125" t="n">
        <v>50830</v>
      </c>
      <c r="C230" s="21" t="n">
        <f aca="false">G229</f>
        <v>201974.759407267</v>
      </c>
      <c r="D230" s="24" t="n">
        <f aca="false">C230*E$8</f>
        <v>832.926833888413</v>
      </c>
      <c r="E230" s="25" t="n">
        <f aca="false">E$9-D230</f>
        <v>2075.09809129666</v>
      </c>
      <c r="F230" s="126" t="n">
        <v>0</v>
      </c>
      <c r="G230" s="24" t="n">
        <f aca="false">C230-E230-F230</f>
        <v>199899.66131597</v>
      </c>
      <c r="I230" s="25" t="n">
        <f aca="false">I229+E230</f>
        <v>300100.33868403</v>
      </c>
      <c r="J230" s="24" t="n">
        <f aca="false">J229+D230</f>
        <v>336757.119931502</v>
      </c>
    </row>
    <row r="231" customFormat="false" ht="15" hidden="true" customHeight="false" outlineLevel="1" collapsed="false">
      <c r="B231" s="125" t="n">
        <v>50861</v>
      </c>
      <c r="C231" s="21" t="n">
        <f aca="false">G230</f>
        <v>199899.66131597</v>
      </c>
      <c r="D231" s="24" t="n">
        <f aca="false">C231*E$8</f>
        <v>824.369304778023</v>
      </c>
      <c r="E231" s="25" t="n">
        <f aca="false">E$9-D231</f>
        <v>2083.65562040706</v>
      </c>
      <c r="F231" s="127" t="n">
        <v>0</v>
      </c>
      <c r="G231" s="24" t="n">
        <f aca="false">C231-E231-F231</f>
        <v>197816.005695563</v>
      </c>
      <c r="I231" s="25" t="n">
        <f aca="false">I230+E231</f>
        <v>302183.994304437</v>
      </c>
      <c r="J231" s="24" t="n">
        <f aca="false">J230+D231</f>
        <v>337581.48923628</v>
      </c>
    </row>
    <row r="232" customFormat="false" ht="15" hidden="true" customHeight="false" outlineLevel="1" collapsed="false">
      <c r="B232" s="125" t="n">
        <v>50891</v>
      </c>
      <c r="C232" s="21" t="n">
        <f aca="false">G231</f>
        <v>197816.005695563</v>
      </c>
      <c r="D232" s="24" t="n">
        <f aca="false">C232*E$8</f>
        <v>815.776485140992</v>
      </c>
      <c r="E232" s="25" t="n">
        <f aca="false">E$9-D232</f>
        <v>2092.24844004409</v>
      </c>
      <c r="F232" s="127" t="n">
        <v>0</v>
      </c>
      <c r="G232" s="24" t="n">
        <f aca="false">C232-E232-F232</f>
        <v>195723.757255519</v>
      </c>
      <c r="I232" s="25" t="n">
        <f aca="false">I231+E232</f>
        <v>304276.242744481</v>
      </c>
      <c r="J232" s="24" t="n">
        <f aca="false">J231+D232</f>
        <v>338397.265721421</v>
      </c>
    </row>
    <row r="233" customFormat="false" ht="15" hidden="true" customHeight="false" outlineLevel="1" collapsed="false">
      <c r="B233" s="125" t="n">
        <v>50922</v>
      </c>
      <c r="C233" s="21" t="n">
        <f aca="false">G232</f>
        <v>195723.757255519</v>
      </c>
      <c r="D233" s="24" t="n">
        <f aca="false">C233*E$8</f>
        <v>807.14822944217</v>
      </c>
      <c r="E233" s="25" t="n">
        <f aca="false">E$9-D233</f>
        <v>2100.87669574291</v>
      </c>
      <c r="F233" s="126" t="n">
        <v>0</v>
      </c>
      <c r="G233" s="24" t="n">
        <f aca="false">C233-E233-F233</f>
        <v>193622.880559776</v>
      </c>
      <c r="I233" s="25" t="n">
        <f aca="false">I232+E233</f>
        <v>306377.119440224</v>
      </c>
      <c r="J233" s="24" t="n">
        <f aca="false">J232+D233</f>
        <v>339204.413950863</v>
      </c>
    </row>
    <row r="234" customFormat="false" ht="15" hidden="true" customHeight="false" outlineLevel="1" collapsed="false">
      <c r="B234" s="125" t="n">
        <v>50952</v>
      </c>
      <c r="C234" s="21" t="n">
        <f aca="false">G233</f>
        <v>193622.880559776</v>
      </c>
      <c r="D234" s="24" t="n">
        <f aca="false">C234*E$8</f>
        <v>798.484391546235</v>
      </c>
      <c r="E234" s="25" t="n">
        <f aca="false">E$9-D234</f>
        <v>2109.54053363884</v>
      </c>
      <c r="F234" s="127" t="n">
        <v>0</v>
      </c>
      <c r="G234" s="24" t="n">
        <f aca="false">C234-E234-F234</f>
        <v>191513.340026137</v>
      </c>
      <c r="I234" s="25" t="n">
        <f aca="false">I233+E234</f>
        <v>308486.659973863</v>
      </c>
      <c r="J234" s="24" t="n">
        <f aca="false">J233+D234</f>
        <v>340002.898342409</v>
      </c>
    </row>
    <row r="235" customFormat="false" ht="15" hidden="true" customHeight="false" outlineLevel="1" collapsed="false">
      <c r="B235" s="125" t="n">
        <v>50983</v>
      </c>
      <c r="C235" s="21" t="n">
        <f aca="false">G234</f>
        <v>191513.340026137</v>
      </c>
      <c r="D235" s="24" t="n">
        <f aca="false">C235*E$8</f>
        <v>789.784824715213</v>
      </c>
      <c r="E235" s="25" t="n">
        <f aca="false">E$9-D235</f>
        <v>2118.24010046987</v>
      </c>
      <c r="F235" s="127" t="n">
        <v>0</v>
      </c>
      <c r="G235" s="24" t="n">
        <f aca="false">C235-E235-F235</f>
        <v>189395.099925667</v>
      </c>
      <c r="I235" s="25" t="n">
        <f aca="false">I234+E235</f>
        <v>310604.900074333</v>
      </c>
      <c r="J235" s="24" t="n">
        <f aca="false">J234+D235</f>
        <v>340792.683167125</v>
      </c>
    </row>
    <row r="236" customFormat="false" ht="15" hidden="true" customHeight="false" outlineLevel="1" collapsed="false">
      <c r="B236" s="125" t="n">
        <v>51014</v>
      </c>
      <c r="C236" s="21" t="n">
        <f aca="false">G235</f>
        <v>189395.099925667</v>
      </c>
      <c r="D236" s="24" t="n">
        <f aca="false">C236*E$8</f>
        <v>781.049381605997</v>
      </c>
      <c r="E236" s="25" t="n">
        <f aca="false">E$9-D236</f>
        <v>2126.97554357908</v>
      </c>
      <c r="F236" s="126" t="n">
        <v>0</v>
      </c>
      <c r="G236" s="24" t="n">
        <f aca="false">C236-E236-F236</f>
        <v>187268.124382088</v>
      </c>
      <c r="I236" s="25" t="n">
        <f aca="false">I235+E236</f>
        <v>312731.875617912</v>
      </c>
      <c r="J236" s="24" t="n">
        <f aca="false">J235+D236</f>
        <v>341573.732548731</v>
      </c>
    </row>
    <row r="237" customFormat="false" ht="15" hidden="true" customHeight="false" outlineLevel="1" collapsed="false">
      <c r="B237" s="125" t="n">
        <v>51044</v>
      </c>
      <c r="C237" s="21" t="n">
        <f aca="false">G236</f>
        <v>187268.124382088</v>
      </c>
      <c r="D237" s="24" t="n">
        <f aca="false">C237*E$8</f>
        <v>772.277914267847</v>
      </c>
      <c r="E237" s="25" t="n">
        <f aca="false">E$9-D237</f>
        <v>2135.74701091723</v>
      </c>
      <c r="F237" s="127" t="n">
        <v>0</v>
      </c>
      <c r="G237" s="24" t="n">
        <f aca="false">C237-E237-F237</f>
        <v>185132.377371171</v>
      </c>
      <c r="I237" s="25" t="n">
        <f aca="false">I236+E237</f>
        <v>314867.622628829</v>
      </c>
      <c r="J237" s="24" t="n">
        <f aca="false">J236+D237</f>
        <v>342346.010462998</v>
      </c>
    </row>
    <row r="238" customFormat="false" ht="15" hidden="true" customHeight="false" outlineLevel="1" collapsed="false">
      <c r="B238" s="125" t="n">
        <v>51075</v>
      </c>
      <c r="C238" s="21" t="n">
        <f aca="false">G237</f>
        <v>185132.377371171</v>
      </c>
      <c r="D238" s="24" t="n">
        <f aca="false">C238*E$8</f>
        <v>763.47027413989</v>
      </c>
      <c r="E238" s="25" t="n">
        <f aca="false">E$9-D238</f>
        <v>2144.55465104519</v>
      </c>
      <c r="F238" s="127" t="n">
        <v>0</v>
      </c>
      <c r="G238" s="24" t="n">
        <f aca="false">C238-E238-F238</f>
        <v>182987.822720126</v>
      </c>
      <c r="I238" s="25" t="n">
        <f aca="false">I237+E238</f>
        <v>317012.177279874</v>
      </c>
      <c r="J238" s="24" t="n">
        <f aca="false">J237+D238</f>
        <v>343109.480737138</v>
      </c>
    </row>
    <row r="239" customFormat="false" ht="15" hidden="true" customHeight="false" outlineLevel="1" collapsed="false">
      <c r="B239" s="125" t="n">
        <v>51105</v>
      </c>
      <c r="C239" s="21" t="n">
        <f aca="false">G238</f>
        <v>182987.822720126</v>
      </c>
      <c r="D239" s="24" t="n">
        <f aca="false">C239*E$8</f>
        <v>754.626312048598</v>
      </c>
      <c r="E239" s="25" t="n">
        <f aca="false">E$9-D239</f>
        <v>2153.39861313648</v>
      </c>
      <c r="F239" s="126" t="n">
        <v>0</v>
      </c>
      <c r="G239" s="24" t="n">
        <f aca="false">C239-E239-F239</f>
        <v>180834.424106989</v>
      </c>
      <c r="I239" s="25" t="n">
        <f aca="false">I238+E239</f>
        <v>319165.575893011</v>
      </c>
      <c r="J239" s="24" t="n">
        <f aca="false">J238+D239</f>
        <v>343864.107049187</v>
      </c>
    </row>
    <row r="240" customFormat="false" ht="15" hidden="true" customHeight="false" outlineLevel="1" collapsed="false">
      <c r="B240" s="125" t="n">
        <v>51136</v>
      </c>
      <c r="C240" s="21" t="n">
        <f aca="false">G239</f>
        <v>180834.424106989</v>
      </c>
      <c r="D240" s="24" t="n">
        <f aca="false">C240*E$8</f>
        <v>745.745878205264</v>
      </c>
      <c r="E240" s="25" t="n">
        <f aca="false">E$9-D240</f>
        <v>2162.27904697981</v>
      </c>
      <c r="F240" s="127" t="n">
        <v>0</v>
      </c>
      <c r="G240" s="24" t="n">
        <f aca="false">C240-E240-F240</f>
        <v>178672.145060009</v>
      </c>
      <c r="I240" s="25" t="n">
        <f aca="false">I239+E240</f>
        <v>321327.85493999</v>
      </c>
      <c r="J240" s="24" t="n">
        <f aca="false">J239+D240</f>
        <v>344609.852927392</v>
      </c>
    </row>
    <row r="241" customFormat="false" ht="15" hidden="true" customHeight="false" outlineLevel="1" collapsed="false">
      <c r="B241" s="125" t="n">
        <v>51167</v>
      </c>
      <c r="C241" s="21" t="n">
        <f aca="false">G240</f>
        <v>178672.145060009</v>
      </c>
      <c r="D241" s="24" t="n">
        <f aca="false">C241*E$8</f>
        <v>736.828822203467</v>
      </c>
      <c r="E241" s="25" t="n">
        <f aca="false">E$9-D241</f>
        <v>2171.19610298161</v>
      </c>
      <c r="F241" s="127" t="n">
        <v>0</v>
      </c>
      <c r="G241" s="24" t="n">
        <f aca="false">C241-E241-F241</f>
        <v>176500.948957028</v>
      </c>
      <c r="I241" s="25" t="n">
        <f aca="false">I240+E241</f>
        <v>323499.051042972</v>
      </c>
      <c r="J241" s="24" t="n">
        <f aca="false">J240+D241</f>
        <v>345346.681749596</v>
      </c>
    </row>
    <row r="242" customFormat="false" ht="15" hidden="true" customHeight="false" outlineLevel="1" collapsed="false">
      <c r="B242" s="125" t="n">
        <v>51196</v>
      </c>
      <c r="C242" s="21" t="n">
        <f aca="false">G241</f>
        <v>176500.948957028</v>
      </c>
      <c r="D242" s="24" t="n">
        <f aca="false">C242*E$8</f>
        <v>727.87499301652</v>
      </c>
      <c r="E242" s="25" t="n">
        <f aca="false">E$9-D242</f>
        <v>2180.14993216856</v>
      </c>
      <c r="F242" s="126" t="n">
        <v>0</v>
      </c>
      <c r="G242" s="24" t="n">
        <f aca="false">C242-E242-F242</f>
        <v>174320.799024859</v>
      </c>
      <c r="I242" s="25" t="n">
        <f aca="false">I241+E242</f>
        <v>325679.200975141</v>
      </c>
      <c r="J242" s="24" t="n">
        <f aca="false">J241+D242</f>
        <v>346074.556742612</v>
      </c>
    </row>
    <row r="243" customFormat="false" ht="15" hidden="true" customHeight="false" outlineLevel="1" collapsed="false">
      <c r="B243" s="125" t="n">
        <v>51227</v>
      </c>
      <c r="C243" s="21" t="n">
        <f aca="false">G242</f>
        <v>174320.799024859</v>
      </c>
      <c r="D243" s="24" t="n">
        <f aca="false">C243*E$8</f>
        <v>718.884238994917</v>
      </c>
      <c r="E243" s="25" t="n">
        <f aca="false">E$9-D243</f>
        <v>2189.14068619016</v>
      </c>
      <c r="F243" s="127" t="n">
        <v>0</v>
      </c>
      <c r="G243" s="24" t="n">
        <f aca="false">C243-E243-F243</f>
        <v>172131.658338669</v>
      </c>
      <c r="I243" s="25" t="n">
        <f aca="false">I242+E243</f>
        <v>327868.341661331</v>
      </c>
      <c r="J243" s="24" t="n">
        <f aca="false">J242+D243</f>
        <v>346793.440981607</v>
      </c>
    </row>
    <row r="244" customFormat="false" ht="15" hidden="true" customHeight="false" outlineLevel="1" collapsed="false">
      <c r="B244" s="125" t="n">
        <v>51257</v>
      </c>
      <c r="C244" s="21" t="n">
        <f aca="false">G243</f>
        <v>172131.658338669</v>
      </c>
      <c r="D244" s="24" t="n">
        <f aca="false">C244*E$8</f>
        <v>709.856407863761</v>
      </c>
      <c r="E244" s="25" t="n">
        <f aca="false">E$9-D244</f>
        <v>2198.16851732132</v>
      </c>
      <c r="F244" s="127" t="n">
        <v>0</v>
      </c>
      <c r="G244" s="24" t="n">
        <f aca="false">C244-E244-F244</f>
        <v>169933.489821348</v>
      </c>
      <c r="I244" s="25" t="n">
        <f aca="false">I243+E244</f>
        <v>330066.510178652</v>
      </c>
      <c r="J244" s="24" t="n">
        <f aca="false">J243+D244</f>
        <v>347503.297389471</v>
      </c>
    </row>
    <row r="245" customFormat="false" ht="15" hidden="true" customHeight="false" outlineLevel="1" collapsed="false">
      <c r="B245" s="125" t="n">
        <v>51288</v>
      </c>
      <c r="C245" s="21" t="n">
        <f aca="false">G244</f>
        <v>169933.489821348</v>
      </c>
      <c r="D245" s="24" t="n">
        <f aca="false">C245*E$8</f>
        <v>700.791346720186</v>
      </c>
      <c r="E245" s="25" t="n">
        <f aca="false">E$9-D245</f>
        <v>2207.23357846489</v>
      </c>
      <c r="F245" s="126" t="n">
        <v>0</v>
      </c>
      <c r="G245" s="24" t="n">
        <f aca="false">C245-E245-F245</f>
        <v>167726.256242883</v>
      </c>
      <c r="I245" s="25" t="n">
        <f aca="false">I244+E245</f>
        <v>332273.743757117</v>
      </c>
      <c r="J245" s="24" t="n">
        <f aca="false">J244+D245</f>
        <v>348204.088736191</v>
      </c>
    </row>
    <row r="246" customFormat="false" ht="15" hidden="true" customHeight="false" outlineLevel="1" collapsed="false">
      <c r="B246" s="125" t="n">
        <v>51318</v>
      </c>
      <c r="C246" s="21" t="n">
        <f aca="false">G245</f>
        <v>167726.256242883</v>
      </c>
      <c r="D246" s="24" t="n">
        <f aca="false">C246*E$8</f>
        <v>691.688902030769</v>
      </c>
      <c r="E246" s="25" t="n">
        <f aca="false">E$9-D246</f>
        <v>2216.33602315431</v>
      </c>
      <c r="F246" s="127" t="n">
        <v>0</v>
      </c>
      <c r="G246" s="24" t="n">
        <f aca="false">C246-E246-F246</f>
        <v>165509.920219729</v>
      </c>
      <c r="I246" s="25" t="n">
        <f aca="false">I245+E246</f>
        <v>334490.079780271</v>
      </c>
      <c r="J246" s="24" t="n">
        <f aca="false">J245+D246</f>
        <v>348895.777638222</v>
      </c>
    </row>
    <row r="247" customFormat="false" ht="15" hidden="true" customHeight="false" outlineLevel="1" collapsed="false">
      <c r="B247" s="125" t="n">
        <v>51349</v>
      </c>
      <c r="C247" s="21" t="n">
        <f aca="false">G246</f>
        <v>165509.920219729</v>
      </c>
      <c r="D247" s="24" t="n">
        <f aca="false">C247*E$8</f>
        <v>682.548919628927</v>
      </c>
      <c r="E247" s="25" t="n">
        <f aca="false">E$9-D247</f>
        <v>2225.47600555615</v>
      </c>
      <c r="F247" s="127" t="n">
        <v>0</v>
      </c>
      <c r="G247" s="24" t="n">
        <f aca="false">C247-E247-F247</f>
        <v>163284.444214172</v>
      </c>
      <c r="I247" s="25" t="n">
        <f aca="false">I246+E247</f>
        <v>336715.555785827</v>
      </c>
      <c r="J247" s="24" t="n">
        <f aca="false">J246+D247</f>
        <v>349578.326557851</v>
      </c>
    </row>
    <row r="248" customFormat="false" ht="15" hidden="true" customHeight="false" outlineLevel="1" collapsed="false">
      <c r="B248" s="125" t="n">
        <v>51380</v>
      </c>
      <c r="C248" s="21" t="n">
        <f aca="false">G247</f>
        <v>163284.444214172</v>
      </c>
      <c r="D248" s="24" t="n">
        <f aca="false">C248*E$8</f>
        <v>673.371244712307</v>
      </c>
      <c r="E248" s="25" t="n">
        <f aca="false">E$9-D248</f>
        <v>2234.65368047277</v>
      </c>
      <c r="F248" s="126" t="n">
        <v>0</v>
      </c>
      <c r="G248" s="24" t="n">
        <f aca="false">C248-E248-F248</f>
        <v>161049.7905337</v>
      </c>
      <c r="I248" s="25" t="n">
        <f aca="false">I247+E248</f>
        <v>338950.2094663</v>
      </c>
      <c r="J248" s="24" t="n">
        <f aca="false">J247+D248</f>
        <v>350251.697802563</v>
      </c>
    </row>
    <row r="249" customFormat="false" ht="15" hidden="true" customHeight="false" outlineLevel="1" collapsed="false">
      <c r="B249" s="125" t="n">
        <v>51410</v>
      </c>
      <c r="C249" s="21" t="n">
        <f aca="false">G248</f>
        <v>161049.7905337</v>
      </c>
      <c r="D249" s="24" t="n">
        <f aca="false">C249*E$8</f>
        <v>664.155721840163</v>
      </c>
      <c r="E249" s="25" t="n">
        <f aca="false">E$9-D249</f>
        <v>2243.86920334491</v>
      </c>
      <c r="F249" s="127" t="n">
        <v>0</v>
      </c>
      <c r="G249" s="24" t="n">
        <f aca="false">C249-E249-F249</f>
        <v>158805.921330355</v>
      </c>
      <c r="I249" s="25" t="n">
        <f aca="false">I248+E249</f>
        <v>341194.078669645</v>
      </c>
      <c r="J249" s="24" t="n">
        <f aca="false">J248+D249</f>
        <v>350915.853524403</v>
      </c>
    </row>
    <row r="250" customFormat="false" ht="15" hidden="true" customHeight="false" outlineLevel="1" collapsed="false">
      <c r="B250" s="125" t="n">
        <v>51441</v>
      </c>
      <c r="C250" s="21" t="n">
        <f aca="false">G249</f>
        <v>158805.921330355</v>
      </c>
      <c r="D250" s="24" t="n">
        <f aca="false">C250*E$8</f>
        <v>654.902194930729</v>
      </c>
      <c r="E250" s="25" t="n">
        <f aca="false">E$9-D250</f>
        <v>2253.12273025435</v>
      </c>
      <c r="F250" s="127" t="n">
        <v>0</v>
      </c>
      <c r="G250" s="24" t="n">
        <f aca="false">C250-E250-F250</f>
        <v>156552.7986001</v>
      </c>
      <c r="I250" s="25" t="n">
        <f aca="false">I249+E250</f>
        <v>343447.2013999</v>
      </c>
      <c r="J250" s="24" t="n">
        <f aca="false">J249+D250</f>
        <v>351570.755719334</v>
      </c>
    </row>
    <row r="251" customFormat="false" ht="15" hidden="true" customHeight="false" outlineLevel="1" collapsed="false">
      <c r="B251" s="125" t="n">
        <v>51471</v>
      </c>
      <c r="C251" s="21" t="n">
        <f aca="false">G250</f>
        <v>156552.7986001</v>
      </c>
      <c r="D251" s="24" t="n">
        <f aca="false">C251*E$8</f>
        <v>645.610507258565</v>
      </c>
      <c r="E251" s="25" t="n">
        <f aca="false">E$9-D251</f>
        <v>2262.41441792651</v>
      </c>
      <c r="F251" s="126" t="n">
        <v>0</v>
      </c>
      <c r="G251" s="24" t="n">
        <f aca="false">C251-E251-F251</f>
        <v>154290.384182174</v>
      </c>
      <c r="I251" s="25" t="n">
        <f aca="false">I250+E251</f>
        <v>345709.615817826</v>
      </c>
      <c r="J251" s="24" t="n">
        <f aca="false">J250+D251</f>
        <v>352216.366226592</v>
      </c>
    </row>
    <row r="252" customFormat="false" ht="15" hidden="true" customHeight="false" outlineLevel="1" collapsed="false">
      <c r="B252" s="125" t="n">
        <v>51502</v>
      </c>
      <c r="C252" s="21" t="n">
        <f aca="false">G251</f>
        <v>154290.384182174</v>
      </c>
      <c r="D252" s="24" t="n">
        <f aca="false">C252*E$8</f>
        <v>636.280501451912</v>
      </c>
      <c r="E252" s="25" t="n">
        <f aca="false">E$9-D252</f>
        <v>2271.74442373317</v>
      </c>
      <c r="F252" s="127" t="n">
        <v>0</v>
      </c>
      <c r="G252" s="24" t="n">
        <f aca="false">C252-E252-F252</f>
        <v>152018.639758441</v>
      </c>
      <c r="I252" s="25" t="n">
        <f aca="false">I251+E252</f>
        <v>347981.360241559</v>
      </c>
      <c r="J252" s="24" t="n">
        <f aca="false">J251+D252</f>
        <v>352852.646728044</v>
      </c>
    </row>
    <row r="253" customFormat="false" ht="15" hidden="true" customHeight="false" outlineLevel="1" collapsed="false">
      <c r="B253" s="125" t="n">
        <v>51533</v>
      </c>
      <c r="C253" s="21" t="n">
        <f aca="false">G252</f>
        <v>152018.639758441</v>
      </c>
      <c r="D253" s="24" t="n">
        <f aca="false">C253*E$8</f>
        <v>626.912019490024</v>
      </c>
      <c r="E253" s="25" t="n">
        <f aca="false">E$9-D253</f>
        <v>2281.11290569505</v>
      </c>
      <c r="F253" s="127" t="n">
        <v>0</v>
      </c>
      <c r="G253" s="24" t="n">
        <f aca="false">C253-E253-F253</f>
        <v>149737.526852746</v>
      </c>
      <c r="I253" s="25" t="n">
        <f aca="false">I252+E253</f>
        <v>350262.473147254</v>
      </c>
      <c r="J253" s="24" t="n">
        <f aca="false">J252+D253</f>
        <v>353479.558747534</v>
      </c>
    </row>
    <row r="254" customFormat="false" ht="15" hidden="true" customHeight="false" outlineLevel="1" collapsed="false">
      <c r="B254" s="125" t="n">
        <v>51561</v>
      </c>
      <c r="C254" s="21" t="n">
        <f aca="false">G253</f>
        <v>149737.526852746</v>
      </c>
      <c r="D254" s="24" t="n">
        <f aca="false">C254*E$8</f>
        <v>617.504902700488</v>
      </c>
      <c r="E254" s="25" t="n">
        <f aca="false">E$9-D254</f>
        <v>2290.52002248459</v>
      </c>
      <c r="F254" s="126" t="n">
        <v>0</v>
      </c>
      <c r="G254" s="24" t="n">
        <f aca="false">C254-E254-F254</f>
        <v>147447.006830261</v>
      </c>
      <c r="I254" s="25" t="n">
        <f aca="false">I253+E254</f>
        <v>352552.993169739</v>
      </c>
      <c r="J254" s="24" t="n">
        <f aca="false">J253+D254</f>
        <v>354097.063650235</v>
      </c>
    </row>
    <row r="255" customFormat="false" ht="15" hidden="true" customHeight="false" outlineLevel="1" collapsed="false">
      <c r="B255" s="125" t="n">
        <v>51592</v>
      </c>
      <c r="C255" s="21" t="n">
        <f aca="false">G254</f>
        <v>147447.006830261</v>
      </c>
      <c r="D255" s="24" t="n">
        <f aca="false">C255*E$8</f>
        <v>608.058991756541</v>
      </c>
      <c r="E255" s="25" t="n">
        <f aca="false">E$9-D255</f>
        <v>2299.96593342854</v>
      </c>
      <c r="F255" s="127" t="n">
        <v>0</v>
      </c>
      <c r="G255" s="24" t="n">
        <f aca="false">C255-E255-F255</f>
        <v>145147.040896833</v>
      </c>
      <c r="I255" s="25" t="n">
        <f aca="false">I254+E255</f>
        <v>354852.959103167</v>
      </c>
      <c r="J255" s="24" t="n">
        <f aca="false">J254+D255</f>
        <v>354705.122641991</v>
      </c>
    </row>
    <row r="256" customFormat="false" ht="15" hidden="true" customHeight="false" outlineLevel="1" collapsed="false">
      <c r="B256" s="125" t="n">
        <v>51622</v>
      </c>
      <c r="C256" s="21" t="n">
        <f aca="false">G255</f>
        <v>145147.040896833</v>
      </c>
      <c r="D256" s="24" t="n">
        <f aca="false">C256*E$8</f>
        <v>598.57412667437</v>
      </c>
      <c r="E256" s="25" t="n">
        <f aca="false">E$9-D256</f>
        <v>2309.45079851071</v>
      </c>
      <c r="F256" s="127" t="n">
        <v>0</v>
      </c>
      <c r="G256" s="24" t="n">
        <f aca="false">C256-E256-F256</f>
        <v>142837.590098322</v>
      </c>
      <c r="I256" s="25" t="n">
        <f aca="false">I255+E256</f>
        <v>357162.409901678</v>
      </c>
      <c r="J256" s="24" t="n">
        <f aca="false">J255+D256</f>
        <v>355303.696768666</v>
      </c>
    </row>
    <row r="257" customFormat="false" ht="15" hidden="true" customHeight="false" outlineLevel="1" collapsed="false">
      <c r="B257" s="125" t="n">
        <v>51653</v>
      </c>
      <c r="C257" s="21" t="n">
        <f aca="false">G256</f>
        <v>142837.590098322</v>
      </c>
      <c r="D257" s="24" t="n">
        <f aca="false">C257*E$8</f>
        <v>589.050146810402</v>
      </c>
      <c r="E257" s="25" t="n">
        <f aca="false">E$9-D257</f>
        <v>2318.97477837468</v>
      </c>
      <c r="F257" s="126" t="n">
        <v>0</v>
      </c>
      <c r="G257" s="24" t="n">
        <f aca="false">C257-E257-F257</f>
        <v>140518.615319947</v>
      </c>
      <c r="I257" s="25" t="n">
        <f aca="false">I256+E257</f>
        <v>359481.384680053</v>
      </c>
      <c r="J257" s="24" t="n">
        <f aca="false">J256+D257</f>
        <v>355892.746915476</v>
      </c>
    </row>
    <row r="258" customFormat="false" ht="15" hidden="true" customHeight="false" outlineLevel="1" collapsed="false">
      <c r="B258" s="125" t="n">
        <v>51683</v>
      </c>
      <c r="C258" s="21" t="n">
        <f aca="false">G257</f>
        <v>140518.615319947</v>
      </c>
      <c r="D258" s="24" t="n">
        <f aca="false">C258*E$8</f>
        <v>579.486890858583</v>
      </c>
      <c r="E258" s="25" t="n">
        <f aca="false">E$9-D258</f>
        <v>2328.53803432649</v>
      </c>
      <c r="F258" s="127" t="n">
        <v>0</v>
      </c>
      <c r="G258" s="24" t="n">
        <f aca="false">C258-E258-F258</f>
        <v>138190.077285621</v>
      </c>
      <c r="I258" s="25" t="n">
        <f aca="false">I257+E258</f>
        <v>361809.922714379</v>
      </c>
      <c r="J258" s="24" t="n">
        <f aca="false">J257+D258</f>
        <v>356472.233806335</v>
      </c>
    </row>
    <row r="259" customFormat="false" ht="15" hidden="true" customHeight="false" outlineLevel="1" collapsed="false">
      <c r="B259" s="125" t="n">
        <v>51714</v>
      </c>
      <c r="C259" s="21" t="n">
        <f aca="false">G258</f>
        <v>138190.077285621</v>
      </c>
      <c r="D259" s="24" t="n">
        <f aca="false">C259*E$8</f>
        <v>569.884196847648</v>
      </c>
      <c r="E259" s="25" t="n">
        <f aca="false">E$9-D259</f>
        <v>2338.14072833743</v>
      </c>
      <c r="F259" s="127" t="n">
        <v>0</v>
      </c>
      <c r="G259" s="24" t="n">
        <f aca="false">C259-E259-F259</f>
        <v>135851.936557283</v>
      </c>
      <c r="I259" s="25" t="n">
        <f aca="false">I258+E259</f>
        <v>364148.063442717</v>
      </c>
      <c r="J259" s="24" t="n">
        <f aca="false">J258+D259</f>
        <v>357042.118003182</v>
      </c>
    </row>
    <row r="260" customFormat="false" ht="15" hidden="true" customHeight="false" outlineLevel="1" collapsed="false">
      <c r="B260" s="125" t="n">
        <v>51745</v>
      </c>
      <c r="C260" s="21" t="n">
        <f aca="false">G259</f>
        <v>135851.936557283</v>
      </c>
      <c r="D260" s="24" t="n">
        <f aca="false">C260*E$8</f>
        <v>560.241902138374</v>
      </c>
      <c r="E260" s="25" t="n">
        <f aca="false">E$9-D260</f>
        <v>2347.7830230467</v>
      </c>
      <c r="F260" s="126" t="n">
        <v>0</v>
      </c>
      <c r="G260" s="24" t="n">
        <f aca="false">C260-E260-F260</f>
        <v>133504.153534236</v>
      </c>
      <c r="I260" s="25" t="n">
        <f aca="false">I259+E260</f>
        <v>366495.846465763</v>
      </c>
      <c r="J260" s="24" t="n">
        <f aca="false">J259+D260</f>
        <v>357602.359905321</v>
      </c>
    </row>
    <row r="261" customFormat="false" ht="15" hidden="true" customHeight="false" outlineLevel="1" collapsed="false">
      <c r="B261" s="125" t="n">
        <v>51775</v>
      </c>
      <c r="C261" s="21" t="n">
        <f aca="false">G260</f>
        <v>133504.153534236</v>
      </c>
      <c r="D261" s="24" t="n">
        <f aca="false">C261*E$8</f>
        <v>550.559843420828</v>
      </c>
      <c r="E261" s="25" t="n">
        <f aca="false">E$9-D261</f>
        <v>2357.46508176425</v>
      </c>
      <c r="F261" s="127" t="n">
        <v>0</v>
      </c>
      <c r="G261" s="24" t="n">
        <f aca="false">C261-E261-F261</f>
        <v>131146.688452472</v>
      </c>
      <c r="I261" s="25" t="n">
        <f aca="false">I260+E261</f>
        <v>368853.311547528</v>
      </c>
      <c r="J261" s="24" t="n">
        <f aca="false">J260+D261</f>
        <v>358152.919748742</v>
      </c>
    </row>
    <row r="262" customFormat="false" ht="15" hidden="true" customHeight="false" outlineLevel="1" collapsed="false">
      <c r="B262" s="125" t="n">
        <v>51806</v>
      </c>
      <c r="C262" s="21" t="n">
        <f aca="false">G261</f>
        <v>131146.688452472</v>
      </c>
      <c r="D262" s="24" t="n">
        <f aca="false">C262*E$8</f>
        <v>540.837856711603</v>
      </c>
      <c r="E262" s="25" t="n">
        <f aca="false">E$9-D262</f>
        <v>2367.18706847348</v>
      </c>
      <c r="F262" s="127" t="n">
        <v>0</v>
      </c>
      <c r="G262" s="24" t="n">
        <f aca="false">C262-E262-F262</f>
        <v>128779.501383999</v>
      </c>
      <c r="I262" s="25" t="n">
        <f aca="false">I261+E262</f>
        <v>371220.498616001</v>
      </c>
      <c r="J262" s="24" t="n">
        <f aca="false">J261+D262</f>
        <v>358693.757605453</v>
      </c>
    </row>
    <row r="263" customFormat="false" ht="15" hidden="true" customHeight="false" outlineLevel="1" collapsed="false">
      <c r="B263" s="125" t="n">
        <v>51836</v>
      </c>
      <c r="C263" s="21" t="n">
        <f aca="false">G262</f>
        <v>128779.501383999</v>
      </c>
      <c r="D263" s="24" t="n">
        <f aca="false">C263*E$8</f>
        <v>531.075777351036</v>
      </c>
      <c r="E263" s="25" t="n">
        <f aca="false">E$9-D263</f>
        <v>2376.94914783404</v>
      </c>
      <c r="F263" s="126" t="n">
        <v>0</v>
      </c>
      <c r="G263" s="24" t="n">
        <f aca="false">C263-E263-F263</f>
        <v>126402.552236165</v>
      </c>
      <c r="I263" s="25" t="n">
        <f aca="false">I262+E263</f>
        <v>373597.447763835</v>
      </c>
      <c r="J263" s="24" t="n">
        <f aca="false">J262+D263</f>
        <v>359224.833382804</v>
      </c>
    </row>
    <row r="264" customFormat="false" ht="15" hidden="true" customHeight="false" outlineLevel="1" collapsed="false">
      <c r="B264" s="125" t="n">
        <v>51867</v>
      </c>
      <c r="C264" s="21" t="n">
        <f aca="false">G263</f>
        <v>126402.552236165</v>
      </c>
      <c r="D264" s="24" t="n">
        <f aca="false">C264*E$8</f>
        <v>521.273440000422</v>
      </c>
      <c r="E264" s="25" t="n">
        <f aca="false">E$9-D264</f>
        <v>2386.75148518466</v>
      </c>
      <c r="F264" s="127" t="n">
        <v>0</v>
      </c>
      <c r="G264" s="24" t="n">
        <f aca="false">C264-E264-F264</f>
        <v>124015.80075098</v>
      </c>
      <c r="I264" s="25" t="n">
        <f aca="false">I263+E264</f>
        <v>375984.19924902</v>
      </c>
      <c r="J264" s="24" t="n">
        <f aca="false">J263+D264</f>
        <v>359746.106822805</v>
      </c>
    </row>
    <row r="265" customFormat="false" ht="15" hidden="true" customHeight="false" outlineLevel="1" collapsed="false">
      <c r="B265" s="125" t="n">
        <v>51898</v>
      </c>
      <c r="C265" s="21" t="n">
        <f aca="false">G264</f>
        <v>124015.80075098</v>
      </c>
      <c r="D265" s="24" t="n">
        <f aca="false">C265*E$8</f>
        <v>511.430678639213</v>
      </c>
      <c r="E265" s="25" t="n">
        <f aca="false">E$9-D265</f>
        <v>2396.59424654587</v>
      </c>
      <c r="F265" s="127" t="n">
        <v>0</v>
      </c>
      <c r="G265" s="24" t="n">
        <f aca="false">C265-E265-F265</f>
        <v>121619.206504434</v>
      </c>
      <c r="I265" s="25" t="n">
        <f aca="false">I264+E265</f>
        <v>378380.793495566</v>
      </c>
      <c r="J265" s="24" t="n">
        <f aca="false">J264+D265</f>
        <v>360257.537501444</v>
      </c>
    </row>
    <row r="266" customFormat="false" ht="15" hidden="true" customHeight="false" outlineLevel="1" collapsed="false">
      <c r="B266" s="125" t="n">
        <v>51926</v>
      </c>
      <c r="C266" s="21" t="n">
        <f aca="false">G265</f>
        <v>121619.206504434</v>
      </c>
      <c r="D266" s="24" t="n">
        <f aca="false">C266*E$8</f>
        <v>501.547326562207</v>
      </c>
      <c r="E266" s="25" t="n">
        <f aca="false">E$9-D266</f>
        <v>2406.47759862287</v>
      </c>
      <c r="F266" s="126" t="n">
        <v>0</v>
      </c>
      <c r="G266" s="24" t="n">
        <f aca="false">C266-E266-F266</f>
        <v>119212.728905811</v>
      </c>
      <c r="I266" s="25" t="n">
        <f aca="false">I265+E266</f>
        <v>380787.271094189</v>
      </c>
      <c r="J266" s="24" t="n">
        <f aca="false">J265+D266</f>
        <v>360759.084828006</v>
      </c>
    </row>
    <row r="267" customFormat="false" ht="15" hidden="true" customHeight="false" outlineLevel="1" collapsed="false">
      <c r="B267" s="125" t="n">
        <v>51957</v>
      </c>
      <c r="C267" s="21" t="n">
        <f aca="false">G266</f>
        <v>119212.728905811</v>
      </c>
      <c r="D267" s="24" t="n">
        <f aca="false">C267*E$8</f>
        <v>491.623216376723</v>
      </c>
      <c r="E267" s="25" t="n">
        <f aca="false">E$9-D267</f>
        <v>2416.40170880836</v>
      </c>
      <c r="F267" s="127" t="n">
        <v>0</v>
      </c>
      <c r="G267" s="24" t="n">
        <f aca="false">C267-E267-F267</f>
        <v>116796.327197003</v>
      </c>
      <c r="I267" s="25" t="n">
        <f aca="false">I266+E267</f>
        <v>383203.672802997</v>
      </c>
      <c r="J267" s="24" t="n">
        <f aca="false">J266+D267</f>
        <v>361250.708044383</v>
      </c>
    </row>
    <row r="268" customFormat="false" ht="15" hidden="true" customHeight="false" outlineLevel="1" collapsed="false">
      <c r="B268" s="125" t="n">
        <v>51987</v>
      </c>
      <c r="C268" s="21" t="n">
        <f aca="false">G267</f>
        <v>116796.327197003</v>
      </c>
      <c r="D268" s="24" t="n">
        <f aca="false">C268*E$8</f>
        <v>481.658179999767</v>
      </c>
      <c r="E268" s="25" t="n">
        <f aca="false">E$9-D268</f>
        <v>2426.36674518531</v>
      </c>
      <c r="F268" s="127" t="n">
        <v>0</v>
      </c>
      <c r="G268" s="24" t="n">
        <f aca="false">C268-E268-F268</f>
        <v>114369.960451818</v>
      </c>
      <c r="I268" s="25" t="n">
        <f aca="false">I267+E268</f>
        <v>385630.039548182</v>
      </c>
      <c r="J268" s="24" t="n">
        <f aca="false">J267+D268</f>
        <v>361732.366224383</v>
      </c>
    </row>
    <row r="269" customFormat="false" ht="15" hidden="true" customHeight="false" outlineLevel="1" collapsed="false">
      <c r="B269" s="125" t="n">
        <v>52018</v>
      </c>
      <c r="C269" s="21" t="n">
        <f aca="false">G268</f>
        <v>114369.960451818</v>
      </c>
      <c r="D269" s="24" t="n">
        <f aca="false">C269*E$8</f>
        <v>471.652048655185</v>
      </c>
      <c r="E269" s="25" t="n">
        <f aca="false">E$9-D269</f>
        <v>2436.37287652989</v>
      </c>
      <c r="F269" s="126" t="n">
        <v>0</v>
      </c>
      <c r="G269" s="24" t="n">
        <f aca="false">C269-E269-F269</f>
        <v>111933.587575288</v>
      </c>
      <c r="I269" s="25" t="n">
        <f aca="false">I268+E269</f>
        <v>388066.412424712</v>
      </c>
      <c r="J269" s="24" t="n">
        <f aca="false">J268+D269</f>
        <v>362204.018273038</v>
      </c>
    </row>
    <row r="270" customFormat="false" ht="15" hidden="true" customHeight="false" outlineLevel="1" collapsed="false">
      <c r="B270" s="125" t="n">
        <v>52048</v>
      </c>
      <c r="C270" s="21" t="n">
        <f aca="false">G269</f>
        <v>111933.587575288</v>
      </c>
      <c r="D270" s="24" t="n">
        <f aca="false">C270*E$8</f>
        <v>461.604652870806</v>
      </c>
      <c r="E270" s="25" t="n">
        <f aca="false">E$9-D270</f>
        <v>2446.42027231427</v>
      </c>
      <c r="F270" s="127" t="n">
        <v>0</v>
      </c>
      <c r="G270" s="24" t="n">
        <f aca="false">C270-E270-F270</f>
        <v>109487.167302974</v>
      </c>
      <c r="I270" s="25" t="n">
        <f aca="false">I269+E270</f>
        <v>390512.832697026</v>
      </c>
      <c r="J270" s="24" t="n">
        <f aca="false">J269+D270</f>
        <v>362665.622925909</v>
      </c>
    </row>
    <row r="271" customFormat="false" ht="15" hidden="true" customHeight="false" outlineLevel="1" collapsed="false">
      <c r="B271" s="125" t="n">
        <v>52079</v>
      </c>
      <c r="C271" s="21" t="n">
        <f aca="false">G270</f>
        <v>109487.167302974</v>
      </c>
      <c r="D271" s="24" t="n">
        <f aca="false">C271*E$8</f>
        <v>451.515822475567</v>
      </c>
      <c r="E271" s="25" t="n">
        <f aca="false">E$9-D271</f>
        <v>2456.50910270951</v>
      </c>
      <c r="F271" s="127" t="n">
        <v>0</v>
      </c>
      <c r="G271" s="24" t="n">
        <f aca="false">C271-E271-F271</f>
        <v>107030.658200264</v>
      </c>
      <c r="I271" s="25" t="n">
        <f aca="false">I270+E271</f>
        <v>392969.341799736</v>
      </c>
      <c r="J271" s="24" t="n">
        <f aca="false">J270+D271</f>
        <v>363117.138748384</v>
      </c>
    </row>
    <row r="272" customFormat="false" ht="15" hidden="true" customHeight="false" outlineLevel="1" collapsed="false">
      <c r="B272" s="125" t="n">
        <v>52110</v>
      </c>
      <c r="C272" s="21" t="n">
        <f aca="false">G271</f>
        <v>107030.658200264</v>
      </c>
      <c r="D272" s="24" t="n">
        <f aca="false">C272*E$8</f>
        <v>441.385386596635</v>
      </c>
      <c r="E272" s="25" t="n">
        <f aca="false">E$9-D272</f>
        <v>2466.63953858844</v>
      </c>
      <c r="F272" s="126" t="n">
        <v>0</v>
      </c>
      <c r="G272" s="24" t="n">
        <f aca="false">C272-E272-F272</f>
        <v>104564.018661676</v>
      </c>
      <c r="I272" s="25" t="n">
        <f aca="false">I271+E272</f>
        <v>395435.981338324</v>
      </c>
      <c r="J272" s="24" t="n">
        <f aca="false">J271+D272</f>
        <v>363558.524134981</v>
      </c>
    </row>
    <row r="273" customFormat="false" ht="15" hidden="true" customHeight="false" outlineLevel="1" collapsed="false">
      <c r="B273" s="125" t="n">
        <v>52140</v>
      </c>
      <c r="C273" s="21" t="n">
        <f aca="false">G272</f>
        <v>104564.018661676</v>
      </c>
      <c r="D273" s="24" t="n">
        <f aca="false">C273*E$8</f>
        <v>431.213173656514</v>
      </c>
      <c r="E273" s="25" t="n">
        <f aca="false">E$9-D273</f>
        <v>2476.81175152856</v>
      </c>
      <c r="F273" s="127" t="n">
        <v>0</v>
      </c>
      <c r="G273" s="24" t="n">
        <f aca="false">C273-E273-F273</f>
        <v>102087.206910147</v>
      </c>
      <c r="I273" s="25" t="n">
        <f aca="false">I272+E273</f>
        <v>397912.793089853</v>
      </c>
      <c r="J273" s="24" t="n">
        <f aca="false">J272+D273</f>
        <v>363989.737308637</v>
      </c>
    </row>
    <row r="274" customFormat="false" ht="15" hidden="true" customHeight="false" outlineLevel="1" collapsed="false">
      <c r="B274" s="125" t="n">
        <v>52171</v>
      </c>
      <c r="C274" s="21" t="n">
        <f aca="false">G273</f>
        <v>102087.206910147</v>
      </c>
      <c r="D274" s="24" t="n">
        <f aca="false">C274*E$8</f>
        <v>420.999011370135</v>
      </c>
      <c r="E274" s="25" t="n">
        <f aca="false">E$9-D274</f>
        <v>2487.02591381494</v>
      </c>
      <c r="F274" s="127" t="n">
        <v>0</v>
      </c>
      <c r="G274" s="24" t="n">
        <f aca="false">C274-E274-F274</f>
        <v>99600.1809963321</v>
      </c>
      <c r="I274" s="25" t="n">
        <f aca="false">I273+E274</f>
        <v>400399.819003668</v>
      </c>
      <c r="J274" s="24" t="n">
        <f aca="false">J273+D274</f>
        <v>364410.736320007</v>
      </c>
    </row>
    <row r="275" customFormat="false" ht="15" hidden="true" customHeight="false" outlineLevel="1" collapsed="false">
      <c r="B275" s="125" t="n">
        <v>52201</v>
      </c>
      <c r="C275" s="21" t="n">
        <f aca="false">G274</f>
        <v>99600.1809963321</v>
      </c>
      <c r="D275" s="24" t="n">
        <f aca="false">C275*E$8</f>
        <v>410.742726741939</v>
      </c>
      <c r="E275" s="25" t="n">
        <f aca="false">E$9-D275</f>
        <v>2497.28219844314</v>
      </c>
      <c r="F275" s="126" t="n">
        <v>0</v>
      </c>
      <c r="G275" s="24" t="n">
        <f aca="false">C275-E275-F275</f>
        <v>97102.8987978889</v>
      </c>
      <c r="I275" s="25" t="n">
        <f aca="false">I274+E275</f>
        <v>402897.101202111</v>
      </c>
      <c r="J275" s="24" t="n">
        <f aca="false">J274+D275</f>
        <v>364821.479046749</v>
      </c>
    </row>
    <row r="276" customFormat="false" ht="15" hidden="true" customHeight="false" outlineLevel="1" collapsed="false">
      <c r="B276" s="125" t="n">
        <v>52232</v>
      </c>
      <c r="C276" s="21" t="n">
        <f aca="false">G275</f>
        <v>97102.8987978889</v>
      </c>
      <c r="D276" s="24" t="n">
        <f aca="false">C276*E$8</f>
        <v>400.44414606295</v>
      </c>
      <c r="E276" s="25" t="n">
        <f aca="false">E$9-D276</f>
        <v>2507.58077912213</v>
      </c>
      <c r="F276" s="127" t="n">
        <v>0</v>
      </c>
      <c r="G276" s="24" t="n">
        <f aca="false">C276-E276-F276</f>
        <v>94595.3180187668</v>
      </c>
      <c r="I276" s="25" t="n">
        <f aca="false">I275+E276</f>
        <v>405404.681981233</v>
      </c>
      <c r="J276" s="24" t="n">
        <f aca="false">J275+D276</f>
        <v>365221.923192812</v>
      </c>
    </row>
    <row r="277" customFormat="false" ht="15" hidden="true" customHeight="false" outlineLevel="1" collapsed="false">
      <c r="B277" s="125" t="n">
        <v>52263</v>
      </c>
      <c r="C277" s="21" t="n">
        <f aca="false">G276</f>
        <v>94595.3180187668</v>
      </c>
      <c r="D277" s="24" t="n">
        <f aca="false">C277*E$8</f>
        <v>390.103094907829</v>
      </c>
      <c r="E277" s="25" t="n">
        <f aca="false">E$9-D277</f>
        <v>2517.92183027725</v>
      </c>
      <c r="F277" s="127" t="n">
        <v>0</v>
      </c>
      <c r="G277" s="24" t="n">
        <f aca="false">C277-E277-F277</f>
        <v>92077.3961884895</v>
      </c>
      <c r="I277" s="25" t="n">
        <f aca="false">I276+E277</f>
        <v>407922.60381151</v>
      </c>
      <c r="J277" s="24" t="n">
        <f aca="false">J276+D277</f>
        <v>365612.02628772</v>
      </c>
    </row>
    <row r="278" customFormat="false" ht="15" hidden="true" customHeight="false" outlineLevel="1" collapsed="false">
      <c r="B278" s="125" t="n">
        <v>52291</v>
      </c>
      <c r="C278" s="21" t="n">
        <f aca="false">G277</f>
        <v>92077.3961884895</v>
      </c>
      <c r="D278" s="24" t="n">
        <f aca="false">C278*E$8</f>
        <v>379.719398131925</v>
      </c>
      <c r="E278" s="25" t="n">
        <f aca="false">E$9-D278</f>
        <v>2528.30552705315</v>
      </c>
      <c r="F278" s="126" t="n">
        <v>0</v>
      </c>
      <c r="G278" s="24" t="n">
        <f aca="false">C278-E278-F278</f>
        <v>89549.0906614364</v>
      </c>
      <c r="I278" s="25" t="n">
        <f aca="false">I277+E278</f>
        <v>410450.909338564</v>
      </c>
      <c r="J278" s="24" t="n">
        <f aca="false">J277+D278</f>
        <v>365991.745685852</v>
      </c>
    </row>
    <row r="279" customFormat="false" ht="15" hidden="true" customHeight="false" outlineLevel="1" collapsed="false">
      <c r="B279" s="125" t="n">
        <v>52322</v>
      </c>
      <c r="C279" s="21" t="n">
        <f aca="false">G278</f>
        <v>89549.0906614364</v>
      </c>
      <c r="D279" s="24" t="n">
        <f aca="false">C279*E$8</f>
        <v>369.292879868301</v>
      </c>
      <c r="E279" s="25" t="n">
        <f aca="false">E$9-D279</f>
        <v>2538.73204531678</v>
      </c>
      <c r="F279" s="127" t="n">
        <v>0</v>
      </c>
      <c r="G279" s="24" t="n">
        <f aca="false">C279-E279-F279</f>
        <v>87010.3586161196</v>
      </c>
      <c r="I279" s="25" t="n">
        <f aca="false">I278+E279</f>
        <v>412989.64138388</v>
      </c>
      <c r="J279" s="24" t="n">
        <f aca="false">J278+D279</f>
        <v>366361.03856572</v>
      </c>
    </row>
    <row r="280" customFormat="false" ht="15" hidden="true" customHeight="false" outlineLevel="1" collapsed="false">
      <c r="B280" s="125" t="n">
        <v>52352</v>
      </c>
      <c r="C280" s="21" t="n">
        <f aca="false">G279</f>
        <v>87010.3586161196</v>
      </c>
      <c r="D280" s="24" t="n">
        <f aca="false">C280*E$8</f>
        <v>358.823363524762</v>
      </c>
      <c r="E280" s="25" t="n">
        <f aca="false">E$9-D280</f>
        <v>2549.20156166032</v>
      </c>
      <c r="F280" s="127" t="n">
        <v>0</v>
      </c>
      <c r="G280" s="24" t="n">
        <f aca="false">C280-E280-F280</f>
        <v>84461.1570544593</v>
      </c>
      <c r="I280" s="25" t="n">
        <f aca="false">I279+E280</f>
        <v>415538.842945541</v>
      </c>
      <c r="J280" s="24" t="n">
        <f aca="false">J279+D280</f>
        <v>366719.861929245</v>
      </c>
    </row>
    <row r="281" customFormat="false" ht="15" hidden="true" customHeight="false" outlineLevel="1" collapsed="false">
      <c r="B281" s="125" t="n">
        <v>52383</v>
      </c>
      <c r="C281" s="21" t="n">
        <f aca="false">G280</f>
        <v>84461.1570544593</v>
      </c>
      <c r="D281" s="24" t="n">
        <f aca="false">C281*E$8</f>
        <v>348.310671780861</v>
      </c>
      <c r="E281" s="25" t="n">
        <f aca="false">E$9-D281</f>
        <v>2559.71425340422</v>
      </c>
      <c r="F281" s="126" t="n">
        <v>0</v>
      </c>
      <c r="G281" s="24" t="n">
        <f aca="false">C281-E281-F281</f>
        <v>81901.4428010551</v>
      </c>
      <c r="I281" s="25" t="n">
        <f aca="false">I280+E281</f>
        <v>418098.557198945</v>
      </c>
      <c r="J281" s="24" t="n">
        <f aca="false">J280+D281</f>
        <v>367068.172601026</v>
      </c>
    </row>
    <row r="282" customFormat="false" ht="15" hidden="true" customHeight="false" outlineLevel="1" collapsed="false">
      <c r="B282" s="125" t="n">
        <v>52413</v>
      </c>
      <c r="C282" s="21" t="n">
        <f aca="false">G281</f>
        <v>81901.4428010551</v>
      </c>
      <c r="D282" s="24" t="n">
        <f aca="false">C282*E$8</f>
        <v>337.754626584897</v>
      </c>
      <c r="E282" s="25" t="n">
        <f aca="false">E$9-D282</f>
        <v>2570.27029860018</v>
      </c>
      <c r="F282" s="127" t="n">
        <v>0</v>
      </c>
      <c r="G282" s="24" t="n">
        <f aca="false">C282-E282-F282</f>
        <v>79331.1725024549</v>
      </c>
      <c r="I282" s="25" t="n">
        <f aca="false">I281+E282</f>
        <v>420668.827497545</v>
      </c>
      <c r="J282" s="24" t="n">
        <f aca="false">J281+D282</f>
        <v>367405.927227611</v>
      </c>
    </row>
    <row r="283" customFormat="false" ht="15" hidden="true" customHeight="false" outlineLevel="1" collapsed="false">
      <c r="B283" s="125" t="n">
        <v>52444</v>
      </c>
      <c r="C283" s="21" t="n">
        <f aca="false">G282</f>
        <v>79331.1725024549</v>
      </c>
      <c r="D283" s="24" t="n">
        <f aca="false">C283*E$8</f>
        <v>327.155049150899</v>
      </c>
      <c r="E283" s="25" t="n">
        <f aca="false">E$9-D283</f>
        <v>2580.86987603418</v>
      </c>
      <c r="F283" s="127" t="n">
        <v>0</v>
      </c>
      <c r="G283" s="24" t="n">
        <f aca="false">C283-E283-F283</f>
        <v>76750.3026264207</v>
      </c>
      <c r="I283" s="25" t="n">
        <f aca="false">I282+E283</f>
        <v>423249.697373579</v>
      </c>
      <c r="J283" s="24" t="n">
        <f aca="false">J282+D283</f>
        <v>367733.082276762</v>
      </c>
    </row>
    <row r="284" customFormat="false" ht="15" hidden="true" customHeight="false" outlineLevel="1" collapsed="false">
      <c r="B284" s="125" t="n">
        <v>52475</v>
      </c>
      <c r="C284" s="21" t="n">
        <f aca="false">G283</f>
        <v>76750.3026264207</v>
      </c>
      <c r="D284" s="24" t="n">
        <f aca="false">C284*E$8</f>
        <v>316.511759955597</v>
      </c>
      <c r="E284" s="25" t="n">
        <f aca="false">E$9-D284</f>
        <v>2591.51316522948</v>
      </c>
      <c r="F284" s="126" t="n">
        <v>0</v>
      </c>
      <c r="G284" s="24" t="n">
        <f aca="false">C284-E284-F284</f>
        <v>74158.7894611912</v>
      </c>
      <c r="I284" s="25" t="n">
        <f aca="false">I283+E284</f>
        <v>425841.210538809</v>
      </c>
      <c r="J284" s="24" t="n">
        <f aca="false">J283+D284</f>
        <v>368049.594036717</v>
      </c>
    </row>
    <row r="285" customFormat="false" ht="15" hidden="true" customHeight="false" outlineLevel="1" collapsed="false">
      <c r="B285" s="125" t="n">
        <v>52505</v>
      </c>
      <c r="C285" s="21" t="n">
        <f aca="false">G284</f>
        <v>74158.7894611912</v>
      </c>
      <c r="D285" s="24" t="n">
        <f aca="false">C285*E$8</f>
        <v>305.824578735382</v>
      </c>
      <c r="E285" s="25" t="n">
        <f aca="false">E$9-D285</f>
        <v>2602.2003464497</v>
      </c>
      <c r="F285" s="127" t="n">
        <v>0</v>
      </c>
      <c r="G285" s="24" t="n">
        <f aca="false">C285-E285-F285</f>
        <v>71556.5891147415</v>
      </c>
      <c r="I285" s="25" t="n">
        <f aca="false">I284+E285</f>
        <v>428443.410885258</v>
      </c>
      <c r="J285" s="24" t="n">
        <f aca="false">J284+D285</f>
        <v>368355.418615453</v>
      </c>
    </row>
    <row r="286" customFormat="false" ht="15" hidden="true" customHeight="false" outlineLevel="1" collapsed="false">
      <c r="B286" s="125" t="n">
        <v>52536</v>
      </c>
      <c r="C286" s="21" t="n">
        <f aca="false">G285</f>
        <v>71556.5891147415</v>
      </c>
      <c r="D286" s="24" t="n">
        <f aca="false">C286*E$8</f>
        <v>295.093324483254</v>
      </c>
      <c r="E286" s="25" t="n">
        <f aca="false">E$9-D286</f>
        <v>2612.93160070182</v>
      </c>
      <c r="F286" s="127" t="n">
        <v>0</v>
      </c>
      <c r="G286" s="24" t="n">
        <f aca="false">C286-E286-F286</f>
        <v>68943.6575140397</v>
      </c>
      <c r="I286" s="25" t="n">
        <f aca="false">I285+E286</f>
        <v>431056.34248596</v>
      </c>
      <c r="J286" s="24" t="n">
        <f aca="false">J285+D286</f>
        <v>368650.511939936</v>
      </c>
    </row>
    <row r="287" customFormat="false" ht="15" hidden="true" customHeight="false" outlineLevel="1" collapsed="false">
      <c r="B287" s="125" t="n">
        <v>52566</v>
      </c>
      <c r="C287" s="21" t="n">
        <f aca="false">G286</f>
        <v>68943.6575140397</v>
      </c>
      <c r="D287" s="24" t="n">
        <f aca="false">C287*E$8</f>
        <v>284.317815445756</v>
      </c>
      <c r="E287" s="25" t="n">
        <f aca="false">E$9-D287</f>
        <v>2623.70710973932</v>
      </c>
      <c r="F287" s="126" t="n">
        <v>0</v>
      </c>
      <c r="G287" s="24" t="n">
        <f aca="false">C287-E287-F287</f>
        <v>66319.9504043004</v>
      </c>
      <c r="I287" s="25" t="n">
        <f aca="false">I286+E287</f>
        <v>433680.0495957</v>
      </c>
      <c r="J287" s="24" t="n">
        <f aca="false">J286+D287</f>
        <v>368934.829755382</v>
      </c>
    </row>
    <row r="288" customFormat="false" ht="15" hidden="true" customHeight="false" outlineLevel="1" collapsed="false">
      <c r="B288" s="125" t="n">
        <v>52597</v>
      </c>
      <c r="C288" s="21" t="n">
        <f aca="false">G287</f>
        <v>66319.9504043004</v>
      </c>
      <c r="D288" s="24" t="n">
        <f aca="false">C288*E$8</f>
        <v>273.497869119893</v>
      </c>
      <c r="E288" s="25" t="n">
        <f aca="false">E$9-D288</f>
        <v>2634.52705606518</v>
      </c>
      <c r="F288" s="127" t="n">
        <v>0</v>
      </c>
      <c r="G288" s="24" t="n">
        <f aca="false">C288-E288-F288</f>
        <v>63685.4233482352</v>
      </c>
      <c r="I288" s="25" t="n">
        <f aca="false">I287+E288</f>
        <v>436314.576651765</v>
      </c>
      <c r="J288" s="24" t="n">
        <f aca="false">J287+D288</f>
        <v>369208.327624502</v>
      </c>
    </row>
    <row r="289" customFormat="false" ht="15" hidden="true" customHeight="false" outlineLevel="1" collapsed="false">
      <c r="B289" s="125" t="n">
        <v>52628</v>
      </c>
      <c r="C289" s="21" t="n">
        <f aca="false">G288</f>
        <v>63685.4233482352</v>
      </c>
      <c r="D289" s="24" t="n">
        <f aca="false">C289*E$8</f>
        <v>262.633302250045</v>
      </c>
      <c r="E289" s="25" t="n">
        <f aca="false">E$9-D289</f>
        <v>2645.39162293503</v>
      </c>
      <c r="F289" s="127" t="n">
        <v>0</v>
      </c>
      <c r="G289" s="24" t="n">
        <f aca="false">C289-E289-F289</f>
        <v>61040.0317253002</v>
      </c>
      <c r="I289" s="25" t="n">
        <f aca="false">I288+E289</f>
        <v>438959.9682747</v>
      </c>
      <c r="J289" s="24" t="n">
        <f aca="false">J288+D289</f>
        <v>369470.960926752</v>
      </c>
    </row>
    <row r="290" customFormat="false" ht="15" hidden="true" customHeight="false" outlineLevel="1" collapsed="false">
      <c r="B290" s="125" t="n">
        <v>52657</v>
      </c>
      <c r="C290" s="21" t="n">
        <f aca="false">G289</f>
        <v>61040.0317253002</v>
      </c>
      <c r="D290" s="24" t="n">
        <f aca="false">C290*E$8</f>
        <v>251.72393082486</v>
      </c>
      <c r="E290" s="25" t="n">
        <f aca="false">E$9-D290</f>
        <v>2656.30099436022</v>
      </c>
      <c r="F290" s="126" t="n">
        <v>0</v>
      </c>
      <c r="G290" s="24" t="n">
        <f aca="false">C290-E290-F290</f>
        <v>58383.73073094</v>
      </c>
      <c r="I290" s="25" t="n">
        <f aca="false">I289+E290</f>
        <v>441616.26926906</v>
      </c>
      <c r="J290" s="24" t="n">
        <f aca="false">J289+D290</f>
        <v>369722.684857577</v>
      </c>
    </row>
    <row r="291" customFormat="false" ht="15" hidden="true" customHeight="false" outlineLevel="1" collapsed="false">
      <c r="B291" s="125" t="n">
        <v>52688</v>
      </c>
      <c r="C291" s="21" t="n">
        <f aca="false">G290</f>
        <v>58383.73073094</v>
      </c>
      <c r="D291" s="24" t="n">
        <f aca="false">C291*E$8</f>
        <v>240.76957007414</v>
      </c>
      <c r="E291" s="25" t="n">
        <f aca="false">E$9-D291</f>
        <v>2667.25535511094</v>
      </c>
      <c r="F291" s="127" t="n">
        <v>0</v>
      </c>
      <c r="G291" s="24" t="n">
        <f aca="false">C291-E291-F291</f>
        <v>55716.475375829</v>
      </c>
      <c r="I291" s="25" t="n">
        <f aca="false">I290+E291</f>
        <v>444283.524624171</v>
      </c>
      <c r="J291" s="24" t="n">
        <f aca="false">J290+D291</f>
        <v>369963.454427651</v>
      </c>
    </row>
    <row r="292" customFormat="false" ht="15" hidden="true" customHeight="false" outlineLevel="1" collapsed="false">
      <c r="B292" s="125" t="n">
        <v>52718</v>
      </c>
      <c r="C292" s="21" t="n">
        <f aca="false">G291</f>
        <v>55716.475375829</v>
      </c>
      <c r="D292" s="24" t="n">
        <f aca="false">C292*E$8</f>
        <v>229.770034465709</v>
      </c>
      <c r="E292" s="25" t="n">
        <f aca="false">E$9-D292</f>
        <v>2678.25489071937</v>
      </c>
      <c r="F292" s="127" t="n">
        <v>0</v>
      </c>
      <c r="G292" s="24" t="n">
        <f aca="false">C292-E292-F292</f>
        <v>53038.2204851097</v>
      </c>
      <c r="I292" s="25" t="n">
        <f aca="false">I291+E292</f>
        <v>446961.77951489</v>
      </c>
      <c r="J292" s="24" t="n">
        <f aca="false">J291+D292</f>
        <v>370193.224462116</v>
      </c>
    </row>
    <row r="293" customFormat="false" ht="15" hidden="true" customHeight="false" outlineLevel="1" collapsed="false">
      <c r="B293" s="125" t="n">
        <v>52749</v>
      </c>
      <c r="C293" s="21" t="n">
        <f aca="false">G292</f>
        <v>53038.2204851097</v>
      </c>
      <c r="D293" s="24" t="n">
        <f aca="false">C293*E$8</f>
        <v>218.725137702273</v>
      </c>
      <c r="E293" s="25" t="n">
        <f aca="false">E$9-D293</f>
        <v>2689.2997874828</v>
      </c>
      <c r="F293" s="126" t="n">
        <v>0</v>
      </c>
      <c r="G293" s="24" t="n">
        <f aca="false">C293-E293-F293</f>
        <v>50348.9206976269</v>
      </c>
      <c r="I293" s="25" t="n">
        <f aca="false">I292+E293</f>
        <v>449651.079302373</v>
      </c>
      <c r="J293" s="24" t="n">
        <f aca="false">J292+D293</f>
        <v>370411.949599819</v>
      </c>
    </row>
    <row r="294" customFormat="false" ht="15" hidden="true" customHeight="false" outlineLevel="1" collapsed="false">
      <c r="B294" s="125" t="n">
        <v>52779</v>
      </c>
      <c r="C294" s="21" t="n">
        <f aca="false">G293</f>
        <v>50348.9206976269</v>
      </c>
      <c r="D294" s="24" t="n">
        <f aca="false">C294*E$8</f>
        <v>207.634692718264</v>
      </c>
      <c r="E294" s="25" t="n">
        <f aca="false">E$9-D294</f>
        <v>2700.39023246681</v>
      </c>
      <c r="F294" s="127" t="n">
        <v>0</v>
      </c>
      <c r="G294" s="24" t="n">
        <f aca="false">C294-E294-F294</f>
        <v>47648.53046516</v>
      </c>
      <c r="I294" s="25" t="n">
        <f aca="false">I293+E294</f>
        <v>452351.46953484</v>
      </c>
      <c r="J294" s="24" t="n">
        <f aca="false">J293+D294</f>
        <v>370619.584292537</v>
      </c>
    </row>
    <row r="295" customFormat="false" ht="15" hidden="true" customHeight="false" outlineLevel="1" collapsed="false">
      <c r="B295" s="125" t="n">
        <v>52810</v>
      </c>
      <c r="C295" s="21" t="n">
        <f aca="false">G294</f>
        <v>47648.53046516</v>
      </c>
      <c r="D295" s="24" t="n">
        <f aca="false">C295*E$8</f>
        <v>196.49851167667</v>
      </c>
      <c r="E295" s="25" t="n">
        <f aca="false">E$9-D295</f>
        <v>2711.52641350841</v>
      </c>
      <c r="F295" s="127" t="n">
        <v>0</v>
      </c>
      <c r="G295" s="24" t="n">
        <f aca="false">C295-E295-F295</f>
        <v>44937.0040516516</v>
      </c>
      <c r="I295" s="25" t="n">
        <f aca="false">I294+E295</f>
        <v>455062.995948348</v>
      </c>
      <c r="J295" s="24" t="n">
        <f aca="false">J294+D295</f>
        <v>370816.082804214</v>
      </c>
    </row>
    <row r="296" customFormat="false" ht="15" hidden="true" customHeight="false" outlineLevel="1" collapsed="false">
      <c r="B296" s="125" t="n">
        <v>52841</v>
      </c>
      <c r="C296" s="21" t="n">
        <f aca="false">G295</f>
        <v>44937.0040516516</v>
      </c>
      <c r="D296" s="24" t="n">
        <f aca="false">C296*E$8</f>
        <v>185.316405965855</v>
      </c>
      <c r="E296" s="25" t="n">
        <f aca="false">E$9-D296</f>
        <v>2722.70851921922</v>
      </c>
      <c r="F296" s="126" t="n">
        <v>0</v>
      </c>
      <c r="G296" s="24" t="n">
        <f aca="false">C296-E296-F296</f>
        <v>42214.2955324324</v>
      </c>
      <c r="I296" s="25" t="n">
        <f aca="false">I295+E296</f>
        <v>457785.704467568</v>
      </c>
      <c r="J296" s="24" t="n">
        <f aca="false">J295+D296</f>
        <v>371001.399210179</v>
      </c>
    </row>
    <row r="297" customFormat="false" ht="15" hidden="true" customHeight="false" outlineLevel="1" collapsed="false">
      <c r="B297" s="125" t="n">
        <v>52871</v>
      </c>
      <c r="C297" s="21" t="n">
        <f aca="false">G296</f>
        <v>42214.2955324324</v>
      </c>
      <c r="D297" s="24" t="n">
        <f aca="false">C297*E$8</f>
        <v>174.088186196367</v>
      </c>
      <c r="E297" s="25" t="n">
        <f aca="false">E$9-D297</f>
        <v>2733.93673898871</v>
      </c>
      <c r="F297" s="127" t="n">
        <v>0</v>
      </c>
      <c r="G297" s="24" t="n">
        <f aca="false">C297-E297-F297</f>
        <v>39480.3587934437</v>
      </c>
      <c r="I297" s="25" t="n">
        <f aca="false">I296+E297</f>
        <v>460519.641206556</v>
      </c>
      <c r="J297" s="24" t="n">
        <f aca="false">J296+D297</f>
        <v>371175.487396376</v>
      </c>
    </row>
    <row r="298" customFormat="false" ht="15" hidden="true" customHeight="false" outlineLevel="1" collapsed="false">
      <c r="B298" s="125" t="n">
        <v>52902</v>
      </c>
      <c r="C298" s="21" t="n">
        <f aca="false">G297</f>
        <v>39480.3587934437</v>
      </c>
      <c r="D298" s="24" t="n">
        <f aca="false">C298*E$8</f>
        <v>162.813662197726</v>
      </c>
      <c r="E298" s="25" t="n">
        <f aca="false">E$9-D298</f>
        <v>2745.21126298735</v>
      </c>
      <c r="F298" s="127" t="n">
        <v>0</v>
      </c>
      <c r="G298" s="24" t="n">
        <f aca="false">C298-E298-F298</f>
        <v>36735.1475304563</v>
      </c>
      <c r="I298" s="25" t="n">
        <f aca="false">I297+E298</f>
        <v>463264.852469544</v>
      </c>
      <c r="J298" s="24" t="n">
        <f aca="false">J297+D298</f>
        <v>371338.301058574</v>
      </c>
    </row>
    <row r="299" customFormat="false" ht="15" hidden="true" customHeight="false" outlineLevel="1" collapsed="false">
      <c r="B299" s="125" t="n">
        <v>52932</v>
      </c>
      <c r="C299" s="21" t="n">
        <f aca="false">G298</f>
        <v>36735.1475304563</v>
      </c>
      <c r="D299" s="24" t="n">
        <f aca="false">C299*E$8</f>
        <v>151.492643015204</v>
      </c>
      <c r="E299" s="25" t="n">
        <f aca="false">E$9-D299</f>
        <v>2756.53228216987</v>
      </c>
      <c r="F299" s="126" t="n">
        <v>0</v>
      </c>
      <c r="G299" s="24" t="n">
        <f aca="false">C299-E299-F299</f>
        <v>33978.6152482865</v>
      </c>
      <c r="I299" s="25" t="n">
        <f aca="false">I298+E299</f>
        <v>466021.384751714</v>
      </c>
      <c r="J299" s="24" t="n">
        <f aca="false">J298+D299</f>
        <v>371489.793701589</v>
      </c>
    </row>
    <row r="300" customFormat="false" ht="15" hidden="true" customHeight="false" outlineLevel="1" collapsed="false">
      <c r="B300" s="125" t="n">
        <v>52963</v>
      </c>
      <c r="C300" s="21" t="n">
        <f aca="false">G299</f>
        <v>33978.6152482865</v>
      </c>
      <c r="D300" s="24" t="n">
        <f aca="false">C300*E$8</f>
        <v>140.124936906594</v>
      </c>
      <c r="E300" s="25" t="n">
        <f aca="false">E$9-D300</f>
        <v>2767.89998827848</v>
      </c>
      <c r="F300" s="127" t="n">
        <v>0</v>
      </c>
      <c r="G300" s="24" t="n">
        <f aca="false">C300-E300-F300</f>
        <v>31210.715260008</v>
      </c>
      <c r="I300" s="25" t="n">
        <f aca="false">I299+E300</f>
        <v>468789.284739992</v>
      </c>
      <c r="J300" s="24" t="n">
        <f aca="false">J299+D300</f>
        <v>371629.918638495</v>
      </c>
    </row>
    <row r="301" customFormat="false" ht="15" hidden="true" customHeight="false" outlineLevel="1" collapsed="false">
      <c r="B301" s="125" t="n">
        <v>52994</v>
      </c>
      <c r="C301" s="21" t="n">
        <f aca="false">G300</f>
        <v>31210.715260008</v>
      </c>
      <c r="D301" s="24" t="n">
        <f aca="false">C301*E$8</f>
        <v>128.71035133896</v>
      </c>
      <c r="E301" s="25" t="n">
        <f aca="false">E$9-D301</f>
        <v>2779.31457384612</v>
      </c>
      <c r="F301" s="127" t="n">
        <v>0</v>
      </c>
      <c r="G301" s="24" t="n">
        <f aca="false">C301-E301-F301</f>
        <v>28431.4006861619</v>
      </c>
      <c r="I301" s="25" t="n">
        <f aca="false">I300+E301</f>
        <v>471568.599313838</v>
      </c>
      <c r="J301" s="24" t="n">
        <f aca="false">J300+D301</f>
        <v>371758.628989834</v>
      </c>
    </row>
    <row r="302" customFormat="false" ht="15" hidden="true" customHeight="false" outlineLevel="1" collapsed="false">
      <c r="B302" s="125" t="n">
        <v>53022</v>
      </c>
      <c r="C302" s="21" t="n">
        <f aca="false">G301</f>
        <v>28431.4006861619</v>
      </c>
      <c r="D302" s="24" t="n">
        <f aca="false">C302*E$8</f>
        <v>117.248692985375</v>
      </c>
      <c r="E302" s="25" t="n">
        <f aca="false">E$9-D302</f>
        <v>2790.7762321997</v>
      </c>
      <c r="F302" s="126" t="n">
        <v>0</v>
      </c>
      <c r="G302" s="24" t="n">
        <f aca="false">C302-E302-F302</f>
        <v>25640.6244539622</v>
      </c>
      <c r="I302" s="25" t="n">
        <f aca="false">I301+E302</f>
        <v>474359.375546038</v>
      </c>
      <c r="J302" s="24" t="n">
        <f aca="false">J301+D302</f>
        <v>371875.87768282</v>
      </c>
    </row>
    <row r="303" customFormat="false" ht="15" hidden="true" customHeight="false" outlineLevel="1" collapsed="false">
      <c r="B303" s="125" t="n">
        <v>53053</v>
      </c>
      <c r="C303" s="21" t="n">
        <f aca="false">G302</f>
        <v>25640.6244539622</v>
      </c>
      <c r="D303" s="24" t="n">
        <f aca="false">C303*E$8</f>
        <v>105.73976772165</v>
      </c>
      <c r="E303" s="25" t="n">
        <f aca="false">E$9-D303</f>
        <v>2802.28515746343</v>
      </c>
      <c r="F303" s="127" t="n">
        <v>0</v>
      </c>
      <c r="G303" s="24" t="n">
        <f aca="false">C303-E303-F303</f>
        <v>22838.3392964987</v>
      </c>
      <c r="I303" s="25" t="n">
        <f aca="false">I302+E303</f>
        <v>477161.660703501</v>
      </c>
      <c r="J303" s="24" t="n">
        <f aca="false">J302+D303</f>
        <v>371981.617450541</v>
      </c>
    </row>
    <row r="304" customFormat="false" ht="15" hidden="true" customHeight="false" outlineLevel="1" collapsed="false">
      <c r="B304" s="125" t="n">
        <v>53083</v>
      </c>
      <c r="C304" s="21" t="n">
        <f aca="false">G303</f>
        <v>22838.3392964987</v>
      </c>
      <c r="D304" s="24" t="n">
        <f aca="false">C304*E$8</f>
        <v>94.1833806230424</v>
      </c>
      <c r="E304" s="25" t="n">
        <f aca="false">E$9-D304</f>
        <v>2813.84154456204</v>
      </c>
      <c r="F304" s="127" t="n">
        <v>0</v>
      </c>
      <c r="G304" s="24" t="n">
        <f aca="false">C304-E304-F304</f>
        <v>20024.4977519367</v>
      </c>
      <c r="I304" s="25" t="n">
        <f aca="false">I303+E304</f>
        <v>479975.502248063</v>
      </c>
      <c r="J304" s="24" t="n">
        <f aca="false">J303+D304</f>
        <v>372075.800831164</v>
      </c>
    </row>
    <row r="305" customFormat="false" ht="15" hidden="true" customHeight="false" outlineLevel="1" collapsed="false">
      <c r="B305" s="125" t="n">
        <v>53114</v>
      </c>
      <c r="C305" s="21" t="n">
        <f aca="false">G304</f>
        <v>20024.4977519367</v>
      </c>
      <c r="D305" s="24" t="n">
        <f aca="false">C305*E$8</f>
        <v>82.5793359609577</v>
      </c>
      <c r="E305" s="25" t="n">
        <f aca="false">E$9-D305</f>
        <v>2825.44558922412</v>
      </c>
      <c r="F305" s="126" t="n">
        <v>0</v>
      </c>
      <c r="G305" s="24" t="n">
        <f aca="false">C305-E305-F305</f>
        <v>17199.0521627126</v>
      </c>
      <c r="I305" s="25" t="n">
        <f aca="false">I304+E305</f>
        <v>482800.947837287</v>
      </c>
      <c r="J305" s="24" t="n">
        <f aca="false">J304+D305</f>
        <v>372158.380167125</v>
      </c>
    </row>
    <row r="306" customFormat="false" ht="15" hidden="true" customHeight="false" outlineLevel="1" collapsed="false">
      <c r="B306" s="125" t="n">
        <v>53144</v>
      </c>
      <c r="C306" s="21" t="n">
        <f aca="false">G305</f>
        <v>17199.0521627126</v>
      </c>
      <c r="D306" s="24" t="n">
        <f aca="false">C306*E$8</f>
        <v>70.9274371996328</v>
      </c>
      <c r="E306" s="25" t="n">
        <f aca="false">E$9-D306</f>
        <v>2837.09748798545</v>
      </c>
      <c r="F306" s="127" t="n">
        <v>0</v>
      </c>
      <c r="G306" s="24" t="n">
        <f aca="false">C306-E306-F306</f>
        <v>14361.9546747271</v>
      </c>
      <c r="I306" s="25" t="n">
        <f aca="false">I305+E306</f>
        <v>485638.045325273</v>
      </c>
      <c r="J306" s="24" t="n">
        <f aca="false">J305+D306</f>
        <v>372229.307604325</v>
      </c>
    </row>
    <row r="307" customFormat="false" ht="15" hidden="true" customHeight="false" outlineLevel="1" collapsed="false">
      <c r="B307" s="125" t="n">
        <v>53175</v>
      </c>
      <c r="C307" s="21" t="n">
        <f aca="false">G306</f>
        <v>14361.9546747271</v>
      </c>
      <c r="D307" s="24" t="n">
        <f aca="false">C307*E$8</f>
        <v>59.2274869928078</v>
      </c>
      <c r="E307" s="25" t="n">
        <f aca="false">E$9-D307</f>
        <v>2848.79743819227</v>
      </c>
      <c r="F307" s="127" t="n">
        <v>0</v>
      </c>
      <c r="G307" s="24" t="n">
        <f aca="false">C307-E307-F307</f>
        <v>11513.1572365349</v>
      </c>
      <c r="I307" s="25" t="n">
        <f aca="false">I306+E307</f>
        <v>488486.842763465</v>
      </c>
      <c r="J307" s="24" t="n">
        <f aca="false">J306+D307</f>
        <v>372288.535091318</v>
      </c>
    </row>
    <row r="308" customFormat="false" ht="15" hidden="true" customHeight="false" outlineLevel="1" collapsed="false">
      <c r="B308" s="125" t="n">
        <v>53206</v>
      </c>
      <c r="C308" s="21" t="n">
        <f aca="false">G307</f>
        <v>11513.1572365349</v>
      </c>
      <c r="D308" s="24" t="n">
        <f aca="false">C308*E$8</f>
        <v>47.4792871803834</v>
      </c>
      <c r="E308" s="25" t="n">
        <f aca="false">E$9-D308</f>
        <v>2860.54563800469</v>
      </c>
      <c r="F308" s="126" t="n">
        <v>0</v>
      </c>
      <c r="G308" s="24" t="n">
        <f aca="false">C308-E308-F308</f>
        <v>8652.61159853017</v>
      </c>
      <c r="I308" s="25" t="n">
        <f aca="false">I307+E308</f>
        <v>491347.38840147</v>
      </c>
      <c r="J308" s="24" t="n">
        <f aca="false">J307+D308</f>
        <v>372336.014378498</v>
      </c>
    </row>
    <row r="309" customFormat="false" ht="15" hidden="true" customHeight="false" outlineLevel="1" collapsed="false">
      <c r="B309" s="125" t="n">
        <v>53236</v>
      </c>
      <c r="C309" s="21" t="n">
        <f aca="false">G308</f>
        <v>8652.61159853017</v>
      </c>
      <c r="D309" s="24" t="n">
        <f aca="false">C309*E$8</f>
        <v>35.6826387850649</v>
      </c>
      <c r="E309" s="25" t="n">
        <f aca="false">E$9-D309</f>
        <v>2872.34228640001</v>
      </c>
      <c r="F309" s="127" t="n">
        <v>0</v>
      </c>
      <c r="G309" s="24" t="n">
        <f aca="false">C309-E309-F309</f>
        <v>5780.26931213015</v>
      </c>
      <c r="I309" s="25" t="n">
        <f aca="false">I308+E309</f>
        <v>494219.73068787</v>
      </c>
      <c r="J309" s="24" t="n">
        <f aca="false">J308+D309</f>
        <v>372371.697017283</v>
      </c>
    </row>
    <row r="310" customFormat="false" ht="15" hidden="true" customHeight="false" outlineLevel="1" collapsed="false">
      <c r="B310" s="125" t="n">
        <v>53267</v>
      </c>
      <c r="C310" s="21" t="n">
        <f aca="false">G309</f>
        <v>5780.26931213015</v>
      </c>
      <c r="D310" s="24" t="n">
        <f aca="false">C310*E$8</f>
        <v>23.8373420089922</v>
      </c>
      <c r="E310" s="25" t="n">
        <f aca="false">E$9-D310</f>
        <v>2884.18758317609</v>
      </c>
      <c r="F310" s="127" t="n">
        <v>0</v>
      </c>
      <c r="G310" s="24" t="n">
        <f aca="false">C310-E310-F310</f>
        <v>2896.08172895407</v>
      </c>
      <c r="I310" s="25" t="n">
        <f aca="false">I309+E310</f>
        <v>497103.918271046</v>
      </c>
      <c r="J310" s="24" t="n">
        <f aca="false">J309+D310</f>
        <v>372395.534359292</v>
      </c>
    </row>
    <row r="311" customFormat="false" ht="15" hidden="false" customHeight="false" outlineLevel="0" collapsed="false">
      <c r="A311" s="0" t="s">
        <v>351</v>
      </c>
      <c r="B311" s="125" t="n">
        <v>53297</v>
      </c>
      <c r="C311" s="21" t="n">
        <f aca="false">G310</f>
        <v>2896.08172895407</v>
      </c>
      <c r="D311" s="24" t="n">
        <f aca="false">C311*E$8</f>
        <v>11.9431962303553</v>
      </c>
      <c r="E311" s="25" t="n">
        <f aca="false">E$9-D311</f>
        <v>2896.08172895472</v>
      </c>
      <c r="F311" s="126" t="n">
        <v>0</v>
      </c>
      <c r="G311" s="24" t="n">
        <f aca="false">C311-E311-F311</f>
        <v>-6.55745679978281E-010</v>
      </c>
      <c r="I311" s="25" t="n">
        <f aca="false">I310+E311</f>
        <v>500000.000000001</v>
      </c>
      <c r="J311" s="24" t="n">
        <f aca="false">J310+D311</f>
        <v>372407.477555523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ColWidth="8.54296875" defaultRowHeight="15" zeroHeight="false" outlineLevelRow="0" outlineLevelCol="1"/>
  <cols>
    <col collapsed="false" customWidth="true" hidden="false" outlineLevel="0" max="6" min="6" style="0" width="13"/>
    <col collapsed="false" customWidth="true" hidden="false" outlineLevel="0" max="11" min="11" style="0" width="16.85"/>
    <col collapsed="false" customWidth="true" hidden="false" outlineLevel="0" max="12" min="12" style="0" width="10.85"/>
    <col collapsed="false" customWidth="true" hidden="false" outlineLevel="0" max="13" min="13" style="0" width="5.29"/>
    <col collapsed="false" customWidth="true" hidden="true" outlineLevel="1" max="14" min="14" style="0" width="12.42"/>
    <col collapsed="false" customWidth="true" hidden="true" outlineLevel="1" max="15" min="15" style="0" width="15.57"/>
    <col collapsed="false" customWidth="true" hidden="true" outlineLevel="1" max="16" min="16" style="0" width="11.85"/>
    <col collapsed="false" customWidth="true" hidden="true" outlineLevel="1" max="17" min="17" style="0" width="9.14"/>
    <col collapsed="false" customWidth="true" hidden="false" outlineLevel="0" max="18" min="18" style="0" width="12.42"/>
    <col collapsed="false" customWidth="true" hidden="false" outlineLevel="0" max="19" min="19" style="0" width="15.57"/>
    <col collapsed="false" customWidth="true" hidden="false" outlineLevel="0" max="20" min="20" style="0" width="11.85"/>
  </cols>
  <sheetData>
    <row r="2" customFormat="false" ht="15" hidden="false" customHeight="false" outlineLevel="0" collapsed="false">
      <c r="A2" s="5" t="s">
        <v>43</v>
      </c>
      <c r="B2" s="5"/>
      <c r="F2" s="5" t="s">
        <v>44</v>
      </c>
      <c r="G2" s="5"/>
      <c r="K2" s="5" t="s">
        <v>45</v>
      </c>
      <c r="L2" s="5"/>
      <c r="M2" s="27"/>
    </row>
    <row r="3" customFormat="false" ht="15" hidden="false" customHeight="false" outlineLevel="0" collapsed="false">
      <c r="K3" s="0" t="s">
        <v>46</v>
      </c>
      <c r="N3" s="0" t="s">
        <v>47</v>
      </c>
      <c r="R3" s="0" t="s">
        <v>48</v>
      </c>
    </row>
    <row r="4" customFormat="false" ht="15" hidden="false" customHeight="false" outlineLevel="0" collapsed="false">
      <c r="A4" s="0" t="s">
        <v>0</v>
      </c>
      <c r="F4" s="0" t="s">
        <v>29</v>
      </c>
      <c r="G4" s="0" t="n">
        <f aca="false">B5</f>
        <v>0.01</v>
      </c>
      <c r="K4" s="0" t="s">
        <v>29</v>
      </c>
      <c r="L4" s="0" t="n">
        <f aca="false">B5</f>
        <v>0.01</v>
      </c>
      <c r="N4" s="0" t="s">
        <v>0</v>
      </c>
      <c r="O4" s="0" t="n">
        <v>0.01</v>
      </c>
      <c r="R4" s="0" t="s">
        <v>0</v>
      </c>
      <c r="S4" s="0" t="n">
        <f aca="false">B5</f>
        <v>0.01</v>
      </c>
    </row>
    <row r="5" customFormat="false" ht="15" hidden="false" customHeight="false" outlineLevel="0" collapsed="false">
      <c r="B5" s="8" t="n">
        <v>0.01</v>
      </c>
    </row>
    <row r="6" customFormat="false" ht="15" hidden="false" customHeight="false" outlineLevel="0" collapsed="false">
      <c r="A6" s="0" t="s">
        <v>49</v>
      </c>
      <c r="E6" s="0" t="s">
        <v>12</v>
      </c>
      <c r="F6" s="0" t="s">
        <v>50</v>
      </c>
      <c r="G6" s="0" t="s">
        <v>51</v>
      </c>
      <c r="J6" s="0" t="s">
        <v>12</v>
      </c>
      <c r="K6" s="0" t="s">
        <v>52</v>
      </c>
      <c r="L6" s="0" t="s">
        <v>53</v>
      </c>
      <c r="O6" s="0" t="s">
        <v>52</v>
      </c>
      <c r="P6" s="0" t="s">
        <v>54</v>
      </c>
      <c r="S6" s="0" t="s">
        <v>52</v>
      </c>
      <c r="T6" s="0" t="s">
        <v>54</v>
      </c>
    </row>
    <row r="7" customFormat="false" ht="15" hidden="false" customHeight="false" outlineLevel="0" collapsed="false">
      <c r="B7" s="8" t="n">
        <v>60</v>
      </c>
      <c r="J7" s="0" t="n">
        <v>0</v>
      </c>
      <c r="K7" s="8" t="n">
        <v>-6800</v>
      </c>
      <c r="L7" s="1" t="n">
        <f aca="false">K7/(1+$G$4)^J7</f>
        <v>-6800</v>
      </c>
      <c r="O7" s="0" t="n">
        <f aca="false">-6800</f>
        <v>-6800</v>
      </c>
      <c r="P7" s="1" t="n">
        <f aca="false">O7/(1+$G$4)^N7</f>
        <v>-6800</v>
      </c>
      <c r="S7" s="0" t="n">
        <f aca="false">K7</f>
        <v>-6800</v>
      </c>
      <c r="T7" s="1" t="n">
        <f aca="false">S7/(1+$G$4)^R7</f>
        <v>-6800</v>
      </c>
    </row>
    <row r="8" customFormat="false" ht="15" hidden="false" customHeight="false" outlineLevel="0" collapsed="false">
      <c r="A8" s="0" t="s">
        <v>55</v>
      </c>
      <c r="E8" s="0" t="n">
        <v>1</v>
      </c>
      <c r="F8" s="1" t="n">
        <f aca="false">B12</f>
        <v>140</v>
      </c>
      <c r="G8" s="1" t="n">
        <f aca="false">F8/(1+$G$4)^E8</f>
        <v>138.613861386139</v>
      </c>
      <c r="J8" s="0" t="n">
        <v>1</v>
      </c>
      <c r="K8" s="1" t="n">
        <f aca="false">B12</f>
        <v>140</v>
      </c>
      <c r="L8" s="1" t="n">
        <f aca="false">K8/(1+$L$4)^J8</f>
        <v>138.613861386139</v>
      </c>
      <c r="M8" s="1"/>
      <c r="N8" s="0" t="n">
        <f aca="false">-O7</f>
        <v>6800</v>
      </c>
      <c r="O8" s="0" t="n">
        <f aca="false">N8*$O$4</f>
        <v>68</v>
      </c>
      <c r="P8" s="1" t="n">
        <f aca="false">O8/(1+$O$4)^E8</f>
        <v>67.3267326732673</v>
      </c>
      <c r="R8" s="0" t="n">
        <f aca="false">-S7</f>
        <v>6800</v>
      </c>
      <c r="S8" s="0" t="n">
        <f aca="false">R8*$O$4</f>
        <v>68</v>
      </c>
      <c r="T8" s="1" t="n">
        <f aca="false">S8/(1+$O$4)^E8</f>
        <v>67.3267326732673</v>
      </c>
    </row>
    <row r="9" customFormat="false" ht="15" hidden="false" customHeight="false" outlineLevel="0" collapsed="false">
      <c r="E9" s="0" t="n">
        <v>2</v>
      </c>
      <c r="F9" s="1" t="n">
        <f aca="false">F8</f>
        <v>140</v>
      </c>
      <c r="G9" s="1" t="n">
        <f aca="false">F9/(1+$G$4)^E9</f>
        <v>137.241446916969</v>
      </c>
      <c r="J9" s="0" t="n">
        <v>2</v>
      </c>
      <c r="K9" s="1" t="n">
        <f aca="false">K8</f>
        <v>140</v>
      </c>
      <c r="L9" s="1" t="n">
        <f aca="false">K9/(1+$L$4)^J9</f>
        <v>137.241446916969</v>
      </c>
      <c r="M9" s="1"/>
      <c r="N9" s="28" t="n">
        <f aca="false">N8+O8</f>
        <v>6868</v>
      </c>
      <c r="O9" s="28" t="n">
        <f aca="false">O8</f>
        <v>68</v>
      </c>
      <c r="P9" s="1" t="n">
        <f aca="false">O9/(1+$O$4)^E9</f>
        <v>66.6601313596706</v>
      </c>
      <c r="R9" s="28" t="n">
        <f aca="false">R8+S8</f>
        <v>6868</v>
      </c>
      <c r="S9" s="28" t="n">
        <f aca="false">R9*$S$4</f>
        <v>68.68</v>
      </c>
      <c r="T9" s="1" t="n">
        <f aca="false">S9/(1+$O$4)^E9</f>
        <v>67.3267326732673</v>
      </c>
    </row>
    <row r="10" customFormat="false" ht="15" hidden="false" customHeight="false" outlineLevel="0" collapsed="false">
      <c r="B10" s="0" t="n">
        <f aca="false">((1+$B$5)^B$7-1)/($B$5*(1+$B$5)^B$7)</f>
        <v>44.955038406224</v>
      </c>
      <c r="E10" s="0" t="n">
        <v>3</v>
      </c>
      <c r="F10" s="1" t="n">
        <f aca="false">F9</f>
        <v>140</v>
      </c>
      <c r="G10" s="1" t="n">
        <f aca="false">F10/(1+$G$4)^E10</f>
        <v>135.88262070987</v>
      </c>
      <c r="J10" s="0" t="n">
        <v>3</v>
      </c>
      <c r="K10" s="1" t="n">
        <f aca="false">K9</f>
        <v>140</v>
      </c>
      <c r="L10" s="1" t="n">
        <f aca="false">K10/(1+$L$4)^J10</f>
        <v>135.88262070987</v>
      </c>
      <c r="M10" s="1"/>
      <c r="N10" s="28" t="n">
        <f aca="false">N9+O9</f>
        <v>6936</v>
      </c>
      <c r="O10" s="28" t="n">
        <f aca="false">O9</f>
        <v>68</v>
      </c>
      <c r="P10" s="1" t="n">
        <f aca="false">O10/(1+$O$4)^E10</f>
        <v>66.0001300590798</v>
      </c>
      <c r="R10" s="28" t="n">
        <f aca="false">R9+S9</f>
        <v>6936.68</v>
      </c>
      <c r="S10" s="28" t="n">
        <f aca="false">R10*$S$4</f>
        <v>69.3668</v>
      </c>
      <c r="T10" s="1" t="n">
        <f aca="false">S10/(1+$O$4)^E10</f>
        <v>67.3267326732673</v>
      </c>
    </row>
    <row r="11" customFormat="false" ht="15" hidden="false" customHeight="false" outlineLevel="0" collapsed="false">
      <c r="A11" s="0" t="s">
        <v>56</v>
      </c>
      <c r="E11" s="0" t="n">
        <v>4</v>
      </c>
      <c r="F11" s="1" t="n">
        <f aca="false">F10</f>
        <v>140</v>
      </c>
      <c r="G11" s="1" t="n">
        <f aca="false">F11/(1+$G$4)^E11</f>
        <v>134.537248227594</v>
      </c>
      <c r="J11" s="0" t="n">
        <v>4</v>
      </c>
      <c r="K11" s="1" t="n">
        <f aca="false">K10</f>
        <v>140</v>
      </c>
      <c r="L11" s="1" t="n">
        <f aca="false">K11/(1+$L$4)^J11</f>
        <v>134.537248227594</v>
      </c>
      <c r="M11" s="1"/>
      <c r="N11" s="28" t="n">
        <f aca="false">N10+O10</f>
        <v>7004</v>
      </c>
      <c r="O11" s="28" t="n">
        <f aca="false">O10</f>
        <v>68</v>
      </c>
      <c r="P11" s="1" t="n">
        <f aca="false">O11/(1+$O$4)^E11</f>
        <v>65.3466634248315</v>
      </c>
      <c r="R11" s="28" t="n">
        <f aca="false">R10+S10</f>
        <v>7006.0468</v>
      </c>
      <c r="S11" s="28" t="n">
        <f aca="false">R11*$S$4</f>
        <v>70.060468</v>
      </c>
      <c r="T11" s="1" t="n">
        <f aca="false">S11/(1+$O$4)^E11</f>
        <v>67.3267326732673</v>
      </c>
    </row>
    <row r="12" customFormat="false" ht="15" hidden="false" customHeight="false" outlineLevel="0" collapsed="false">
      <c r="B12" s="8" t="n">
        <v>140</v>
      </c>
      <c r="E12" s="0" t="n">
        <v>5</v>
      </c>
      <c r="F12" s="1" t="n">
        <f aca="false">F11</f>
        <v>140</v>
      </c>
      <c r="G12" s="1" t="n">
        <f aca="false">F12/(1+$G$4)^E12</f>
        <v>133.205196264945</v>
      </c>
      <c r="J12" s="0" t="n">
        <v>5</v>
      </c>
      <c r="K12" s="1" t="n">
        <f aca="false">K11</f>
        <v>140</v>
      </c>
      <c r="L12" s="1" t="n">
        <f aca="false">K12/(1+$L$4)^J12</f>
        <v>133.205196264945</v>
      </c>
      <c r="M12" s="1"/>
      <c r="N12" s="28" t="n">
        <f aca="false">N11+O11</f>
        <v>7072</v>
      </c>
      <c r="O12" s="28" t="n">
        <f aca="false">O11</f>
        <v>68</v>
      </c>
      <c r="P12" s="1" t="n">
        <f aca="false">O12/(1+$O$4)^E12</f>
        <v>64.6996667572589</v>
      </c>
      <c r="R12" s="28" t="n">
        <f aca="false">R11+S11</f>
        <v>7076.107268</v>
      </c>
      <c r="S12" s="28" t="n">
        <f aca="false">R12*$S$4</f>
        <v>70.76107268</v>
      </c>
      <c r="T12" s="1" t="n">
        <f aca="false">S12/(1+$O$4)^E12</f>
        <v>67.3267326732673</v>
      </c>
    </row>
    <row r="13" customFormat="false" ht="15" hidden="false" customHeight="false" outlineLevel="0" collapsed="false">
      <c r="A13" s="0" t="s">
        <v>57</v>
      </c>
      <c r="E13" s="0" t="n">
        <v>6</v>
      </c>
      <c r="F13" s="1" t="n">
        <v>140</v>
      </c>
      <c r="G13" s="1" t="n">
        <f aca="false">F13/(1+$G$4)^E13</f>
        <v>131.886332935589</v>
      </c>
      <c r="J13" s="0" t="n">
        <v>6</v>
      </c>
      <c r="K13" s="1" t="n">
        <v>140</v>
      </c>
      <c r="L13" s="1" t="n">
        <f aca="false">K13/(1+$L$4)^J13</f>
        <v>131.886332935589</v>
      </c>
      <c r="M13" s="1"/>
      <c r="N13" s="28" t="n">
        <f aca="false">N12+O12</f>
        <v>7140</v>
      </c>
      <c r="O13" s="28" t="n">
        <f aca="false">O12</f>
        <v>68</v>
      </c>
      <c r="P13" s="1" t="n">
        <f aca="false">O13/(1+$O$4)^E13</f>
        <v>64.059075997286</v>
      </c>
      <c r="R13" s="28" t="n">
        <f aca="false">R12+S12</f>
        <v>7146.86834068</v>
      </c>
      <c r="S13" s="28" t="n">
        <f aca="false">R13*$S$4</f>
        <v>71.4686834068</v>
      </c>
      <c r="T13" s="1" t="n">
        <f aca="false">S13/(1+$O$4)^E13</f>
        <v>67.3267326732673</v>
      </c>
    </row>
    <row r="14" customFormat="false" ht="15" hidden="false" customHeight="false" outlineLevel="0" collapsed="false">
      <c r="B14" s="1" t="n">
        <f aca="false">B10*B12</f>
        <v>6293.70537687137</v>
      </c>
      <c r="E14" s="0" t="n">
        <v>7</v>
      </c>
      <c r="F14" s="1" t="n">
        <f aca="false">F13</f>
        <v>140</v>
      </c>
      <c r="G14" s="1" t="n">
        <f aca="false">F14/(1+$G$4)^E14</f>
        <v>130.580527658999</v>
      </c>
      <c r="J14" s="0" t="n">
        <v>7</v>
      </c>
      <c r="K14" s="1" t="n">
        <f aca="false">K13</f>
        <v>140</v>
      </c>
      <c r="L14" s="1" t="n">
        <f aca="false">K14/(1+$L$4)^J14</f>
        <v>130.580527658999</v>
      </c>
      <c r="M14" s="1"/>
      <c r="N14" s="28" t="n">
        <f aca="false">N13+O13</f>
        <v>7208</v>
      </c>
      <c r="O14" s="28" t="n">
        <f aca="false">O13</f>
        <v>68</v>
      </c>
      <c r="P14" s="1" t="n">
        <f aca="false">O14/(1+$O$4)^E14</f>
        <v>63.4248277200852</v>
      </c>
      <c r="R14" s="28" t="n">
        <f aca="false">R13+S13</f>
        <v>7218.3370240868</v>
      </c>
      <c r="S14" s="28" t="n">
        <f aca="false">R14*$S$4</f>
        <v>72.183370240868</v>
      </c>
      <c r="T14" s="1" t="n">
        <f aca="false">S14/(1+$O$4)^E14</f>
        <v>67.3267326732673</v>
      </c>
    </row>
    <row r="15" customFormat="false" ht="15" hidden="false" customHeight="false" outlineLevel="0" collapsed="false">
      <c r="E15" s="0" t="n">
        <v>8</v>
      </c>
      <c r="F15" s="1" t="n">
        <f aca="false">F14</f>
        <v>140</v>
      </c>
      <c r="G15" s="1" t="n">
        <f aca="false">F15/(1+$G$4)^E15</f>
        <v>129.287651147524</v>
      </c>
      <c r="J15" s="0" t="n">
        <v>8</v>
      </c>
      <c r="K15" s="1" t="n">
        <f aca="false">K14</f>
        <v>140</v>
      </c>
      <c r="L15" s="1" t="n">
        <f aca="false">K15/(1+$L$4)^J15</f>
        <v>129.287651147524</v>
      </c>
      <c r="M15" s="1"/>
      <c r="N15" s="28" t="n">
        <f aca="false">N14+O14</f>
        <v>7276</v>
      </c>
      <c r="O15" s="28" t="n">
        <f aca="false">O14</f>
        <v>68</v>
      </c>
      <c r="P15" s="1" t="n">
        <f aca="false">O15/(1+$O$4)^E15</f>
        <v>62.7968591287972</v>
      </c>
      <c r="R15" s="28" t="n">
        <f aca="false">R14+S14</f>
        <v>7290.52039432767</v>
      </c>
      <c r="S15" s="28" t="n">
        <f aca="false">R15*$S$4</f>
        <v>72.9052039432767</v>
      </c>
      <c r="T15" s="1" t="n">
        <f aca="false">S15/(1+$O$4)^E15</f>
        <v>67.3267326732673</v>
      </c>
    </row>
    <row r="16" customFormat="false" ht="15" hidden="false" customHeight="false" outlineLevel="0" collapsed="false">
      <c r="E16" s="0" t="n">
        <v>9</v>
      </c>
      <c r="F16" s="1" t="n">
        <f aca="false">F15</f>
        <v>140</v>
      </c>
      <c r="G16" s="1" t="n">
        <f aca="false">F16/(1+$G$4)^E16</f>
        <v>128.007575393588</v>
      </c>
      <c r="J16" s="0" t="n">
        <v>9</v>
      </c>
      <c r="K16" s="1" t="n">
        <f aca="false">K15</f>
        <v>140</v>
      </c>
      <c r="L16" s="1" t="n">
        <f aca="false">K16/(1+$L$4)^J16</f>
        <v>128.007575393588</v>
      </c>
      <c r="M16" s="1"/>
      <c r="N16" s="28" t="n">
        <f aca="false">N15+O15</f>
        <v>7344</v>
      </c>
      <c r="O16" s="28" t="n">
        <f aca="false">O15</f>
        <v>68</v>
      </c>
      <c r="P16" s="1" t="n">
        <f aca="false">O16/(1+$O$4)^E16</f>
        <v>62.1751080483141</v>
      </c>
      <c r="R16" s="28" t="n">
        <f aca="false">R15+S15</f>
        <v>7363.42559827094</v>
      </c>
      <c r="S16" s="28" t="n">
        <f aca="false">R16*$S$4</f>
        <v>73.6342559827094</v>
      </c>
      <c r="T16" s="1" t="n">
        <f aca="false">S16/(1+$O$4)^E16</f>
        <v>67.3267326732673</v>
      </c>
    </row>
    <row r="17" customFormat="false" ht="15" hidden="false" customHeight="false" outlineLevel="0" collapsed="false">
      <c r="E17" s="0" t="n">
        <v>10</v>
      </c>
      <c r="F17" s="1" t="n">
        <f aca="false">F16</f>
        <v>140</v>
      </c>
      <c r="G17" s="1" t="n">
        <f aca="false">F17/(1+$G$4)^E17</f>
        <v>126.740173657018</v>
      </c>
      <c r="J17" s="0" t="n">
        <v>10</v>
      </c>
      <c r="K17" s="1" t="n">
        <f aca="false">K16</f>
        <v>140</v>
      </c>
      <c r="L17" s="1" t="n">
        <f aca="false">K17/(1+$L$4)^J17</f>
        <v>126.740173657018</v>
      </c>
      <c r="M17" s="1"/>
      <c r="N17" s="28" t="n">
        <f aca="false">N16+O16</f>
        <v>7412</v>
      </c>
      <c r="O17" s="28" t="n">
        <f aca="false">O16</f>
        <v>68</v>
      </c>
      <c r="P17" s="1" t="n">
        <f aca="false">O17/(1+$O$4)^E17</f>
        <v>61.5595129191229</v>
      </c>
      <c r="R17" s="28" t="n">
        <f aca="false">R16+S16</f>
        <v>7437.05985425365</v>
      </c>
      <c r="S17" s="28" t="n">
        <f aca="false">R17*$S$4</f>
        <v>74.3705985425365</v>
      </c>
      <c r="T17" s="1" t="n">
        <f aca="false">S17/(1+$O$4)^E17</f>
        <v>67.3267326732673</v>
      </c>
    </row>
    <row r="18" customFormat="false" ht="15" hidden="false" customHeight="false" outlineLevel="0" collapsed="false">
      <c r="E18" s="0" t="n">
        <v>11</v>
      </c>
      <c r="F18" s="1" t="n">
        <v>140</v>
      </c>
      <c r="G18" s="1" t="n">
        <f aca="false">F18/(1+$G$4)^E18</f>
        <v>125.485320452493</v>
      </c>
      <c r="J18" s="0" t="n">
        <v>11</v>
      </c>
      <c r="K18" s="1" t="n">
        <v>140</v>
      </c>
      <c r="L18" s="1" t="n">
        <f aca="false">K18/(1+$L$4)^J18</f>
        <v>125.485320452493</v>
      </c>
      <c r="M18" s="1"/>
      <c r="N18" s="28" t="n">
        <f aca="false">N17+O17</f>
        <v>7480</v>
      </c>
      <c r="O18" s="28" t="n">
        <f aca="false">O17</f>
        <v>68</v>
      </c>
      <c r="P18" s="1" t="n">
        <f aca="false">O18/(1+$O$4)^E18</f>
        <v>60.9500127912108</v>
      </c>
      <c r="R18" s="28" t="n">
        <f aca="false">R17+S17</f>
        <v>7511.43045279619</v>
      </c>
      <c r="S18" s="28" t="n">
        <f aca="false">R18*$S$4</f>
        <v>75.1143045279619</v>
      </c>
      <c r="T18" s="1" t="n">
        <f aca="false">S18/(1+$O$4)^E18</f>
        <v>67.3267326732673</v>
      </c>
    </row>
    <row r="19" customFormat="false" ht="15" hidden="false" customHeight="false" outlineLevel="0" collapsed="false">
      <c r="E19" s="0" t="n">
        <v>12</v>
      </c>
      <c r="F19" s="1" t="n">
        <f aca="false">F18</f>
        <v>140</v>
      </c>
      <c r="G19" s="1" t="n">
        <f aca="false">F19/(1+$G$4)^E19</f>
        <v>124.242891537122</v>
      </c>
      <c r="J19" s="0" t="n">
        <v>12</v>
      </c>
      <c r="K19" s="1" t="n">
        <f aca="false">K18</f>
        <v>140</v>
      </c>
      <c r="L19" s="1" t="n">
        <f aca="false">K19/(1+$L$4)^J19</f>
        <v>124.242891537122</v>
      </c>
      <c r="M19" s="1"/>
      <c r="N19" s="28" t="n">
        <f aca="false">N18+O18</f>
        <v>7548</v>
      </c>
      <c r="O19" s="28" t="n">
        <f aca="false">O18</f>
        <v>68</v>
      </c>
      <c r="P19" s="1" t="n">
        <f aca="false">O19/(1+$O$4)^E19</f>
        <v>60.3465473180304</v>
      </c>
      <c r="R19" s="28" t="n">
        <f aca="false">R18+S18</f>
        <v>7586.54475732415</v>
      </c>
      <c r="S19" s="28" t="n">
        <f aca="false">R19*$S$4</f>
        <v>75.8654475732415</v>
      </c>
      <c r="T19" s="1" t="n">
        <f aca="false">S19/(1+$O$4)^E19</f>
        <v>67.3267326732673</v>
      </c>
    </row>
    <row r="20" customFormat="false" ht="15" hidden="false" customHeight="false" outlineLevel="0" collapsed="false">
      <c r="E20" s="0" t="n">
        <v>13</v>
      </c>
      <c r="F20" s="1" t="n">
        <f aca="false">F19</f>
        <v>140</v>
      </c>
      <c r="G20" s="1" t="n">
        <f aca="false">F20/(1+$G$4)^E20</f>
        <v>123.01276389814</v>
      </c>
      <c r="J20" s="0" t="n">
        <v>13</v>
      </c>
      <c r="K20" s="1" t="n">
        <f aca="false">K19</f>
        <v>140</v>
      </c>
      <c r="L20" s="1" t="n">
        <f aca="false">K20/(1+$L$4)^J20</f>
        <v>123.01276389814</v>
      </c>
      <c r="M20" s="1"/>
      <c r="N20" s="28" t="n">
        <f aca="false">N19+O19</f>
        <v>7616</v>
      </c>
      <c r="O20" s="28" t="n">
        <f aca="false">O19</f>
        <v>68</v>
      </c>
      <c r="P20" s="1" t="n">
        <f aca="false">O20/(1+$O$4)^E20</f>
        <v>59.7490567505252</v>
      </c>
      <c r="R20" s="28" t="n">
        <f aca="false">R19+S19</f>
        <v>7662.4102048974</v>
      </c>
      <c r="S20" s="28" t="n">
        <f aca="false">R20*$S$4</f>
        <v>76.624102048974</v>
      </c>
      <c r="T20" s="1" t="n">
        <f aca="false">S20/(1+$O$4)^E20</f>
        <v>67.3267326732673</v>
      </c>
    </row>
    <row r="21" customFormat="false" ht="15" hidden="false" customHeight="false" outlineLevel="0" collapsed="false">
      <c r="E21" s="0" t="n">
        <v>14</v>
      </c>
      <c r="F21" s="1" t="n">
        <v>140</v>
      </c>
      <c r="G21" s="1" t="n">
        <f aca="false">F21/(1+$G$4)^E21</f>
        <v>121.794815740733</v>
      </c>
      <c r="J21" s="0" t="n">
        <v>14</v>
      </c>
      <c r="K21" s="1" t="n">
        <v>140</v>
      </c>
      <c r="L21" s="1" t="n">
        <f aca="false">K21/(1+$L$4)^J21</f>
        <v>121.794815740733</v>
      </c>
      <c r="M21" s="1"/>
      <c r="N21" s="28" t="n">
        <f aca="false">N20+O20</f>
        <v>7684</v>
      </c>
      <c r="O21" s="28" t="n">
        <f aca="false">O20</f>
        <v>68</v>
      </c>
      <c r="P21" s="1" t="n">
        <f aca="false">O21/(1+$O$4)^E21</f>
        <v>59.1574819312131</v>
      </c>
      <c r="R21" s="28" t="n">
        <f aca="false">R20+S20</f>
        <v>7739.03430694637</v>
      </c>
      <c r="S21" s="28" t="n">
        <f aca="false">R21*$S$4</f>
        <v>77.3903430694637</v>
      </c>
      <c r="T21" s="1" t="n">
        <f aca="false">S21/(1+$O$4)^E21</f>
        <v>67.3267326732673</v>
      </c>
    </row>
    <row r="22" customFormat="false" ht="15" hidden="false" customHeight="false" outlineLevel="0" collapsed="false">
      <c r="E22" s="0" t="n">
        <v>15</v>
      </c>
      <c r="F22" s="1" t="n">
        <f aca="false">F21</f>
        <v>140</v>
      </c>
      <c r="G22" s="1" t="n">
        <f aca="false">F22/(1+$G$4)^E22</f>
        <v>120.588926475973</v>
      </c>
      <c r="J22" s="0" t="n">
        <v>15</v>
      </c>
      <c r="K22" s="1" t="n">
        <f aca="false">K21</f>
        <v>140</v>
      </c>
      <c r="L22" s="1" t="n">
        <f aca="false">K22/(1+$L$4)^J22</f>
        <v>120.588926475973</v>
      </c>
      <c r="M22" s="1"/>
      <c r="N22" s="28" t="n">
        <f aca="false">N21+O21</f>
        <v>7752</v>
      </c>
      <c r="O22" s="28" t="n">
        <f aca="false">O21</f>
        <v>68</v>
      </c>
      <c r="P22" s="1" t="n">
        <f aca="false">O22/(1+$O$4)^E22</f>
        <v>58.5717642883298</v>
      </c>
      <c r="R22" s="28" t="n">
        <f aca="false">R21+S21</f>
        <v>7816.42465001583</v>
      </c>
      <c r="S22" s="28" t="n">
        <f aca="false">R22*$S$4</f>
        <v>78.1642465001583</v>
      </c>
      <c r="T22" s="1" t="n">
        <f aca="false">S22/(1+$O$4)^E22</f>
        <v>67.3267326732673</v>
      </c>
    </row>
    <row r="23" customFormat="false" ht="15" hidden="false" customHeight="false" outlineLevel="0" collapsed="false">
      <c r="E23" s="0" t="n">
        <v>16</v>
      </c>
      <c r="F23" s="1" t="n">
        <f aca="false">F22</f>
        <v>140</v>
      </c>
      <c r="G23" s="1" t="n">
        <f aca="false">F23/(1+$G$4)^E23</f>
        <v>119.394976708884</v>
      </c>
      <c r="J23" s="0" t="n">
        <v>16</v>
      </c>
      <c r="K23" s="1" t="n">
        <f aca="false">K22</f>
        <v>140</v>
      </c>
      <c r="L23" s="1" t="n">
        <f aca="false">K23/(1+$L$4)^J23</f>
        <v>119.394976708884</v>
      </c>
      <c r="M23" s="1"/>
      <c r="N23" s="28" t="n">
        <f aca="false">N22+O22</f>
        <v>7820</v>
      </c>
      <c r="O23" s="28" t="n">
        <f aca="false">O22</f>
        <v>68</v>
      </c>
      <c r="P23" s="1" t="n">
        <f aca="false">O23/(1+$O$4)^E23</f>
        <v>57.9918458300295</v>
      </c>
      <c r="R23" s="28" t="n">
        <f aca="false">R22+S22</f>
        <v>7894.58889651599</v>
      </c>
      <c r="S23" s="28" t="n">
        <f aca="false">R23*$S$4</f>
        <v>78.9458889651599</v>
      </c>
      <c r="T23" s="1" t="n">
        <f aca="false">S23/(1+$O$4)^E23</f>
        <v>67.3267326732673</v>
      </c>
    </row>
    <row r="24" customFormat="false" ht="15" hidden="false" customHeight="false" outlineLevel="0" collapsed="false">
      <c r="E24" s="0" t="n">
        <v>17</v>
      </c>
      <c r="F24" s="1" t="n">
        <v>140</v>
      </c>
      <c r="G24" s="1" t="n">
        <f aca="false">F24/(1+$G$4)^E24</f>
        <v>118.212848226618</v>
      </c>
      <c r="J24" s="0" t="n">
        <v>17</v>
      </c>
      <c r="K24" s="1" t="n">
        <v>140</v>
      </c>
      <c r="L24" s="1" t="n">
        <f aca="false">K24/(1+$L$4)^J24</f>
        <v>118.212848226618</v>
      </c>
      <c r="M24" s="1"/>
      <c r="N24" s="28" t="n">
        <f aca="false">N23+O23</f>
        <v>7888</v>
      </c>
      <c r="O24" s="28" t="n">
        <f aca="false">O23</f>
        <v>68</v>
      </c>
      <c r="P24" s="1" t="n">
        <f aca="false">O24/(1+$O$4)^E24</f>
        <v>57.417669138643</v>
      </c>
      <c r="R24" s="28" t="n">
        <f aca="false">R23+S23</f>
        <v>7973.53478548115</v>
      </c>
      <c r="S24" s="28" t="n">
        <f aca="false">R24*$S$4</f>
        <v>79.7353478548115</v>
      </c>
      <c r="T24" s="1" t="n">
        <f aca="false">S24/(1+$O$4)^E24</f>
        <v>67.3267326732673</v>
      </c>
    </row>
    <row r="25" customFormat="false" ht="15" hidden="false" customHeight="false" outlineLevel="0" collapsed="false">
      <c r="E25" s="0" t="n">
        <v>18</v>
      </c>
      <c r="F25" s="1" t="n">
        <f aca="false">F24</f>
        <v>140</v>
      </c>
      <c r="G25" s="1" t="n">
        <f aca="false">F25/(1+$G$4)^E25</f>
        <v>117.042423986751</v>
      </c>
      <c r="J25" s="0" t="n">
        <v>18</v>
      </c>
      <c r="K25" s="1" t="n">
        <f aca="false">K24</f>
        <v>140</v>
      </c>
      <c r="L25" s="1" t="n">
        <f aca="false">K25/(1+$L$4)^J25</f>
        <v>117.042423986751</v>
      </c>
      <c r="M25" s="1"/>
      <c r="N25" s="28" t="n">
        <f aca="false">N24+O24</f>
        <v>7956</v>
      </c>
      <c r="O25" s="28" t="n">
        <f aca="false">O24</f>
        <v>68</v>
      </c>
      <c r="P25" s="1" t="n">
        <f aca="false">O25/(1+$O$4)^E25</f>
        <v>56.8491773649931</v>
      </c>
      <c r="R25" s="28" t="n">
        <f aca="false">R24+S24</f>
        <v>8053.27013333596</v>
      </c>
      <c r="S25" s="28" t="n">
        <f aca="false">R25*$S$4</f>
        <v>80.5327013333596</v>
      </c>
      <c r="T25" s="1" t="n">
        <f aca="false">S25/(1+$O$4)^E25</f>
        <v>67.3267326732673</v>
      </c>
    </row>
    <row r="26" customFormat="false" ht="15" hidden="false" customHeight="false" outlineLevel="0" collapsed="false">
      <c r="E26" s="0" t="n">
        <v>19</v>
      </c>
      <c r="F26" s="1" t="n">
        <f aca="false">F25</f>
        <v>140</v>
      </c>
      <c r="G26" s="1" t="n">
        <f aca="false">F26/(1+$G$4)^E26</f>
        <v>115.883588105694</v>
      </c>
      <c r="J26" s="0" t="n">
        <v>19</v>
      </c>
      <c r="K26" s="1" t="n">
        <f aca="false">K25</f>
        <v>140</v>
      </c>
      <c r="L26" s="1" t="n">
        <f aca="false">K26/(1+$L$4)^J26</f>
        <v>115.883588105694</v>
      </c>
      <c r="M26" s="1"/>
      <c r="N26" s="28" t="n">
        <f aca="false">N25+O25</f>
        <v>8024</v>
      </c>
      <c r="O26" s="28" t="n">
        <f aca="false">O25</f>
        <v>68</v>
      </c>
      <c r="P26" s="1" t="n">
        <f aca="false">O26/(1+$O$4)^E26</f>
        <v>56.2863142227655</v>
      </c>
      <c r="R26" s="28" t="n">
        <f aca="false">R25+S25</f>
        <v>8133.80283466932</v>
      </c>
      <c r="S26" s="28" t="n">
        <f aca="false">R26*$S$4</f>
        <v>81.3380283466932</v>
      </c>
      <c r="T26" s="1" t="n">
        <f aca="false">S26/(1+$O$4)^E26</f>
        <v>67.3267326732673</v>
      </c>
    </row>
    <row r="27" customFormat="false" ht="15" hidden="false" customHeight="false" outlineLevel="0" collapsed="false">
      <c r="E27" s="0" t="n">
        <v>20</v>
      </c>
      <c r="F27" s="1" t="n">
        <v>140</v>
      </c>
      <c r="G27" s="1" t="n">
        <f aca="false">F27/(1+$G$4)^E27</f>
        <v>114.736225847221</v>
      </c>
      <c r="J27" s="0" t="n">
        <v>20</v>
      </c>
      <c r="K27" s="1" t="n">
        <v>140</v>
      </c>
      <c r="L27" s="1" t="n">
        <f aca="false">K27/(1+$L$4)^J27</f>
        <v>114.736225847221</v>
      </c>
      <c r="M27" s="1"/>
      <c r="N27" s="28" t="n">
        <f aca="false">N26+O26</f>
        <v>8092</v>
      </c>
      <c r="O27" s="28" t="n">
        <f aca="false">O26</f>
        <v>68</v>
      </c>
      <c r="P27" s="1" t="n">
        <f aca="false">O27/(1+$O$4)^E27</f>
        <v>55.7290239829361</v>
      </c>
      <c r="R27" s="28" t="n">
        <f aca="false">R26+S26</f>
        <v>8215.14086301602</v>
      </c>
      <c r="S27" s="28" t="n">
        <f aca="false">R27*$S$4</f>
        <v>82.1514086301602</v>
      </c>
      <c r="T27" s="1" t="n">
        <f aca="false">S27/(1+$O$4)^E27</f>
        <v>67.3267326732673</v>
      </c>
    </row>
    <row r="28" customFormat="false" ht="15" hidden="false" customHeight="false" outlineLevel="0" collapsed="false">
      <c r="E28" s="0" t="n">
        <v>21</v>
      </c>
      <c r="F28" s="1" t="n">
        <f aca="false">F27</f>
        <v>140</v>
      </c>
      <c r="G28" s="1" t="n">
        <f aca="false">F28/(1+$G$4)^E28</f>
        <v>113.60022361111</v>
      </c>
      <c r="J28" s="0" t="n">
        <v>21</v>
      </c>
      <c r="K28" s="1" t="n">
        <f aca="false">K27</f>
        <v>140</v>
      </c>
      <c r="L28" s="1" t="n">
        <f aca="false">K28/(1+$L$4)^J28</f>
        <v>113.60022361111</v>
      </c>
      <c r="M28" s="1"/>
      <c r="N28" s="28" t="n">
        <f aca="false">N27+O27</f>
        <v>8160</v>
      </c>
      <c r="O28" s="28" t="n">
        <f aca="false">O27</f>
        <v>68</v>
      </c>
      <c r="P28" s="1" t="n">
        <f aca="false">O28/(1+$O$4)^E28</f>
        <v>55.1772514682536</v>
      </c>
      <c r="R28" s="28" t="n">
        <f aca="false">R27+S27</f>
        <v>8297.29227164617</v>
      </c>
      <c r="S28" s="28" t="n">
        <f aca="false">R28*$S$4</f>
        <v>82.9729227164618</v>
      </c>
      <c r="T28" s="1" t="n">
        <f aca="false">S28/(1+$O$4)^E28</f>
        <v>67.3267326732673</v>
      </c>
    </row>
    <row r="29" customFormat="false" ht="15" hidden="false" customHeight="false" outlineLevel="0" collapsed="false">
      <c r="E29" s="0" t="n">
        <v>22</v>
      </c>
      <c r="F29" s="1" t="n">
        <f aca="false">F28</f>
        <v>140</v>
      </c>
      <c r="G29" s="1" t="n">
        <f aca="false">F29/(1+$G$4)^E29</f>
        <v>112.475468921891</v>
      </c>
      <c r="J29" s="0" t="n">
        <v>22</v>
      </c>
      <c r="K29" s="1" t="n">
        <f aca="false">K28</f>
        <v>140</v>
      </c>
      <c r="L29" s="1" t="n">
        <f aca="false">K29/(1+$L$4)^J29</f>
        <v>112.475468921891</v>
      </c>
      <c r="M29" s="1"/>
      <c r="N29" s="28" t="n">
        <f aca="false">N28+O28</f>
        <v>8228</v>
      </c>
      <c r="O29" s="28" t="n">
        <f aca="false">O28</f>
        <v>68</v>
      </c>
      <c r="P29" s="1" t="n">
        <f aca="false">O29/(1+$O$4)^E29</f>
        <v>54.6309420477758</v>
      </c>
      <c r="R29" s="28" t="n">
        <f aca="false">R28+S28</f>
        <v>8380.26519436264</v>
      </c>
      <c r="S29" s="28" t="n">
        <f aca="false">R29*$S$4</f>
        <v>83.8026519436264</v>
      </c>
      <c r="T29" s="1" t="n">
        <f aca="false">S29/(1+$O$4)^E29</f>
        <v>67.3267326732673</v>
      </c>
    </row>
    <row r="30" customFormat="false" ht="15" hidden="false" customHeight="false" outlineLevel="0" collapsed="false">
      <c r="E30" s="0" t="n">
        <v>23</v>
      </c>
      <c r="F30" s="1" t="n">
        <v>140</v>
      </c>
      <c r="G30" s="1" t="n">
        <f aca="false">F30/(1+$G$4)^E30</f>
        <v>111.361850417714</v>
      </c>
      <c r="J30" s="0" t="n">
        <v>23</v>
      </c>
      <c r="K30" s="1" t="n">
        <v>140</v>
      </c>
      <c r="L30" s="1" t="n">
        <f aca="false">K30/(1+$L$4)^J30</f>
        <v>111.361850417714</v>
      </c>
      <c r="M30" s="1"/>
      <c r="N30" s="28" t="n">
        <f aca="false">N29+O29</f>
        <v>8296</v>
      </c>
      <c r="O30" s="28" t="n">
        <f aca="false">O29</f>
        <v>68</v>
      </c>
      <c r="P30" s="1" t="n">
        <f aca="false">O30/(1+$O$4)^E30</f>
        <v>54.0900416314612</v>
      </c>
      <c r="R30" s="28" t="n">
        <f aca="false">R29+S29</f>
        <v>8464.06784630626</v>
      </c>
      <c r="S30" s="28" t="n">
        <f aca="false">R30*$S$4</f>
        <v>84.6406784630626</v>
      </c>
      <c r="T30" s="1" t="n">
        <f aca="false">S30/(1+$O$4)^E30</f>
        <v>67.3267326732673</v>
      </c>
    </row>
    <row r="31" customFormat="false" ht="15" hidden="false" customHeight="false" outlineLevel="0" collapsed="false">
      <c r="E31" s="0" t="n">
        <v>24</v>
      </c>
      <c r="F31" s="1" t="n">
        <f aca="false">F30</f>
        <v>140</v>
      </c>
      <c r="G31" s="1" t="n">
        <f aca="false">F31/(1+$G$4)^E31</f>
        <v>110.259257839321</v>
      </c>
      <c r="J31" s="0" t="n">
        <v>24</v>
      </c>
      <c r="K31" s="1" t="n">
        <f aca="false">K30</f>
        <v>140</v>
      </c>
      <c r="L31" s="1" t="n">
        <f aca="false">K31/(1+$L$4)^J31</f>
        <v>110.259257839321</v>
      </c>
      <c r="M31" s="1"/>
      <c r="N31" s="28" t="n">
        <f aca="false">N30+O30</f>
        <v>8364</v>
      </c>
      <c r="O31" s="28" t="n">
        <f aca="false">O30</f>
        <v>68</v>
      </c>
      <c r="P31" s="1" t="n">
        <f aca="false">O31/(1+$O$4)^E31</f>
        <v>53.5544966648131</v>
      </c>
      <c r="R31" s="28" t="n">
        <f aca="false">R30+S30</f>
        <v>8548.70852476933</v>
      </c>
      <c r="S31" s="28" t="n">
        <f aca="false">R31*$S$4</f>
        <v>85.4870852476933</v>
      </c>
      <c r="T31" s="1" t="n">
        <f aca="false">S31/(1+$O$4)^E31</f>
        <v>67.3267326732673</v>
      </c>
    </row>
    <row r="32" customFormat="false" ht="15" hidden="false" customHeight="false" outlineLevel="0" collapsed="false">
      <c r="E32" s="0" t="n">
        <v>25</v>
      </c>
      <c r="F32" s="1" t="n">
        <f aca="false">F31</f>
        <v>140</v>
      </c>
      <c r="G32" s="1" t="n">
        <f aca="false">F32/(1+$G$4)^E32</f>
        <v>109.16758201913</v>
      </c>
      <c r="J32" s="0" t="n">
        <v>25</v>
      </c>
      <c r="K32" s="1" t="n">
        <f aca="false">K31</f>
        <v>140</v>
      </c>
      <c r="L32" s="1" t="n">
        <f aca="false">K32/(1+$L$4)^J32</f>
        <v>109.16758201913</v>
      </c>
      <c r="M32" s="1"/>
      <c r="N32" s="28" t="n">
        <f aca="false">N31+O31</f>
        <v>8432</v>
      </c>
      <c r="O32" s="28" t="n">
        <f aca="false">O31</f>
        <v>68</v>
      </c>
      <c r="P32" s="1" t="n">
        <f aca="false">O32/(1+$O$4)^E32</f>
        <v>53.0242541235773</v>
      </c>
      <c r="R32" s="28" t="n">
        <f aca="false">R31+S31</f>
        <v>8634.19561001702</v>
      </c>
      <c r="S32" s="28" t="n">
        <f aca="false">R32*$S$4</f>
        <v>86.3419561001702</v>
      </c>
      <c r="T32" s="1" t="n">
        <f aca="false">S32/(1+$O$4)^E32</f>
        <v>67.3267326732673</v>
      </c>
    </row>
    <row r="33" customFormat="false" ht="15" hidden="false" customHeight="false" outlineLevel="0" collapsed="false">
      <c r="E33" s="0" t="n">
        <v>26</v>
      </c>
      <c r="F33" s="1" t="n">
        <v>140</v>
      </c>
      <c r="G33" s="1" t="n">
        <f aca="false">F33/(1+$G$4)^E33</f>
        <v>108.086714870425</v>
      </c>
      <c r="J33" s="0" t="n">
        <v>26</v>
      </c>
      <c r="K33" s="1" t="n">
        <v>140</v>
      </c>
      <c r="L33" s="1" t="n">
        <f aca="false">K33/(1+$L$4)^J33</f>
        <v>108.086714870425</v>
      </c>
      <c r="M33" s="1"/>
      <c r="N33" s="28" t="n">
        <f aca="false">N32+O32</f>
        <v>8500</v>
      </c>
      <c r="O33" s="28" t="n">
        <f aca="false">O32</f>
        <v>68</v>
      </c>
      <c r="P33" s="1" t="n">
        <f aca="false">O33/(1+$O$4)^E33</f>
        <v>52.4992615084924</v>
      </c>
      <c r="R33" s="28" t="n">
        <f aca="false">R32+S32</f>
        <v>8720.53756611719</v>
      </c>
      <c r="S33" s="28" t="n">
        <f aca="false">R33*$S$4</f>
        <v>87.2053756611719</v>
      </c>
      <c r="T33" s="1" t="n">
        <f aca="false">S33/(1+$O$4)^E33</f>
        <v>67.3267326732673</v>
      </c>
    </row>
    <row r="34" customFormat="false" ht="15" hidden="false" customHeight="false" outlineLevel="0" collapsed="false">
      <c r="E34" s="0" t="n">
        <v>27</v>
      </c>
      <c r="F34" s="1" t="n">
        <f aca="false">F33</f>
        <v>140</v>
      </c>
      <c r="G34" s="1" t="n">
        <f aca="false">F34/(1+$G$4)^E34</f>
        <v>107.016549376659</v>
      </c>
      <c r="J34" s="0" t="n">
        <v>27</v>
      </c>
      <c r="K34" s="1" t="n">
        <f aca="false">K33</f>
        <v>140</v>
      </c>
      <c r="L34" s="1" t="n">
        <f aca="false">K34/(1+$L$4)^J34</f>
        <v>107.016549376659</v>
      </c>
      <c r="M34" s="1"/>
      <c r="N34" s="28" t="n">
        <f aca="false">N33+O33</f>
        <v>8568</v>
      </c>
      <c r="O34" s="28" t="n">
        <f aca="false">O33</f>
        <v>68</v>
      </c>
      <c r="P34" s="1" t="n">
        <f aca="false">O34/(1+$O$4)^E34</f>
        <v>51.9794668400914</v>
      </c>
      <c r="R34" s="28" t="n">
        <f aca="false">R33+S33</f>
        <v>8807.74294177836</v>
      </c>
      <c r="S34" s="28" t="n">
        <f aca="false">R34*$S$4</f>
        <v>88.0774294177836</v>
      </c>
      <c r="T34" s="1" t="n">
        <f aca="false">S34/(1+$O$4)^E34</f>
        <v>67.3267326732673</v>
      </c>
    </row>
    <row r="35" customFormat="false" ht="15" hidden="false" customHeight="false" outlineLevel="0" collapsed="false">
      <c r="E35" s="0" t="n">
        <v>28</v>
      </c>
      <c r="F35" s="1" t="n">
        <f aca="false">F34</f>
        <v>140</v>
      </c>
      <c r="G35" s="1" t="n">
        <f aca="false">F35/(1+$G$4)^E35</f>
        <v>105.95697958085</v>
      </c>
      <c r="J35" s="0" t="n">
        <v>28</v>
      </c>
      <c r="K35" s="1" t="n">
        <f aca="false">K34</f>
        <v>140</v>
      </c>
      <c r="L35" s="1" t="n">
        <f aca="false">K35/(1+$L$4)^J35</f>
        <v>105.95697958085</v>
      </c>
      <c r="M35" s="1"/>
      <c r="N35" s="28" t="n">
        <f aca="false">N34+O34</f>
        <v>8636</v>
      </c>
      <c r="O35" s="28" t="n">
        <f aca="false">O34</f>
        <v>68</v>
      </c>
      <c r="P35" s="1" t="n">
        <f aca="false">O35/(1+$O$4)^E35</f>
        <v>51.4648186535559</v>
      </c>
      <c r="R35" s="28" t="n">
        <f aca="false">R34+S34</f>
        <v>8895.82037119614</v>
      </c>
      <c r="S35" s="28" t="n">
        <f aca="false">R35*$S$4</f>
        <v>88.9582037119614</v>
      </c>
      <c r="T35" s="1" t="n">
        <f aca="false">S35/(1+$O$4)^E35</f>
        <v>67.3267326732673</v>
      </c>
    </row>
    <row r="36" customFormat="false" ht="15" hidden="false" customHeight="false" outlineLevel="0" collapsed="false">
      <c r="E36" s="0" t="n">
        <v>29</v>
      </c>
      <c r="F36" s="1" t="n">
        <v>140</v>
      </c>
      <c r="G36" s="1" t="n">
        <f aca="false">F36/(1+$G$4)^E36</f>
        <v>104.907900575099</v>
      </c>
      <c r="J36" s="0" t="n">
        <v>29</v>
      </c>
      <c r="K36" s="1" t="n">
        <v>140</v>
      </c>
      <c r="L36" s="1" t="n">
        <f aca="false">K36/(1+$L$4)^J36</f>
        <v>104.907900575099</v>
      </c>
      <c r="M36" s="1"/>
      <c r="N36" s="28" t="n">
        <f aca="false">N35+O35</f>
        <v>8704</v>
      </c>
      <c r="O36" s="28" t="n">
        <f aca="false">O35</f>
        <v>68</v>
      </c>
      <c r="P36" s="1" t="n">
        <f aca="false">O36/(1+$O$4)^E36</f>
        <v>50.9552659936197</v>
      </c>
      <c r="R36" s="28" t="n">
        <f aca="false">R35+S35</f>
        <v>8984.77857490811</v>
      </c>
      <c r="S36" s="28" t="n">
        <f aca="false">R36*$S$4</f>
        <v>89.8477857490811</v>
      </c>
      <c r="T36" s="1" t="n">
        <f aca="false">S36/(1+$O$4)^E36</f>
        <v>67.3267326732673</v>
      </c>
    </row>
    <row r="37" customFormat="false" ht="15" hidden="false" customHeight="false" outlineLevel="0" collapsed="false">
      <c r="E37" s="0" t="n">
        <v>30</v>
      </c>
      <c r="F37" s="1" t="n">
        <f aca="false">F36</f>
        <v>140</v>
      </c>
      <c r="G37" s="1" t="n">
        <f aca="false">F37/(1+$G$4)^E37</f>
        <v>103.869208490197</v>
      </c>
      <c r="J37" s="0" t="n">
        <v>30</v>
      </c>
      <c r="K37" s="1" t="n">
        <f aca="false">K36</f>
        <v>140</v>
      </c>
      <c r="L37" s="1" t="n">
        <f aca="false">K37/(1+$L$4)^J37</f>
        <v>103.869208490197</v>
      </c>
      <c r="M37" s="1"/>
      <c r="N37" s="28" t="n">
        <f aca="false">N36+O36</f>
        <v>8772</v>
      </c>
      <c r="O37" s="28" t="n">
        <f aca="false">O36</f>
        <v>68</v>
      </c>
      <c r="P37" s="1" t="n">
        <f aca="false">O37/(1+$O$4)^E37</f>
        <v>50.4507584095244</v>
      </c>
      <c r="R37" s="28" t="n">
        <f aca="false">R36+S36</f>
        <v>9074.62636065719</v>
      </c>
      <c r="S37" s="28" t="n">
        <f aca="false">R37*$S$4</f>
        <v>90.7462636065719</v>
      </c>
      <c r="T37" s="1" t="n">
        <f aca="false">S37/(1+$O$4)^E37</f>
        <v>67.3267326732673</v>
      </c>
    </row>
    <row r="38" customFormat="false" ht="15" hidden="false" customHeight="false" outlineLevel="0" collapsed="false">
      <c r="E38" s="0" t="n">
        <v>31</v>
      </c>
      <c r="F38" s="1" t="n">
        <f aca="false">F37</f>
        <v>140</v>
      </c>
      <c r="G38" s="1" t="n">
        <f aca="false">F38/(1+$G$4)^E38</f>
        <v>102.840800485344</v>
      </c>
      <c r="J38" s="0" t="n">
        <v>31</v>
      </c>
      <c r="K38" s="1" t="n">
        <f aca="false">K37</f>
        <v>140</v>
      </c>
      <c r="L38" s="1" t="n">
        <f aca="false">K38/(1+$L$4)^J38</f>
        <v>102.840800485344</v>
      </c>
      <c r="M38" s="1"/>
      <c r="N38" s="28" t="n">
        <f aca="false">N37+O37</f>
        <v>8840</v>
      </c>
      <c r="O38" s="28" t="n">
        <f aca="false">O37</f>
        <v>68</v>
      </c>
      <c r="P38" s="1" t="n">
        <f aca="false">O38/(1+$O$4)^E38</f>
        <v>49.9512459500242</v>
      </c>
      <c r="R38" s="28" t="n">
        <f aca="false">R37+S37</f>
        <v>9165.37262426376</v>
      </c>
      <c r="S38" s="28" t="n">
        <f aca="false">R38*$S$4</f>
        <v>91.6537262426376</v>
      </c>
      <c r="T38" s="1" t="n">
        <f aca="false">S38/(1+$O$4)^E38</f>
        <v>67.3267326732673</v>
      </c>
    </row>
    <row r="39" customFormat="false" ht="15" hidden="false" customHeight="false" outlineLevel="0" collapsed="false">
      <c r="E39" s="0" t="n">
        <v>32</v>
      </c>
      <c r="F39" s="1" t="n">
        <v>140</v>
      </c>
      <c r="G39" s="1" t="n">
        <f aca="false">F39/(1+$G$4)^E39</f>
        <v>101.822574737964</v>
      </c>
      <c r="J39" s="0" t="n">
        <v>32</v>
      </c>
      <c r="K39" s="1" t="n">
        <v>140</v>
      </c>
      <c r="L39" s="1" t="n">
        <f aca="false">K39/(1+$L$4)^J39</f>
        <v>101.822574737964</v>
      </c>
      <c r="M39" s="1"/>
      <c r="N39" s="28" t="n">
        <f aca="false">N38+O38</f>
        <v>8908</v>
      </c>
      <c r="O39" s="28" t="n">
        <f aca="false">O38</f>
        <v>68</v>
      </c>
      <c r="P39" s="1" t="n">
        <f aca="false">O39/(1+$O$4)^E39</f>
        <v>49.4566791584398</v>
      </c>
      <c r="R39" s="28" t="n">
        <f aca="false">R38+S38</f>
        <v>9257.0263505064</v>
      </c>
      <c r="S39" s="28" t="n">
        <f aca="false">R39*$S$4</f>
        <v>92.570263505064</v>
      </c>
      <c r="T39" s="1" t="n">
        <f aca="false">S39/(1+$O$4)^E39</f>
        <v>67.3267326732673</v>
      </c>
    </row>
    <row r="40" customFormat="false" ht="15" hidden="false" customHeight="false" outlineLevel="0" collapsed="false">
      <c r="E40" s="0" t="n">
        <v>33</v>
      </c>
      <c r="F40" s="1" t="n">
        <f aca="false">F39</f>
        <v>140</v>
      </c>
      <c r="G40" s="1" t="n">
        <f aca="false">F40/(1+$G$4)^E40</f>
        <v>100.814430433628</v>
      </c>
      <c r="J40" s="0" t="n">
        <v>33</v>
      </c>
      <c r="K40" s="1" t="n">
        <f aca="false">K39</f>
        <v>140</v>
      </c>
      <c r="L40" s="1" t="n">
        <f aca="false">K40/(1+$L$4)^J40</f>
        <v>100.814430433628</v>
      </c>
      <c r="M40" s="1"/>
      <c r="N40" s="28" t="n">
        <f aca="false">N39+O39</f>
        <v>8976</v>
      </c>
      <c r="O40" s="28" t="n">
        <f aca="false">O39</f>
        <v>68</v>
      </c>
      <c r="P40" s="1" t="n">
        <f aca="false">O40/(1+$O$4)^E40</f>
        <v>48.9670090677622</v>
      </c>
      <c r="R40" s="28" t="n">
        <f aca="false">R39+S39</f>
        <v>9349.59661401146</v>
      </c>
      <c r="S40" s="28" t="n">
        <f aca="false">R40*$S$4</f>
        <v>93.4959661401146</v>
      </c>
      <c r="T40" s="1" t="n">
        <f aca="false">S40/(1+$O$4)^E40</f>
        <v>67.3267326732673</v>
      </c>
    </row>
    <row r="41" customFormat="false" ht="15" hidden="false" customHeight="false" outlineLevel="0" collapsed="false">
      <c r="E41" s="0" t="n">
        <v>34</v>
      </c>
      <c r="F41" s="1" t="n">
        <f aca="false">F40</f>
        <v>140</v>
      </c>
      <c r="G41" s="1" t="n">
        <f aca="false">F41/(1+$G$4)^E41</f>
        <v>99.8162677560673</v>
      </c>
      <c r="J41" s="0" t="n">
        <v>34</v>
      </c>
      <c r="K41" s="1" t="n">
        <f aca="false">K40</f>
        <v>140</v>
      </c>
      <c r="L41" s="1" t="n">
        <f aca="false">K41/(1+$L$4)^J41</f>
        <v>99.8162677560673</v>
      </c>
      <c r="M41" s="1"/>
      <c r="N41" s="28" t="n">
        <f aca="false">N40+O40</f>
        <v>9044</v>
      </c>
      <c r="O41" s="28" t="n">
        <f aca="false">O40</f>
        <v>68</v>
      </c>
      <c r="P41" s="1" t="n">
        <f aca="false">O41/(1+$O$4)^E41</f>
        <v>48.4821871958041</v>
      </c>
      <c r="R41" s="28" t="n">
        <f aca="false">R40+S40</f>
        <v>9443.09258015158</v>
      </c>
      <c r="S41" s="28" t="n">
        <f aca="false">R41*$S$4</f>
        <v>94.4309258015158</v>
      </c>
      <c r="T41" s="1" t="n">
        <f aca="false">S41/(1+$O$4)^E41</f>
        <v>67.3267326732673</v>
      </c>
    </row>
    <row r="42" customFormat="false" ht="15" hidden="false" customHeight="false" outlineLevel="0" collapsed="false">
      <c r="E42" s="0" t="n">
        <v>35</v>
      </c>
      <c r="F42" s="1" t="n">
        <v>140</v>
      </c>
      <c r="G42" s="1" t="n">
        <f aca="false">F42/(1+$G$4)^E42</f>
        <v>98.8279878772944</v>
      </c>
      <c r="J42" s="0" t="n">
        <v>35</v>
      </c>
      <c r="K42" s="1" t="n">
        <v>140</v>
      </c>
      <c r="L42" s="1" t="n">
        <f aca="false">K42/(1+$L$4)^J42</f>
        <v>98.8279878772944</v>
      </c>
      <c r="M42" s="1"/>
      <c r="N42" s="28" t="n">
        <f aca="false">N41+O41</f>
        <v>9112</v>
      </c>
      <c r="O42" s="28" t="n">
        <f aca="false">O41</f>
        <v>68</v>
      </c>
      <c r="P42" s="1" t="n">
        <f aca="false">O42/(1+$O$4)^E42</f>
        <v>48.0021655404001</v>
      </c>
      <c r="R42" s="28" t="n">
        <f aca="false">R41+S41</f>
        <v>9537.52350595309</v>
      </c>
      <c r="S42" s="28" t="n">
        <f aca="false">R42*$S$4</f>
        <v>95.3752350595309</v>
      </c>
      <c r="T42" s="1" t="n">
        <f aca="false">S42/(1+$O$4)^E42</f>
        <v>67.3267326732673</v>
      </c>
    </row>
    <row r="43" customFormat="false" ht="15" hidden="false" customHeight="false" outlineLevel="0" collapsed="false">
      <c r="E43" s="0" t="n">
        <v>36</v>
      </c>
      <c r="F43" s="1" t="n">
        <f aca="false">F42</f>
        <v>140</v>
      </c>
      <c r="G43" s="1" t="n">
        <f aca="false">F43/(1+$G$4)^E43</f>
        <v>97.8494929478162</v>
      </c>
      <c r="J43" s="0" t="n">
        <v>36</v>
      </c>
      <c r="K43" s="1" t="n">
        <f aca="false">K42</f>
        <v>140</v>
      </c>
      <c r="L43" s="1" t="n">
        <f aca="false">K43/(1+$L$4)^J43</f>
        <v>97.8494929478162</v>
      </c>
      <c r="M43" s="1"/>
      <c r="N43" s="28" t="n">
        <f aca="false">N42+O42</f>
        <v>9180</v>
      </c>
      <c r="O43" s="28" t="n">
        <f aca="false">O42</f>
        <v>68</v>
      </c>
      <c r="P43" s="1" t="n">
        <f aca="false">O43/(1+$O$4)^E43</f>
        <v>47.5268965746536</v>
      </c>
      <c r="R43" s="28" t="n">
        <f aca="false">R42+S42</f>
        <v>9632.89874101262</v>
      </c>
      <c r="S43" s="28" t="n">
        <f aca="false">R43*$S$4</f>
        <v>96.3289874101262</v>
      </c>
      <c r="T43" s="1" t="n">
        <f aca="false">S43/(1+$O$4)^E43</f>
        <v>67.3267326732673</v>
      </c>
    </row>
    <row r="44" customFormat="false" ht="15" hidden="false" customHeight="false" outlineLevel="0" collapsed="false">
      <c r="E44" s="0" t="n">
        <v>37</v>
      </c>
      <c r="F44" s="1" t="n">
        <f aca="false">F43</f>
        <v>140</v>
      </c>
      <c r="G44" s="1" t="n">
        <f aca="false">F44/(1+$G$4)^E44</f>
        <v>96.8806860869468</v>
      </c>
      <c r="J44" s="0" t="n">
        <v>37</v>
      </c>
      <c r="K44" s="1" t="n">
        <f aca="false">K43</f>
        <v>140</v>
      </c>
      <c r="L44" s="1" t="n">
        <f aca="false">K44/(1+$L$4)^J44</f>
        <v>96.8806860869468</v>
      </c>
      <c r="M44" s="1"/>
      <c r="N44" s="28" t="n">
        <f aca="false">N43+O43</f>
        <v>9248</v>
      </c>
      <c r="O44" s="28" t="n">
        <f aca="false">O43</f>
        <v>68</v>
      </c>
      <c r="P44" s="1" t="n">
        <f aca="false">O44/(1+$O$4)^E44</f>
        <v>47.0563332422313</v>
      </c>
      <c r="R44" s="28" t="n">
        <f aca="false">R43+S43</f>
        <v>9729.22772842275</v>
      </c>
      <c r="S44" s="28" t="n">
        <f aca="false">R44*$S$4</f>
        <v>97.2922772842275</v>
      </c>
      <c r="T44" s="1" t="n">
        <f aca="false">S44/(1+$O$4)^E44</f>
        <v>67.3267326732673</v>
      </c>
    </row>
    <row r="45" customFormat="false" ht="15" hidden="false" customHeight="false" outlineLevel="0" collapsed="false">
      <c r="E45" s="0" t="n">
        <v>38</v>
      </c>
      <c r="F45" s="1" t="n">
        <v>140</v>
      </c>
      <c r="G45" s="1" t="n">
        <f aca="false">F45/(1+$G$4)^E45</f>
        <v>95.9214713732146</v>
      </c>
      <c r="J45" s="0" t="n">
        <v>38</v>
      </c>
      <c r="K45" s="1" t="n">
        <v>140</v>
      </c>
      <c r="L45" s="1" t="n">
        <f aca="false">K45/(1+$L$4)^J45</f>
        <v>95.9214713732146</v>
      </c>
      <c r="M45" s="1"/>
      <c r="N45" s="28" t="n">
        <f aca="false">N44+O44</f>
        <v>9316</v>
      </c>
      <c r="O45" s="28" t="n">
        <f aca="false">O44</f>
        <v>68</v>
      </c>
      <c r="P45" s="1" t="n">
        <f aca="false">O45/(1+$O$4)^E45</f>
        <v>46.5904289527042</v>
      </c>
      <c r="R45" s="28" t="n">
        <f aca="false">R44+S44</f>
        <v>9826.52000570698</v>
      </c>
      <c r="S45" s="28" t="n">
        <f aca="false">R45*$S$4</f>
        <v>98.2652000570698</v>
      </c>
      <c r="T45" s="1" t="n">
        <f aca="false">S45/(1+$O$4)^E45</f>
        <v>67.3267326732673</v>
      </c>
    </row>
    <row r="46" customFormat="false" ht="15" hidden="false" customHeight="false" outlineLevel="0" collapsed="false">
      <c r="E46" s="0" t="n">
        <v>39</v>
      </c>
      <c r="F46" s="1" t="n">
        <f aca="false">F45</f>
        <v>140</v>
      </c>
      <c r="G46" s="1" t="n">
        <f aca="false">F46/(1+$G$4)^E46</f>
        <v>94.971753834866</v>
      </c>
      <c r="J46" s="0" t="n">
        <v>39</v>
      </c>
      <c r="K46" s="1" t="n">
        <f aca="false">K45</f>
        <v>140</v>
      </c>
      <c r="L46" s="1" t="n">
        <f aca="false">K46/(1+$L$4)^J46</f>
        <v>94.971753834866</v>
      </c>
      <c r="M46" s="1"/>
      <c r="N46" s="28" t="n">
        <f aca="false">N45+O45</f>
        <v>9384</v>
      </c>
      <c r="O46" s="28" t="n">
        <f aca="false">O45</f>
        <v>68</v>
      </c>
      <c r="P46" s="1" t="n">
        <f aca="false">O46/(1+$O$4)^E46</f>
        <v>46.1291375769349</v>
      </c>
      <c r="R46" s="28" t="n">
        <f aca="false">R45+S45</f>
        <v>9924.78520576405</v>
      </c>
      <c r="S46" s="28" t="n">
        <f aca="false">R46*$S$4</f>
        <v>99.2478520576405</v>
      </c>
      <c r="T46" s="1" t="n">
        <f aca="false">S46/(1+$O$4)^E46</f>
        <v>67.3267326732673</v>
      </c>
    </row>
    <row r="47" customFormat="false" ht="15" hidden="false" customHeight="false" outlineLevel="0" collapsed="false">
      <c r="E47" s="0" t="n">
        <v>40</v>
      </c>
      <c r="F47" s="1" t="n">
        <f aca="false">F46</f>
        <v>140</v>
      </c>
      <c r="G47" s="1" t="n">
        <f aca="false">F47/(1+$G$4)^E47</f>
        <v>94.0314394404613</v>
      </c>
      <c r="J47" s="0" t="n">
        <v>40</v>
      </c>
      <c r="K47" s="1" t="n">
        <f aca="false">K46</f>
        <v>140</v>
      </c>
      <c r="L47" s="1" t="n">
        <f aca="false">K47/(1+$L$4)^J47</f>
        <v>94.0314394404613</v>
      </c>
      <c r="M47" s="1"/>
      <c r="N47" s="28" t="n">
        <f aca="false">N46+O46</f>
        <v>9452</v>
      </c>
      <c r="O47" s="28" t="n">
        <f aca="false">O46</f>
        <v>68</v>
      </c>
      <c r="P47" s="1" t="n">
        <f aca="false">O47/(1+$O$4)^E47</f>
        <v>45.6724134425098</v>
      </c>
      <c r="R47" s="28" t="n">
        <f aca="false">R46+S46</f>
        <v>10024.0330578217</v>
      </c>
      <c r="S47" s="28" t="n">
        <f aca="false">R47*$S$4</f>
        <v>100.240330578217</v>
      </c>
      <c r="T47" s="1" t="n">
        <f aca="false">S47/(1+$O$4)^E47</f>
        <v>67.3267326732673</v>
      </c>
    </row>
    <row r="48" customFormat="false" ht="15" hidden="false" customHeight="false" outlineLevel="0" collapsed="false">
      <c r="E48" s="0" t="n">
        <v>41</v>
      </c>
      <c r="F48" s="1" t="n">
        <v>140</v>
      </c>
      <c r="G48" s="1" t="n">
        <f aca="false">F48/(1+$G$4)^E48</f>
        <v>93.1004350895657</v>
      </c>
      <c r="J48" s="0" t="n">
        <v>41</v>
      </c>
      <c r="K48" s="1" t="n">
        <v>140</v>
      </c>
      <c r="L48" s="1" t="n">
        <f aca="false">K48/(1+$L$4)^J48</f>
        <v>93.1004350895657</v>
      </c>
      <c r="M48" s="1"/>
      <c r="N48" s="28" t="n">
        <f aca="false">N47+O47</f>
        <v>9520</v>
      </c>
      <c r="O48" s="28" t="n">
        <f aca="false">O47</f>
        <v>68</v>
      </c>
      <c r="P48" s="1" t="n">
        <f aca="false">O48/(1+$O$4)^E48</f>
        <v>45.2202113292176</v>
      </c>
      <c r="R48" s="28" t="n">
        <f aca="false">R47+S47</f>
        <v>10124.2733883999</v>
      </c>
      <c r="S48" s="28" t="n">
        <f aca="false">R48*$S$4</f>
        <v>101.242733883999</v>
      </c>
      <c r="T48" s="1" t="n">
        <f aca="false">S48/(1+$O$4)^E48</f>
        <v>67.3267326732673</v>
      </c>
    </row>
    <row r="49" customFormat="false" ht="15" hidden="false" customHeight="false" outlineLevel="0" collapsed="false">
      <c r="E49" s="0" t="n">
        <v>42</v>
      </c>
      <c r="F49" s="1" t="n">
        <f aca="false">F48</f>
        <v>140</v>
      </c>
      <c r="G49" s="1" t="n">
        <f aca="false">F49/(1+$G$4)^E49</f>
        <v>92.1786486035304</v>
      </c>
      <c r="J49" s="0" t="n">
        <v>42</v>
      </c>
      <c r="K49" s="1" t="n">
        <f aca="false">K48</f>
        <v>140</v>
      </c>
      <c r="L49" s="1" t="n">
        <f aca="false">K49/(1+$L$4)^J49</f>
        <v>92.1786486035304</v>
      </c>
      <c r="M49" s="1"/>
      <c r="N49" s="28" t="n">
        <f aca="false">N48+O48</f>
        <v>9588</v>
      </c>
      <c r="O49" s="28" t="n">
        <f aca="false">O48</f>
        <v>68</v>
      </c>
      <c r="P49" s="1" t="n">
        <f aca="false">O49/(1+$O$4)^E49</f>
        <v>44.7724864645719</v>
      </c>
      <c r="R49" s="28" t="n">
        <f aca="false">R48+S48</f>
        <v>10225.5161222839</v>
      </c>
      <c r="S49" s="28" t="n">
        <f aca="false">R49*$S$4</f>
        <v>102.255161222839</v>
      </c>
      <c r="T49" s="1" t="n">
        <f aca="false">S49/(1+$O$4)^E49</f>
        <v>67.3267326732673</v>
      </c>
    </row>
    <row r="50" customFormat="false" ht="15" hidden="false" customHeight="false" outlineLevel="0" collapsed="false">
      <c r="E50" s="0" t="n">
        <v>43</v>
      </c>
      <c r="F50" s="1" t="n">
        <f aca="false">F49</f>
        <v>140</v>
      </c>
      <c r="G50" s="1" t="n">
        <f aca="false">F50/(1+$G$4)^E50</f>
        <v>91.2659887163667</v>
      </c>
      <c r="J50" s="0" t="n">
        <v>43</v>
      </c>
      <c r="K50" s="1" t="n">
        <f aca="false">K49</f>
        <v>140</v>
      </c>
      <c r="L50" s="1" t="n">
        <f aca="false">K50/(1+$L$4)^J50</f>
        <v>91.2659887163667</v>
      </c>
      <c r="M50" s="1"/>
      <c r="N50" s="28" t="n">
        <f aca="false">N49+O49</f>
        <v>9656</v>
      </c>
      <c r="O50" s="28" t="n">
        <f aca="false">O49</f>
        <v>68</v>
      </c>
      <c r="P50" s="1" t="n">
        <f aca="false">O50/(1+$O$4)^E50</f>
        <v>44.3291945193781</v>
      </c>
      <c r="R50" s="28" t="n">
        <f aca="false">R49+S49</f>
        <v>10327.7712835067</v>
      </c>
      <c r="S50" s="28" t="n">
        <f aca="false">R50*$S$4</f>
        <v>103.277712835067</v>
      </c>
      <c r="T50" s="1" t="n">
        <f aca="false">S50/(1+$O$4)^E50</f>
        <v>67.3267326732673</v>
      </c>
    </row>
    <row r="51" customFormat="false" ht="15" hidden="false" customHeight="false" outlineLevel="0" collapsed="false">
      <c r="E51" s="0" t="n">
        <v>44</v>
      </c>
      <c r="F51" s="1" t="n">
        <v>140</v>
      </c>
      <c r="G51" s="1" t="n">
        <f aca="false">F51/(1+$G$4)^E51</f>
        <v>90.3623650657096</v>
      </c>
      <c r="J51" s="0" t="n">
        <v>44</v>
      </c>
      <c r="K51" s="1" t="n">
        <v>140</v>
      </c>
      <c r="L51" s="1" t="n">
        <f aca="false">K51/(1+$L$4)^J51</f>
        <v>90.3623650657096</v>
      </c>
      <c r="M51" s="1"/>
      <c r="N51" s="28" t="n">
        <f aca="false">N50+O50</f>
        <v>9724</v>
      </c>
      <c r="O51" s="28" t="n">
        <f aca="false">O50</f>
        <v>68</v>
      </c>
      <c r="P51" s="1" t="n">
        <f aca="false">O51/(1+$O$4)^E51</f>
        <v>43.8902916033447</v>
      </c>
      <c r="R51" s="28" t="n">
        <f aca="false">R50+S50</f>
        <v>10431.0489963418</v>
      </c>
      <c r="S51" s="28" t="n">
        <f aca="false">R51*$S$4</f>
        <v>104.310489963418</v>
      </c>
      <c r="T51" s="1" t="n">
        <f aca="false">S51/(1+$O$4)^E51</f>
        <v>67.3267326732673</v>
      </c>
    </row>
    <row r="52" customFormat="false" ht="15" hidden="false" customHeight="false" outlineLevel="0" collapsed="false">
      <c r="E52" s="0" t="n">
        <v>45</v>
      </c>
      <c r="F52" s="1" t="n">
        <f aca="false">F51</f>
        <v>140</v>
      </c>
      <c r="G52" s="1" t="n">
        <f aca="false">F52/(1+$G$4)^E52</f>
        <v>89.4676881838709</v>
      </c>
      <c r="J52" s="0" t="n">
        <v>45</v>
      </c>
      <c r="K52" s="1" t="n">
        <f aca="false">K51</f>
        <v>140</v>
      </c>
      <c r="L52" s="1" t="n">
        <f aca="false">K52/(1+$L$4)^J52</f>
        <v>89.4676881838709</v>
      </c>
      <c r="M52" s="1"/>
      <c r="N52" s="28" t="n">
        <f aca="false">N51+O51</f>
        <v>9792</v>
      </c>
      <c r="O52" s="28" t="n">
        <f aca="false">O51</f>
        <v>68</v>
      </c>
      <c r="P52" s="1" t="n">
        <f aca="false">O52/(1+$O$4)^E52</f>
        <v>43.4557342607373</v>
      </c>
      <c r="R52" s="28" t="n">
        <f aca="false">R51+S51</f>
        <v>10535.3594863052</v>
      </c>
      <c r="S52" s="28" t="n">
        <f aca="false">R52*$S$4</f>
        <v>105.353594863052</v>
      </c>
      <c r="T52" s="1" t="n">
        <f aca="false">S52/(1+$O$4)^E52</f>
        <v>67.3267326732673</v>
      </c>
    </row>
    <row r="53" customFormat="false" ht="15" hidden="false" customHeight="false" outlineLevel="0" collapsed="false">
      <c r="E53" s="0" t="n">
        <v>46</v>
      </c>
      <c r="F53" s="1" t="n">
        <f aca="false">F52</f>
        <v>140</v>
      </c>
      <c r="G53" s="1" t="n">
        <f aca="false">F53/(1+$G$4)^E53</f>
        <v>88.5818694889811</v>
      </c>
      <c r="J53" s="0" t="n">
        <v>46</v>
      </c>
      <c r="K53" s="1" t="n">
        <f aca="false">K52</f>
        <v>140</v>
      </c>
      <c r="L53" s="1" t="n">
        <f aca="false">K53/(1+$L$4)^J53</f>
        <v>88.5818694889811</v>
      </c>
      <c r="M53" s="1"/>
      <c r="N53" s="28" t="n">
        <f aca="false">N52+O52</f>
        <v>9860</v>
      </c>
      <c r="O53" s="28" t="n">
        <f aca="false">O52</f>
        <v>68</v>
      </c>
      <c r="P53" s="1" t="n">
        <f aca="false">O53/(1+$O$4)^E53</f>
        <v>43.0254794660765</v>
      </c>
      <c r="R53" s="28" t="n">
        <f aca="false">R52+S52</f>
        <v>10640.7130811683</v>
      </c>
      <c r="S53" s="28" t="n">
        <f aca="false">R53*$S$4</f>
        <v>106.407130811683</v>
      </c>
      <c r="T53" s="1" t="n">
        <f aca="false">S53/(1+$O$4)^E53</f>
        <v>67.3267326732673</v>
      </c>
    </row>
    <row r="54" customFormat="false" ht="15" hidden="false" customHeight="false" outlineLevel="0" collapsed="false">
      <c r="E54" s="0" t="n">
        <v>47</v>
      </c>
      <c r="F54" s="1" t="n">
        <v>140</v>
      </c>
      <c r="G54" s="1" t="n">
        <f aca="false">F54/(1+$G$4)^E54</f>
        <v>87.7048212762189</v>
      </c>
      <c r="J54" s="0" t="n">
        <v>47</v>
      </c>
      <c r="K54" s="1" t="n">
        <v>140</v>
      </c>
      <c r="L54" s="1" t="n">
        <f aca="false">K54/(1+$L$4)^J54</f>
        <v>87.7048212762189</v>
      </c>
      <c r="M54" s="1"/>
      <c r="N54" s="28" t="n">
        <f aca="false">N53+O53</f>
        <v>9928</v>
      </c>
      <c r="O54" s="28" t="n">
        <f aca="false">O53</f>
        <v>68</v>
      </c>
      <c r="P54" s="1" t="n">
        <f aca="false">O54/(1+$O$4)^E54</f>
        <v>42.5994846198778</v>
      </c>
      <c r="R54" s="28" t="n">
        <f aca="false">R53+S53</f>
        <v>10747.12021198</v>
      </c>
      <c r="S54" s="28" t="n">
        <f aca="false">R54*$S$4</f>
        <v>107.4712021198</v>
      </c>
      <c r="T54" s="1" t="n">
        <f aca="false">S54/(1+$O$4)^E54</f>
        <v>67.3267326732673</v>
      </c>
    </row>
    <row r="55" customFormat="false" ht="15" hidden="false" customHeight="false" outlineLevel="0" collapsed="false">
      <c r="E55" s="0" t="n">
        <v>48</v>
      </c>
      <c r="F55" s="1" t="n">
        <f aca="false">F54</f>
        <v>140</v>
      </c>
      <c r="G55" s="1" t="n">
        <f aca="false">F55/(1+$G$4)^E55</f>
        <v>86.8364567091276</v>
      </c>
      <c r="J55" s="0" t="n">
        <v>48</v>
      </c>
      <c r="K55" s="1" t="n">
        <f aca="false">K54</f>
        <v>140</v>
      </c>
      <c r="L55" s="1" t="n">
        <f aca="false">K55/(1+$L$4)^J55</f>
        <v>86.8364567091276</v>
      </c>
      <c r="M55" s="1"/>
      <c r="N55" s="28" t="n">
        <f aca="false">N54+O54</f>
        <v>9996</v>
      </c>
      <c r="O55" s="28" t="n">
        <f aca="false">O54</f>
        <v>68</v>
      </c>
      <c r="P55" s="1" t="n">
        <f aca="false">O55/(1+$O$4)^E55</f>
        <v>42.1777075444334</v>
      </c>
      <c r="R55" s="28" t="n">
        <f aca="false">R54+S54</f>
        <v>10854.5914140998</v>
      </c>
      <c r="S55" s="28" t="n">
        <f aca="false">R55*$S$4</f>
        <v>108.545914140998</v>
      </c>
      <c r="T55" s="1" t="n">
        <f aca="false">S55/(1+$O$4)^E55</f>
        <v>67.3267326732673</v>
      </c>
    </row>
    <row r="56" customFormat="false" ht="15" hidden="false" customHeight="false" outlineLevel="0" collapsed="false">
      <c r="E56" s="0" t="n">
        <v>49</v>
      </c>
      <c r="F56" s="1" t="n">
        <f aca="false">F55</f>
        <v>140</v>
      </c>
      <c r="G56" s="1" t="n">
        <f aca="false">F56/(1+$G$4)^E56</f>
        <v>85.9766898110175</v>
      </c>
      <c r="J56" s="0" t="n">
        <v>49</v>
      </c>
      <c r="K56" s="1" t="n">
        <f aca="false">K55</f>
        <v>140</v>
      </c>
      <c r="L56" s="1" t="n">
        <f aca="false">K56/(1+$L$4)^J56</f>
        <v>85.9766898110175</v>
      </c>
      <c r="M56" s="1"/>
      <c r="N56" s="28" t="n">
        <f aca="false">N55+O55</f>
        <v>10064</v>
      </c>
      <c r="O56" s="28" t="n">
        <f aca="false">O55</f>
        <v>68</v>
      </c>
      <c r="P56" s="1" t="n">
        <f aca="false">O56/(1+$O$4)^E56</f>
        <v>41.760106479637</v>
      </c>
      <c r="R56" s="28" t="n">
        <f aca="false">R55+S55</f>
        <v>10963.1373282408</v>
      </c>
      <c r="S56" s="28" t="n">
        <f aca="false">R56*$S$4</f>
        <v>109.631373282408</v>
      </c>
      <c r="T56" s="1" t="n">
        <f aca="false">S56/(1+$O$4)^E56</f>
        <v>67.3267326732673</v>
      </c>
    </row>
    <row r="57" customFormat="false" ht="15" hidden="false" customHeight="false" outlineLevel="0" collapsed="false">
      <c r="E57" s="0" t="n">
        <v>50</v>
      </c>
      <c r="F57" s="1" t="n">
        <v>140</v>
      </c>
      <c r="G57" s="1" t="n">
        <f aca="false">F57/(1+$G$4)^E57</f>
        <v>85.1254354564529</v>
      </c>
      <c r="J57" s="0" t="n">
        <v>50</v>
      </c>
      <c r="K57" s="1" t="n">
        <v>140</v>
      </c>
      <c r="L57" s="1" t="n">
        <f aca="false">K57/(1+$L$4)^J57</f>
        <v>85.1254354564529</v>
      </c>
      <c r="M57" s="1"/>
      <c r="N57" s="28" t="n">
        <f aca="false">N56+O56</f>
        <v>10132</v>
      </c>
      <c r="O57" s="28" t="n">
        <f aca="false">O56</f>
        <v>68</v>
      </c>
      <c r="P57" s="1" t="n">
        <f aca="false">O57/(1+$O$4)^E57</f>
        <v>41.3466400788486</v>
      </c>
      <c r="R57" s="28" t="n">
        <f aca="false">R56+S56</f>
        <v>11072.7687015232</v>
      </c>
      <c r="S57" s="28" t="n">
        <f aca="false">R57*$S$4</f>
        <v>110.727687015232</v>
      </c>
      <c r="T57" s="1" t="n">
        <f aca="false">S57/(1+$O$4)^E57</f>
        <v>67.3267326732673</v>
      </c>
    </row>
    <row r="58" customFormat="false" ht="15" hidden="false" customHeight="false" outlineLevel="0" collapsed="false">
      <c r="E58" s="0" t="n">
        <v>51</v>
      </c>
      <c r="F58" s="1" t="n">
        <f aca="false">F57</f>
        <v>140</v>
      </c>
      <c r="G58" s="1" t="n">
        <f aca="false">F58/(1+$G$4)^E58</f>
        <v>84.2826093628247</v>
      </c>
      <c r="J58" s="0" t="n">
        <v>51</v>
      </c>
      <c r="K58" s="1" t="n">
        <f aca="false">K57</f>
        <v>140</v>
      </c>
      <c r="L58" s="1" t="n">
        <f aca="false">K58/(1+$L$4)^J58</f>
        <v>84.2826093628247</v>
      </c>
      <c r="M58" s="1"/>
      <c r="N58" s="28" t="n">
        <f aca="false">N57+O57</f>
        <v>10200</v>
      </c>
      <c r="O58" s="28" t="n">
        <f aca="false">O57</f>
        <v>68</v>
      </c>
      <c r="P58" s="1" t="n">
        <f aca="false">O58/(1+$O$4)^E58</f>
        <v>40.9372674048006</v>
      </c>
      <c r="R58" s="28" t="n">
        <f aca="false">R57+S57</f>
        <v>11183.4963885384</v>
      </c>
      <c r="S58" s="28" t="n">
        <f aca="false">R58*$S$4</f>
        <v>111.834963885384</v>
      </c>
      <c r="T58" s="1" t="n">
        <f aca="false">S58/(1+$O$4)^E58</f>
        <v>67.3267326732673</v>
      </c>
    </row>
    <row r="59" customFormat="false" ht="15" hidden="false" customHeight="false" outlineLevel="0" collapsed="false">
      <c r="E59" s="0" t="n">
        <v>52</v>
      </c>
      <c r="F59" s="1" t="n">
        <f aca="false">F58</f>
        <v>140</v>
      </c>
      <c r="G59" s="1" t="n">
        <f aca="false">F59/(1+$G$4)^E59</f>
        <v>83.4481280820046</v>
      </c>
      <c r="J59" s="0" t="n">
        <v>52</v>
      </c>
      <c r="K59" s="1" t="n">
        <f aca="false">K58</f>
        <v>140</v>
      </c>
      <c r="L59" s="1" t="n">
        <f aca="false">K59/(1+$L$4)^J59</f>
        <v>83.4481280820046</v>
      </c>
      <c r="M59" s="1"/>
      <c r="N59" s="28" t="n">
        <f aca="false">N58+O58</f>
        <v>10268</v>
      </c>
      <c r="O59" s="28" t="n">
        <f aca="false">O58</f>
        <v>68</v>
      </c>
      <c r="P59" s="1" t="n">
        <f aca="false">O59/(1+$O$4)^E59</f>
        <v>40.5319479255451</v>
      </c>
      <c r="R59" s="28" t="n">
        <f aca="false">R58+S58</f>
        <v>11295.3313524238</v>
      </c>
      <c r="S59" s="28" t="n">
        <f aca="false">R59*$S$4</f>
        <v>112.953313524238</v>
      </c>
      <c r="T59" s="1" t="n">
        <f aca="false">S59/(1+$O$4)^E59</f>
        <v>67.3267326732673</v>
      </c>
    </row>
    <row r="60" customFormat="false" ht="15" hidden="false" customHeight="false" outlineLevel="0" collapsed="false">
      <c r="E60" s="0" t="n">
        <v>53</v>
      </c>
      <c r="F60" s="1" t="n">
        <v>140</v>
      </c>
      <c r="G60" s="1" t="n">
        <f aca="false">F60/(1+$G$4)^E60</f>
        <v>82.6219089920838</v>
      </c>
      <c r="J60" s="0" t="n">
        <v>53</v>
      </c>
      <c r="K60" s="1" t="n">
        <v>140</v>
      </c>
      <c r="L60" s="1" t="n">
        <f aca="false">K60/(1+$L$4)^J60</f>
        <v>82.6219089920838</v>
      </c>
      <c r="M60" s="1"/>
      <c r="N60" s="28" t="n">
        <f aca="false">N59+O59</f>
        <v>10336</v>
      </c>
      <c r="O60" s="28" t="n">
        <f aca="false">O59</f>
        <v>68</v>
      </c>
      <c r="P60" s="1" t="n">
        <f aca="false">O60/(1+$O$4)^E60</f>
        <v>40.1306415104407</v>
      </c>
      <c r="R60" s="28" t="n">
        <f aca="false">R59+S59</f>
        <v>11408.284665948</v>
      </c>
      <c r="S60" s="28" t="n">
        <f aca="false">R60*$S$4</f>
        <v>114.08284665948</v>
      </c>
      <c r="T60" s="1" t="n">
        <f aca="false">S60/(1+$O$4)^E60</f>
        <v>67.3267326732673</v>
      </c>
    </row>
    <row r="61" customFormat="false" ht="15" hidden="false" customHeight="false" outlineLevel="0" collapsed="false">
      <c r="E61" s="0" t="n">
        <v>54</v>
      </c>
      <c r="F61" s="1" t="n">
        <f aca="false">F60</f>
        <v>140</v>
      </c>
      <c r="G61" s="1" t="n">
        <f aca="false">F61/(1+$G$4)^E61</f>
        <v>81.8038702891919</v>
      </c>
      <c r="J61" s="0" t="n">
        <v>54</v>
      </c>
      <c r="K61" s="1" t="n">
        <f aca="false">K60</f>
        <v>140</v>
      </c>
      <c r="L61" s="1" t="n">
        <f aca="false">K61/(1+$L$4)^J61</f>
        <v>81.8038702891919</v>
      </c>
      <c r="M61" s="1"/>
      <c r="N61" s="28" t="n">
        <f aca="false">N60+O60</f>
        <v>10404</v>
      </c>
      <c r="O61" s="28" t="n">
        <f aca="false">O60</f>
        <v>68</v>
      </c>
      <c r="P61" s="1" t="n">
        <f aca="false">O61/(1+$O$4)^E61</f>
        <v>39.7333084261789</v>
      </c>
      <c r="R61" s="28" t="n">
        <f aca="false">R60+S60</f>
        <v>11522.3675126075</v>
      </c>
      <c r="S61" s="28" t="n">
        <f aca="false">R61*$S$4</f>
        <v>115.223675126075</v>
      </c>
      <c r="T61" s="1" t="n">
        <f aca="false">S61/(1+$O$4)^E61</f>
        <v>67.3267326732673</v>
      </c>
    </row>
    <row r="62" customFormat="false" ht="15" hidden="false" customHeight="false" outlineLevel="0" collapsed="false">
      <c r="E62" s="0" t="n">
        <v>55</v>
      </c>
      <c r="F62" s="1" t="n">
        <f aca="false">F61</f>
        <v>140</v>
      </c>
      <c r="G62" s="1" t="n">
        <f aca="false">F62/(1+$G$4)^E62</f>
        <v>80.9939309793979</v>
      </c>
      <c r="J62" s="0" t="n">
        <v>55</v>
      </c>
      <c r="K62" s="1" t="n">
        <f aca="false">K61</f>
        <v>140</v>
      </c>
      <c r="L62" s="1" t="n">
        <f aca="false">K62/(1+$L$4)^J62</f>
        <v>80.9939309793979</v>
      </c>
      <c r="M62" s="1"/>
      <c r="N62" s="28" t="n">
        <f aca="false">N61+O61</f>
        <v>10472</v>
      </c>
      <c r="O62" s="28" t="n">
        <f aca="false">O61</f>
        <v>68</v>
      </c>
      <c r="P62" s="1" t="n">
        <f aca="false">O62/(1+$O$4)^E62</f>
        <v>39.3399093328504</v>
      </c>
      <c r="R62" s="28" t="n">
        <f aca="false">R61+S61</f>
        <v>11637.5911877336</v>
      </c>
      <c r="S62" s="28" t="n">
        <f aca="false">R62*$S$4</f>
        <v>116.375911877336</v>
      </c>
      <c r="T62" s="1" t="n">
        <f aca="false">S62/(1+$O$4)^E62</f>
        <v>67.3267326732673</v>
      </c>
    </row>
    <row r="63" customFormat="false" ht="15" hidden="false" customHeight="false" outlineLevel="0" collapsed="false">
      <c r="E63" s="0" t="n">
        <v>56</v>
      </c>
      <c r="F63" s="1" t="n">
        <v>140</v>
      </c>
      <c r="G63" s="1" t="n">
        <f aca="false">F63/(1+$G$4)^E63</f>
        <v>80.192010870691</v>
      </c>
      <c r="J63" s="0" t="n">
        <v>56</v>
      </c>
      <c r="K63" s="1" t="n">
        <v>140</v>
      </c>
      <c r="L63" s="1" t="n">
        <f aca="false">K63/(1+$L$4)^J63</f>
        <v>80.192010870691</v>
      </c>
      <c r="M63" s="1"/>
      <c r="N63" s="28" t="n">
        <f aca="false">N62+O62</f>
        <v>10540</v>
      </c>
      <c r="O63" s="28" t="n">
        <f aca="false">O62</f>
        <v>68</v>
      </c>
      <c r="P63" s="1" t="n">
        <f aca="false">O63/(1+$O$4)^E63</f>
        <v>38.9504052800499</v>
      </c>
      <c r="R63" s="28" t="n">
        <f aca="false">R62+S62</f>
        <v>11753.9670996109</v>
      </c>
      <c r="S63" s="28" t="n">
        <f aca="false">R63*$S$4</f>
        <v>117.539670996109</v>
      </c>
      <c r="T63" s="1" t="n">
        <f aca="false">S63/(1+$O$4)^E63</f>
        <v>67.3267326732673</v>
      </c>
    </row>
    <row r="64" customFormat="false" ht="15" hidden="false" customHeight="false" outlineLevel="0" collapsed="false">
      <c r="E64" s="0" t="n">
        <v>57</v>
      </c>
      <c r="F64" s="1" t="n">
        <f aca="false">F63</f>
        <v>140</v>
      </c>
      <c r="G64" s="1" t="n">
        <f aca="false">F64/(1+$G$4)^E64</f>
        <v>79.3980305650406</v>
      </c>
      <c r="J64" s="0" t="n">
        <v>57</v>
      </c>
      <c r="K64" s="1" t="n">
        <f aca="false">K63</f>
        <v>140</v>
      </c>
      <c r="L64" s="1" t="n">
        <f aca="false">K64/(1+$L$4)^J64</f>
        <v>79.3980305650406</v>
      </c>
      <c r="M64" s="1"/>
      <c r="N64" s="28" t="n">
        <f aca="false">N63+O63</f>
        <v>10608</v>
      </c>
      <c r="O64" s="28" t="n">
        <f aca="false">O63</f>
        <v>68</v>
      </c>
      <c r="P64" s="1" t="n">
        <f aca="false">O64/(1+$O$4)^E64</f>
        <v>38.5647577030197</v>
      </c>
      <c r="R64" s="28" t="n">
        <f aca="false">R63+S63</f>
        <v>11871.506770607</v>
      </c>
      <c r="S64" s="28" t="n">
        <f aca="false">R64*$S$4</f>
        <v>118.71506770607</v>
      </c>
      <c r="T64" s="1" t="n">
        <f aca="false">S64/(1+$O$4)^E64</f>
        <v>67.3267326732673</v>
      </c>
    </row>
    <row r="65" customFormat="false" ht="15" hidden="false" customHeight="false" outlineLevel="0" collapsed="false">
      <c r="E65" s="0" t="n">
        <v>58</v>
      </c>
      <c r="F65" s="1" t="n">
        <f aca="false">F64</f>
        <v>140</v>
      </c>
      <c r="G65" s="1" t="n">
        <f aca="false">F65/(1+$G$4)^E65</f>
        <v>78.6119114505352</v>
      </c>
      <c r="J65" s="0" t="n">
        <v>58</v>
      </c>
      <c r="K65" s="1" t="n">
        <f aca="false">K64</f>
        <v>140</v>
      </c>
      <c r="L65" s="1" t="n">
        <f aca="false">K65/(1+$L$4)^J65</f>
        <v>78.6119114505352</v>
      </c>
      <c r="M65" s="1"/>
      <c r="N65" s="28" t="n">
        <f aca="false">N64+O64</f>
        <v>10676</v>
      </c>
      <c r="O65" s="28" t="n">
        <f aca="false">O64</f>
        <v>68</v>
      </c>
      <c r="P65" s="1" t="n">
        <f aca="false">O65/(1+$O$4)^E65</f>
        <v>38.1829284188314</v>
      </c>
      <c r="R65" s="28" t="n">
        <f aca="false">R64+S64</f>
        <v>11990.2218383131</v>
      </c>
      <c r="S65" s="28" t="n">
        <f aca="false">R65*$S$4</f>
        <v>119.902218383131</v>
      </c>
      <c r="T65" s="1" t="n">
        <f aca="false">S65/(1+$O$4)^E65</f>
        <v>67.3267326732673</v>
      </c>
    </row>
    <row r="66" customFormat="false" ht="15" hidden="false" customHeight="false" outlineLevel="0" collapsed="false">
      <c r="E66" s="0" t="n">
        <v>59</v>
      </c>
      <c r="F66" s="1" t="n">
        <v>140</v>
      </c>
      <c r="G66" s="1" t="n">
        <f aca="false">F66/(1+$G$4)^E66</f>
        <v>77.8335756935992</v>
      </c>
      <c r="J66" s="0" t="n">
        <v>59</v>
      </c>
      <c r="K66" s="1" t="n">
        <v>140</v>
      </c>
      <c r="L66" s="1" t="n">
        <f aca="false">K66/(1+$L$4)^J66</f>
        <v>77.8335756935992</v>
      </c>
      <c r="M66" s="1"/>
      <c r="N66" s="28" t="n">
        <f aca="false">N65+O65</f>
        <v>10744</v>
      </c>
      <c r="O66" s="28" t="n">
        <f aca="false">O65</f>
        <v>68</v>
      </c>
      <c r="P66" s="1" t="n">
        <f aca="false">O66/(1+$O$4)^E66</f>
        <v>37.8048796226053</v>
      </c>
      <c r="R66" s="28" t="n">
        <f aca="false">R65+S65</f>
        <v>12110.1240566962</v>
      </c>
      <c r="S66" s="28" t="n">
        <f aca="false">R66*$S$4</f>
        <v>121.101240566962</v>
      </c>
      <c r="T66" s="1" t="n">
        <f aca="false">S66/(1+$O$4)^E66</f>
        <v>67.3267326732673</v>
      </c>
    </row>
    <row r="67" customFormat="false" ht="15" hidden="false" customHeight="false" outlineLevel="0" collapsed="false">
      <c r="E67" s="0" t="n">
        <v>60</v>
      </c>
      <c r="F67" s="1" t="n">
        <f aca="false">F66</f>
        <v>140</v>
      </c>
      <c r="G67" s="1" t="n">
        <f aca="false">F67/(1+$G$4)^E67</f>
        <v>77.0629462312864</v>
      </c>
      <c r="J67" s="0" t="n">
        <v>60</v>
      </c>
      <c r="K67" s="1" t="n">
        <f aca="false">K66</f>
        <v>140</v>
      </c>
      <c r="L67" s="1" t="n">
        <f aca="false">K67/(1+$L$4)^J67</f>
        <v>77.0629462312864</v>
      </c>
      <c r="M67" s="1"/>
      <c r="N67" s="28" t="n">
        <f aca="false">N66+O66</f>
        <v>10812</v>
      </c>
      <c r="O67" s="28" t="n">
        <f aca="false">O65-O7</f>
        <v>6868</v>
      </c>
      <c r="P67" s="1" t="n">
        <f aca="false">O67/(1+$O$4)^E67</f>
        <v>3780.48796226053</v>
      </c>
      <c r="R67" s="28" t="n">
        <f aca="false">R66+S66</f>
        <v>12231.2252972632</v>
      </c>
      <c r="S67" s="28" t="n">
        <f aca="false">(R67)*$S$4-S7</f>
        <v>6922.31225297263</v>
      </c>
      <c r="T67" s="1" t="n">
        <f aca="false">(S67)/(1+$O$4)^E67</f>
        <v>3810.38412105003</v>
      </c>
    </row>
    <row r="69" customFormat="false" ht="15" hidden="false" customHeight="false" outlineLevel="0" collapsed="false">
      <c r="A69" s="1"/>
      <c r="E69" s="0" t="s">
        <v>58</v>
      </c>
      <c r="G69" s="1" t="n">
        <f aca="false">SUM(G8:G67)</f>
        <v>6293.70537687136</v>
      </c>
      <c r="J69" s="0" t="s">
        <v>58</v>
      </c>
      <c r="K69" s="1"/>
      <c r="L69" s="1" t="n">
        <f aca="false">SUM(L7:L67)</f>
        <v>-506.294623128643</v>
      </c>
      <c r="O69" s="1"/>
      <c r="P69" s="1" t="n">
        <f aca="false">SUM(P7:P67)</f>
        <v>-4.09272615797818E-012</v>
      </c>
      <c r="S69" s="1"/>
      <c r="T69" s="1" t="n">
        <f aca="false">SUM(T7:T67)</f>
        <v>982.661348772812</v>
      </c>
    </row>
    <row r="71" customFormat="false" ht="15" hidden="false" customHeight="false" outlineLevel="0" collapsed="false">
      <c r="P71" s="0" t="s">
        <v>59</v>
      </c>
      <c r="T71" s="0" t="s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2"/>
  <sheetViews>
    <sheetView showFormulas="false" showGridLines="true" showRowColHeaders="true" showZeros="true" rightToLeft="false" tabSelected="false" showOutlineSymbols="true" defaultGridColor="true" view="normal" topLeftCell="J1" colorId="64" zoomScale="120" zoomScaleNormal="120" zoomScalePageLayoutView="100" workbookViewId="0">
      <selection pane="topLeft" activeCell="M17" activeCellId="0" sqref="M17"/>
    </sheetView>
  </sheetViews>
  <sheetFormatPr defaultColWidth="8.54296875" defaultRowHeight="15" zeroHeight="false" outlineLevelRow="0" outlineLevelCol="1"/>
  <cols>
    <col collapsed="false" customWidth="true" hidden="false" outlineLevel="0" max="1" min="1" style="0" width="18.14"/>
    <col collapsed="false" customWidth="true" hidden="false" outlineLevel="0" max="3" min="3" style="0" width="14.71"/>
    <col collapsed="false" customWidth="true" hidden="false" outlineLevel="0" max="4" min="4" style="0" width="10.14"/>
    <col collapsed="false" customWidth="true" hidden="false" outlineLevel="0" max="5" min="5" style="0" width="13.29"/>
    <col collapsed="false" customWidth="true" hidden="false" outlineLevel="0" max="6" min="6" style="0" width="10.57"/>
    <col collapsed="false" customWidth="true" hidden="false" outlineLevel="0" max="7" min="7" style="0" width="4.57"/>
    <col collapsed="false" customWidth="true" hidden="false" outlineLevel="0" max="9" min="8" style="0" width="15.71"/>
    <col collapsed="false" customWidth="true" hidden="false" outlineLevel="0" max="12" min="12" style="0" width="10"/>
    <col collapsed="false" customWidth="true" hidden="false" outlineLevel="0" max="13" min="13" style="0" width="11.29"/>
    <col collapsed="false" customWidth="true" hidden="false" outlineLevel="0" max="14" min="14" style="0" width="9.86"/>
    <col collapsed="false" customWidth="true" hidden="false" outlineLevel="0" max="15" min="15" style="0" width="10.57"/>
    <col collapsed="false" customWidth="true" hidden="false" outlineLevel="0" max="17" min="17" style="0" width="4.29"/>
    <col collapsed="false" customWidth="true" hidden="false" outlineLevel="0" max="18" min="18" style="0" width="11.57"/>
    <col collapsed="false" customWidth="true" hidden="false" outlineLevel="0" max="19" min="19" style="0" width="11"/>
    <col collapsed="false" customWidth="true" hidden="false" outlineLevel="0" max="21" min="21" style="0" width="18.14"/>
    <col collapsed="false" customWidth="true" hidden="false" outlineLevel="1" max="22" min="22" style="0" width="9.14"/>
    <col collapsed="false" customWidth="true" hidden="false" outlineLevel="1" max="23" min="23" style="0" width="14.71"/>
    <col collapsed="false" customWidth="true" hidden="false" outlineLevel="1" max="24" min="24" style="0" width="10.14"/>
    <col collapsed="false" customWidth="true" hidden="false" outlineLevel="1" max="25" min="25" style="0" width="13.29"/>
    <col collapsed="false" customWidth="true" hidden="false" outlineLevel="1" max="26" min="26" style="0" width="13.86"/>
    <col collapsed="false" customWidth="true" hidden="false" outlineLevel="1" max="27" min="27" style="0" width="4.57"/>
    <col collapsed="false" customWidth="true" hidden="false" outlineLevel="1" max="29" min="28" style="0" width="15.71"/>
  </cols>
  <sheetData>
    <row r="1" customFormat="false" ht="15" hidden="false" customHeight="false" outlineLevel="0" collapsed="false">
      <c r="A1" s="29" t="s">
        <v>352</v>
      </c>
      <c r="K1" s="29" t="s">
        <v>353</v>
      </c>
      <c r="U1" s="29" t="s">
        <v>354</v>
      </c>
    </row>
    <row r="3" customFormat="false" ht="15" hidden="false" customHeight="false" outlineLevel="0" collapsed="false">
      <c r="A3" s="0" t="s">
        <v>332</v>
      </c>
      <c r="E3" s="20" t="n">
        <v>50000</v>
      </c>
      <c r="K3" s="0" t="s">
        <v>332</v>
      </c>
      <c r="O3" s="20" t="n">
        <v>50000</v>
      </c>
      <c r="U3" s="0" t="s">
        <v>332</v>
      </c>
      <c r="Y3" s="20" t="n">
        <v>50000</v>
      </c>
    </row>
    <row r="4" customFormat="false" ht="15" hidden="false" customHeight="false" outlineLevel="0" collapsed="false">
      <c r="A4" s="0" t="s">
        <v>334</v>
      </c>
      <c r="E4" s="51" t="n">
        <v>12</v>
      </c>
      <c r="F4" s="0" t="s">
        <v>355</v>
      </c>
      <c r="K4" s="0" t="s">
        <v>341</v>
      </c>
      <c r="O4" s="51" t="n">
        <v>1</v>
      </c>
      <c r="U4" s="0" t="s">
        <v>334</v>
      </c>
      <c r="Y4" s="51" t="n">
        <v>12</v>
      </c>
      <c r="Z4" s="0" t="s">
        <v>355</v>
      </c>
    </row>
    <row r="5" customFormat="false" ht="15" hidden="false" customHeight="false" outlineLevel="0" collapsed="false">
      <c r="A5" s="0" t="s">
        <v>324</v>
      </c>
      <c r="E5" s="18" t="n">
        <v>0.05</v>
      </c>
      <c r="K5" s="0" t="s">
        <v>324</v>
      </c>
      <c r="O5" s="128" t="n">
        <v>0.05</v>
      </c>
      <c r="U5" s="0" t="s">
        <v>324</v>
      </c>
      <c r="Y5" s="18" t="n">
        <v>0.05</v>
      </c>
    </row>
    <row r="6" customFormat="false" ht="15" hidden="false" customHeight="false" outlineLevel="0" collapsed="false">
      <c r="A6" s="0" t="s">
        <v>325</v>
      </c>
      <c r="E6" s="42" t="n">
        <f aca="false">E5/12</f>
        <v>0.00416666666666667</v>
      </c>
      <c r="K6" s="0" t="s">
        <v>325</v>
      </c>
      <c r="O6" s="42" t="n">
        <f aca="false">O5/12</f>
        <v>0.00416666666666667</v>
      </c>
      <c r="U6" s="0" t="s">
        <v>325</v>
      </c>
      <c r="Y6" s="42" t="n">
        <f aca="false">Y5/12</f>
        <v>0.00416666666666667</v>
      </c>
    </row>
    <row r="7" customFormat="false" ht="15" hidden="false" customHeight="false" outlineLevel="0" collapsed="false">
      <c r="A7" s="0" t="s">
        <v>337</v>
      </c>
      <c r="E7" s="42" t="n">
        <f aca="false">(1+E5/12)^12-1</f>
        <v>0.0511618978817334</v>
      </c>
      <c r="K7" s="0" t="s">
        <v>342</v>
      </c>
      <c r="O7" s="42" t="n">
        <f aca="false">(1+O5/12)^12-1</f>
        <v>0.0511618978817334</v>
      </c>
      <c r="U7" s="0" t="s">
        <v>337</v>
      </c>
      <c r="Y7" s="42" t="n">
        <f aca="false">(1+Y5/12)^12-1</f>
        <v>0.0511618978817334</v>
      </c>
    </row>
    <row r="8" customFormat="false" ht="15" hidden="false" customHeight="false" outlineLevel="0" collapsed="false">
      <c r="A8" s="0" t="s">
        <v>39</v>
      </c>
      <c r="E8" s="22" t="n">
        <f aca="false">-PMT(E5/12,E4,E3)</f>
        <v>4280.37408942336</v>
      </c>
      <c r="K8" s="0" t="s">
        <v>39</v>
      </c>
      <c r="O8" s="22" t="n">
        <f aca="false">-PMT(O7,O4,O3)</f>
        <v>52558.0948940867</v>
      </c>
      <c r="U8" s="0" t="s">
        <v>39</v>
      </c>
      <c r="Y8" s="22" t="n">
        <f aca="false">-PMT(Y5/12,Y4,Y3)</f>
        <v>4280.37408942336</v>
      </c>
    </row>
    <row r="9" customFormat="false" ht="26.25" hidden="false" customHeight="true" outlineLevel="0" collapsed="false">
      <c r="D9" s="0" t="n">
        <f aca="false">E3*E9</f>
        <v>4280.37408942334</v>
      </c>
      <c r="E9" s="123" t="n">
        <f aca="false">((E6*(1+E6)^E4)/((1+E6)^E4-1))</f>
        <v>0.0856074817884667</v>
      </c>
      <c r="X9" s="0" t="n">
        <f aca="false">Y3*Y9</f>
        <v>4280.37408942334</v>
      </c>
      <c r="Y9" s="123" t="n">
        <f aca="false">((Y6*(1+Y6)^Y4)/((1+Y6)^Y4-1))</f>
        <v>0.0856074817884667</v>
      </c>
    </row>
    <row r="10" customFormat="false" ht="45" hidden="false" customHeight="false" outlineLevel="0" collapsed="false">
      <c r="B10" s="5" t="s">
        <v>22</v>
      </c>
      <c r="C10" s="3" t="s">
        <v>38</v>
      </c>
      <c r="D10" s="3" t="s">
        <v>24</v>
      </c>
      <c r="E10" s="3" t="s">
        <v>25</v>
      </c>
      <c r="F10" s="3" t="s">
        <v>26</v>
      </c>
      <c r="G10" s="5"/>
      <c r="H10" s="3" t="s">
        <v>27</v>
      </c>
      <c r="I10" s="3" t="s">
        <v>28</v>
      </c>
      <c r="L10" s="5" t="s">
        <v>22</v>
      </c>
      <c r="M10" s="3" t="s">
        <v>38</v>
      </c>
      <c r="N10" s="3" t="s">
        <v>24</v>
      </c>
      <c r="O10" s="3" t="s">
        <v>25</v>
      </c>
      <c r="P10" s="3" t="s">
        <v>26</v>
      </c>
      <c r="Q10" s="5"/>
      <c r="R10" s="3" t="s">
        <v>27</v>
      </c>
      <c r="S10" s="3" t="s">
        <v>28</v>
      </c>
      <c r="V10" s="5" t="s">
        <v>22</v>
      </c>
      <c r="W10" s="3" t="s">
        <v>38</v>
      </c>
      <c r="X10" s="3" t="s">
        <v>356</v>
      </c>
      <c r="Y10" s="3" t="s">
        <v>25</v>
      </c>
      <c r="Z10" s="3" t="s">
        <v>26</v>
      </c>
      <c r="AA10" s="5"/>
      <c r="AB10" s="3" t="s">
        <v>27</v>
      </c>
      <c r="AC10" s="3" t="s">
        <v>28</v>
      </c>
    </row>
    <row r="11" customFormat="false" ht="15" hidden="false" customHeight="false" outlineLevel="0" collapsed="false">
      <c r="B11" s="125" t="n">
        <v>44197</v>
      </c>
      <c r="C11" s="21" t="n">
        <f aca="false">E3</f>
        <v>50000</v>
      </c>
      <c r="D11" s="24" t="n">
        <f aca="false">C11*E$6</f>
        <v>208.333333333333</v>
      </c>
      <c r="E11" s="25" t="n">
        <f aca="false">E$8-D11</f>
        <v>4072.04075609002</v>
      </c>
      <c r="F11" s="24" t="n">
        <f aca="false">C11-E11</f>
        <v>45927.95924391</v>
      </c>
      <c r="H11" s="25" t="n">
        <f aca="false">E11</f>
        <v>4072.04075609002</v>
      </c>
      <c r="I11" s="24" t="n">
        <f aca="false">D11</f>
        <v>208.333333333333</v>
      </c>
      <c r="L11" s="129" t="n">
        <v>2021</v>
      </c>
      <c r="M11" s="21" t="n">
        <f aca="false">E3</f>
        <v>50000</v>
      </c>
      <c r="N11" s="24" t="n">
        <f aca="false">M11*O$7</f>
        <v>2558.09489408667</v>
      </c>
      <c r="O11" s="25" t="n">
        <f aca="false">O$8-N11</f>
        <v>50000</v>
      </c>
      <c r="P11" s="24" t="n">
        <f aca="false">M11-O11</f>
        <v>0</v>
      </c>
      <c r="R11" s="130" t="n">
        <f aca="false">O11</f>
        <v>50000</v>
      </c>
      <c r="S11" s="131" t="n">
        <f aca="false">N11</f>
        <v>2558.09489408667</v>
      </c>
      <c r="V11" s="125" t="n">
        <v>44197</v>
      </c>
      <c r="W11" s="21" t="n">
        <f aca="false">Y3</f>
        <v>50000</v>
      </c>
      <c r="X11" s="24" t="n">
        <f aca="false">W11*Y$6</f>
        <v>208.333333333333</v>
      </c>
      <c r="Y11" s="25"/>
      <c r="Z11" s="24" t="n">
        <f aca="false">W11+X11-Y11</f>
        <v>50208.3333333333</v>
      </c>
      <c r="AB11" s="25" t="n">
        <f aca="false">Y11</f>
        <v>0</v>
      </c>
      <c r="AC11" s="24" t="n">
        <f aca="false">X11</f>
        <v>208.333333333333</v>
      </c>
    </row>
    <row r="12" customFormat="false" ht="15" hidden="false" customHeight="false" outlineLevel="0" collapsed="false">
      <c r="B12" s="125" t="n">
        <v>44228</v>
      </c>
      <c r="C12" s="21" t="n">
        <f aca="false">F11</f>
        <v>45927.95924391</v>
      </c>
      <c r="D12" s="24" t="n">
        <f aca="false">C12*E$6</f>
        <v>191.366496849625</v>
      </c>
      <c r="E12" s="25" t="n">
        <f aca="false">E$8-D12</f>
        <v>4089.00759257373</v>
      </c>
      <c r="F12" s="24" t="n">
        <f aca="false">C12-E12</f>
        <v>41838.9516513363</v>
      </c>
      <c r="H12" s="25" t="n">
        <f aca="false">H11+E12</f>
        <v>8161.04834866375</v>
      </c>
      <c r="I12" s="24" t="n">
        <f aca="false">I11+D12</f>
        <v>399.699830182958</v>
      </c>
      <c r="L12" s="129"/>
      <c r="M12" s="129"/>
      <c r="N12" s="129"/>
      <c r="O12" s="129"/>
      <c r="P12" s="129"/>
      <c r="Q12" s="129"/>
      <c r="R12" s="129"/>
      <c r="S12" s="129"/>
      <c r="V12" s="125" t="n">
        <v>44228</v>
      </c>
      <c r="W12" s="21" t="n">
        <f aca="false">Z11</f>
        <v>50208.3333333333</v>
      </c>
      <c r="X12" s="24" t="n">
        <f aca="false">W12*Y$6</f>
        <v>209.201388888889</v>
      </c>
      <c r="Y12" s="25"/>
      <c r="Z12" s="24" t="n">
        <f aca="false">W12+X12-Y12</f>
        <v>50417.5347222222</v>
      </c>
      <c r="AB12" s="25" t="n">
        <f aca="false">AB11+Y12</f>
        <v>0</v>
      </c>
      <c r="AC12" s="24" t="n">
        <f aca="false">AC11+X12</f>
        <v>417.534722222222</v>
      </c>
    </row>
    <row r="13" customFormat="false" ht="15" hidden="false" customHeight="false" outlineLevel="0" collapsed="false">
      <c r="B13" s="125" t="n">
        <v>44256</v>
      </c>
      <c r="C13" s="21" t="n">
        <f aca="false">F12</f>
        <v>41838.9516513363</v>
      </c>
      <c r="D13" s="24" t="n">
        <f aca="false">C13*E$6</f>
        <v>174.328965213901</v>
      </c>
      <c r="E13" s="25" t="n">
        <f aca="false">E$8-D13</f>
        <v>4106.04512420946</v>
      </c>
      <c r="F13" s="24" t="n">
        <f aca="false">C13-E13</f>
        <v>37732.9065271268</v>
      </c>
      <c r="H13" s="25" t="n">
        <f aca="false">H12+E13</f>
        <v>12267.0934728732</v>
      </c>
      <c r="I13" s="24" t="n">
        <f aca="false">I12+D13</f>
        <v>574.028795396859</v>
      </c>
      <c r="K13" s="140" t="s">
        <v>357</v>
      </c>
      <c r="L13" s="129"/>
      <c r="M13" s="129"/>
      <c r="N13" s="129"/>
      <c r="O13" s="129"/>
      <c r="P13" s="129"/>
      <c r="Q13" s="129"/>
      <c r="R13" s="129"/>
      <c r="S13" s="129"/>
      <c r="V13" s="125" t="n">
        <v>44256</v>
      </c>
      <c r="W13" s="21" t="n">
        <f aca="false">Z12</f>
        <v>50417.5347222222</v>
      </c>
      <c r="X13" s="24" t="n">
        <f aca="false">W13*Y$6</f>
        <v>210.073061342593</v>
      </c>
      <c r="Y13" s="25"/>
      <c r="Z13" s="24" t="n">
        <f aca="false">W13+X13-Y13</f>
        <v>50627.6077835648</v>
      </c>
      <c r="AB13" s="25" t="n">
        <f aca="false">AB12+Y13</f>
        <v>0</v>
      </c>
      <c r="AC13" s="24" t="n">
        <f aca="false">AC12+X13</f>
        <v>627.607783564815</v>
      </c>
    </row>
    <row r="14" customFormat="false" ht="15" hidden="false" customHeight="false" outlineLevel="0" collapsed="false">
      <c r="B14" s="125" t="n">
        <v>44287</v>
      </c>
      <c r="C14" s="21" t="n">
        <f aca="false">F13</f>
        <v>37732.9065271268</v>
      </c>
      <c r="D14" s="24" t="n">
        <f aca="false">C14*E$6</f>
        <v>157.220443863028</v>
      </c>
      <c r="E14" s="25" t="n">
        <f aca="false">E$8-D14</f>
        <v>4123.15364556033</v>
      </c>
      <c r="F14" s="24" t="n">
        <f aca="false">C14-E14</f>
        <v>33609.7528815665</v>
      </c>
      <c r="H14" s="25" t="n">
        <f aca="false">H13+E14</f>
        <v>16390.2471184335</v>
      </c>
      <c r="I14" s="24" t="n">
        <f aca="false">I13+D14</f>
        <v>731.249239259888</v>
      </c>
      <c r="K14" s="140" t="s">
        <v>358</v>
      </c>
      <c r="L14" s="129"/>
      <c r="M14" s="129"/>
      <c r="N14" s="129"/>
      <c r="O14" s="129"/>
      <c r="P14" s="129"/>
      <c r="Q14" s="129"/>
      <c r="R14" s="129"/>
      <c r="S14" s="129"/>
      <c r="V14" s="125" t="n">
        <v>44287</v>
      </c>
      <c r="W14" s="21" t="n">
        <f aca="false">Z13</f>
        <v>50627.6077835648</v>
      </c>
      <c r="X14" s="24" t="n">
        <f aca="false">W14*Y$6</f>
        <v>210.948365764853</v>
      </c>
      <c r="Y14" s="25"/>
      <c r="Z14" s="24" t="n">
        <f aca="false">W14+X14-Y14</f>
        <v>50838.5561493297</v>
      </c>
      <c r="AB14" s="25" t="n">
        <f aca="false">AB13+Y14</f>
        <v>0</v>
      </c>
      <c r="AC14" s="24" t="n">
        <f aca="false">AC13+X14</f>
        <v>838.556149329668</v>
      </c>
    </row>
    <row r="15" customFormat="false" ht="15" hidden="false" customHeight="false" outlineLevel="0" collapsed="false">
      <c r="B15" s="125" t="n">
        <v>44317</v>
      </c>
      <c r="C15" s="21" t="n">
        <f aca="false">F14</f>
        <v>33609.7528815665</v>
      </c>
      <c r="D15" s="24" t="n">
        <f aca="false">C15*E$6</f>
        <v>140.040637006527</v>
      </c>
      <c r="E15" s="25" t="n">
        <f aca="false">E$8-D15</f>
        <v>4140.33345241683</v>
      </c>
      <c r="F15" s="24" t="n">
        <f aca="false">C15-E15</f>
        <v>29469.4194291496</v>
      </c>
      <c r="H15" s="25" t="n">
        <f aca="false">H14+E15</f>
        <v>20530.5805708504</v>
      </c>
      <c r="I15" s="24" t="n">
        <f aca="false">I14+D15</f>
        <v>871.289876266415</v>
      </c>
      <c r="L15" s="129"/>
      <c r="M15" s="129"/>
      <c r="N15" s="129"/>
      <c r="O15" s="129"/>
      <c r="P15" s="129"/>
      <c r="Q15" s="129"/>
      <c r="R15" s="129"/>
      <c r="S15" s="129"/>
      <c r="V15" s="125" t="n">
        <v>44317</v>
      </c>
      <c r="W15" s="21" t="n">
        <f aca="false">Z14</f>
        <v>50838.5561493297</v>
      </c>
      <c r="X15" s="24" t="n">
        <f aca="false">W15*Y$6</f>
        <v>211.827317288874</v>
      </c>
      <c r="Y15" s="25"/>
      <c r="Z15" s="24" t="n">
        <f aca="false">W15+X15-Y15</f>
        <v>51050.3834666185</v>
      </c>
      <c r="AB15" s="25" t="n">
        <f aca="false">AB14+Y15</f>
        <v>0</v>
      </c>
      <c r="AC15" s="24" t="n">
        <f aca="false">AC14+X15</f>
        <v>1050.38346661854</v>
      </c>
    </row>
    <row r="16" customFormat="false" ht="15" hidden="false" customHeight="false" outlineLevel="0" collapsed="false">
      <c r="B16" s="125" t="n">
        <v>44348</v>
      </c>
      <c r="C16" s="21" t="n">
        <f aca="false">F15</f>
        <v>29469.4194291496</v>
      </c>
      <c r="D16" s="24" t="n">
        <f aca="false">C16*E$6</f>
        <v>122.789247621457</v>
      </c>
      <c r="E16" s="25" t="n">
        <f aca="false">E$8-D16</f>
        <v>4157.5848418019</v>
      </c>
      <c r="F16" s="24" t="n">
        <f aca="false">C16-E16</f>
        <v>25311.8345873477</v>
      </c>
      <c r="H16" s="25" t="n">
        <f aca="false">H15+E16</f>
        <v>24688.1654126523</v>
      </c>
      <c r="I16" s="24" t="n">
        <f aca="false">I15+D16</f>
        <v>994.079123887871</v>
      </c>
      <c r="L16" s="129"/>
      <c r="M16" s="129"/>
      <c r="N16" s="129"/>
      <c r="O16" s="129"/>
      <c r="P16" s="129"/>
      <c r="Q16" s="129"/>
      <c r="R16" s="129"/>
      <c r="S16" s="129"/>
      <c r="V16" s="125" t="n">
        <v>44348</v>
      </c>
      <c r="W16" s="21" t="n">
        <f aca="false">Z15</f>
        <v>51050.3834666185</v>
      </c>
      <c r="X16" s="24" t="n">
        <f aca="false">W16*Y$6</f>
        <v>212.709931110911</v>
      </c>
      <c r="Y16" s="25"/>
      <c r="Z16" s="24" t="n">
        <f aca="false">W16+X16-Y16</f>
        <v>51263.0933977295</v>
      </c>
      <c r="AB16" s="25" t="n">
        <f aca="false">AB15+Y16</f>
        <v>0</v>
      </c>
      <c r="AC16" s="24" t="n">
        <f aca="false">AC15+X16</f>
        <v>1263.09339772945</v>
      </c>
    </row>
    <row r="17" customFormat="false" ht="15" hidden="false" customHeight="false" outlineLevel="0" collapsed="false">
      <c r="B17" s="125" t="n">
        <v>44378</v>
      </c>
      <c r="C17" s="21" t="n">
        <f aca="false">F16</f>
        <v>25311.8345873477</v>
      </c>
      <c r="D17" s="24" t="n">
        <f aca="false">C17*E$6</f>
        <v>105.465977447282</v>
      </c>
      <c r="E17" s="25" t="n">
        <f aca="false">E$8-D17</f>
        <v>4174.90811197607</v>
      </c>
      <c r="F17" s="24" t="n">
        <f aca="false">C17-E17</f>
        <v>21136.9264753717</v>
      </c>
      <c r="H17" s="25" t="n">
        <f aca="false">H16+E17</f>
        <v>28863.0735246283</v>
      </c>
      <c r="I17" s="24" t="n">
        <f aca="false">I16+D17</f>
        <v>1099.54510133515</v>
      </c>
      <c r="L17" s="129"/>
      <c r="M17" s="129"/>
      <c r="N17" s="129"/>
      <c r="O17" s="129"/>
      <c r="P17" s="129"/>
      <c r="Q17" s="129"/>
      <c r="R17" s="129"/>
      <c r="S17" s="129"/>
      <c r="V17" s="125" t="n">
        <v>44378</v>
      </c>
      <c r="W17" s="21" t="n">
        <f aca="false">Z16</f>
        <v>51263.0933977295</v>
      </c>
      <c r="X17" s="24" t="n">
        <f aca="false">W17*Y$6</f>
        <v>213.596222490539</v>
      </c>
      <c r="Y17" s="25"/>
      <c r="Z17" s="24" t="n">
        <f aca="false">W17+X17-Y17</f>
        <v>51476.68962022</v>
      </c>
      <c r="AB17" s="25" t="n">
        <f aca="false">AB16+Y17</f>
        <v>0</v>
      </c>
      <c r="AC17" s="24" t="n">
        <f aca="false">AC16+X17</f>
        <v>1476.68962021999</v>
      </c>
    </row>
    <row r="18" customFormat="false" ht="15" hidden="false" customHeight="false" outlineLevel="0" collapsed="false">
      <c r="B18" s="125" t="n">
        <v>44409</v>
      </c>
      <c r="C18" s="21" t="n">
        <f aca="false">F17</f>
        <v>21136.9264753717</v>
      </c>
      <c r="D18" s="24" t="n">
        <f aca="false">C18*E$6</f>
        <v>88.0705269807152</v>
      </c>
      <c r="E18" s="25" t="n">
        <f aca="false">E$8-D18</f>
        <v>4192.30356244264</v>
      </c>
      <c r="F18" s="24" t="n">
        <f aca="false">C18-E18</f>
        <v>16944.622912929</v>
      </c>
      <c r="H18" s="25" t="n">
        <f aca="false">H17+E18</f>
        <v>33055.377087071</v>
      </c>
      <c r="I18" s="24" t="n">
        <f aca="false">I17+D18</f>
        <v>1187.61562831587</v>
      </c>
      <c r="L18" s="129"/>
      <c r="M18" s="129"/>
      <c r="N18" s="129"/>
      <c r="O18" s="129"/>
      <c r="P18" s="129"/>
      <c r="Q18" s="129"/>
      <c r="R18" s="129"/>
      <c r="S18" s="129"/>
      <c r="V18" s="125" t="n">
        <v>44409</v>
      </c>
      <c r="W18" s="21" t="n">
        <f aca="false">Z17</f>
        <v>51476.68962022</v>
      </c>
      <c r="X18" s="24" t="n">
        <f aca="false">W18*Y$6</f>
        <v>214.486206750917</v>
      </c>
      <c r="Y18" s="25"/>
      <c r="Z18" s="24" t="n">
        <f aca="false">W18+X18-Y18</f>
        <v>51691.1758269709</v>
      </c>
      <c r="AB18" s="25" t="n">
        <f aca="false">AB17+Y18</f>
        <v>0</v>
      </c>
      <c r="AC18" s="24" t="n">
        <f aca="false">AC17+X18</f>
        <v>1691.17582697091</v>
      </c>
    </row>
    <row r="19" customFormat="false" ht="15" hidden="false" customHeight="false" outlineLevel="0" collapsed="false">
      <c r="B19" s="125" t="n">
        <v>44440</v>
      </c>
      <c r="C19" s="21" t="n">
        <f aca="false">F18</f>
        <v>16944.622912929</v>
      </c>
      <c r="D19" s="24" t="n">
        <f aca="false">C19*E$6</f>
        <v>70.6025954705376</v>
      </c>
      <c r="E19" s="25" t="n">
        <f aca="false">E$8-D19</f>
        <v>4209.77149395282</v>
      </c>
      <c r="F19" s="24" t="n">
        <f aca="false">C19-E19</f>
        <v>12734.8514189762</v>
      </c>
      <c r="H19" s="25" t="n">
        <f aca="false">H18+E19</f>
        <v>37265.1485810238</v>
      </c>
      <c r="I19" s="24" t="n">
        <f aca="false">I18+D19</f>
        <v>1258.21822378641</v>
      </c>
      <c r="L19" s="129"/>
      <c r="M19" s="129"/>
      <c r="N19" s="129"/>
      <c r="O19" s="129"/>
      <c r="P19" s="129"/>
      <c r="Q19" s="129"/>
      <c r="R19" s="129"/>
      <c r="S19" s="129"/>
      <c r="V19" s="125" t="n">
        <v>44440</v>
      </c>
      <c r="W19" s="21" t="n">
        <f aca="false">Z18</f>
        <v>51691.1758269709</v>
      </c>
      <c r="X19" s="24" t="n">
        <f aca="false">W19*Y$6</f>
        <v>215.379899279045</v>
      </c>
      <c r="Y19" s="25"/>
      <c r="Z19" s="24" t="n">
        <f aca="false">W19+X19-Y19</f>
        <v>51906.55572625</v>
      </c>
      <c r="AB19" s="25" t="n">
        <f aca="false">AB18+Y19</f>
        <v>0</v>
      </c>
      <c r="AC19" s="24" t="n">
        <f aca="false">AC18+X19</f>
        <v>1906.55572624995</v>
      </c>
    </row>
    <row r="20" customFormat="false" ht="15" hidden="false" customHeight="false" outlineLevel="0" collapsed="false">
      <c r="B20" s="125" t="n">
        <v>44470</v>
      </c>
      <c r="C20" s="21" t="n">
        <f aca="false">F19</f>
        <v>12734.8514189762</v>
      </c>
      <c r="D20" s="24" t="n">
        <f aca="false">C20*E$6</f>
        <v>53.0618809124008</v>
      </c>
      <c r="E20" s="25" t="n">
        <f aca="false">E$8-D20</f>
        <v>4227.31220851096</v>
      </c>
      <c r="F20" s="24" t="n">
        <f aca="false">C20-E20</f>
        <v>8507.53921046524</v>
      </c>
      <c r="H20" s="25" t="n">
        <f aca="false">H19+E20</f>
        <v>41492.4607895348</v>
      </c>
      <c r="I20" s="24" t="n">
        <f aca="false">I19+D20</f>
        <v>1311.28010469881</v>
      </c>
      <c r="L20" s="129"/>
      <c r="M20" s="129"/>
      <c r="N20" s="129"/>
      <c r="O20" s="129"/>
      <c r="P20" s="129"/>
      <c r="Q20" s="129"/>
      <c r="R20" s="129"/>
      <c r="S20" s="129"/>
      <c r="V20" s="125" t="n">
        <v>44470</v>
      </c>
      <c r="W20" s="21" t="n">
        <f aca="false">Z19</f>
        <v>51906.55572625</v>
      </c>
      <c r="X20" s="24" t="n">
        <f aca="false">W20*Y$6</f>
        <v>216.277315526042</v>
      </c>
      <c r="Y20" s="25"/>
      <c r="Z20" s="24" t="n">
        <f aca="false">W20+X20-Y20</f>
        <v>52122.833041776</v>
      </c>
      <c r="AB20" s="25" t="n">
        <f aca="false">AB19+Y20</f>
        <v>0</v>
      </c>
      <c r="AC20" s="24" t="n">
        <f aca="false">AC19+X20</f>
        <v>2122.833041776</v>
      </c>
    </row>
    <row r="21" customFormat="false" ht="15" hidden="false" customHeight="false" outlineLevel="0" collapsed="false">
      <c r="B21" s="125" t="n">
        <v>44501</v>
      </c>
      <c r="C21" s="21" t="n">
        <f aca="false">F20</f>
        <v>8507.53921046524</v>
      </c>
      <c r="D21" s="24" t="n">
        <f aca="false">C21*E$6</f>
        <v>35.4480800436052</v>
      </c>
      <c r="E21" s="25" t="n">
        <f aca="false">E$8-D21</f>
        <v>4244.92600937975</v>
      </c>
      <c r="F21" s="24" t="n">
        <f aca="false">C21-E21</f>
        <v>4262.61320108549</v>
      </c>
      <c r="H21" s="25" t="n">
        <f aca="false">H20+E21</f>
        <v>45737.3867989145</v>
      </c>
      <c r="I21" s="24" t="n">
        <f aca="false">I20+D21</f>
        <v>1346.72818474241</v>
      </c>
      <c r="L21" s="129"/>
      <c r="M21" s="129"/>
      <c r="N21" s="129"/>
      <c r="O21" s="129"/>
      <c r="P21" s="129"/>
      <c r="Q21" s="129"/>
      <c r="R21" s="129"/>
      <c r="S21" s="129"/>
      <c r="V21" s="125" t="n">
        <v>44501</v>
      </c>
      <c r="W21" s="21" t="n">
        <f aca="false">Z20</f>
        <v>52122.833041776</v>
      </c>
      <c r="X21" s="24" t="n">
        <f aca="false">W21*Y$6</f>
        <v>217.1784710074</v>
      </c>
      <c r="Y21" s="25"/>
      <c r="Z21" s="24" t="n">
        <f aca="false">W21+X21-Y21</f>
        <v>52340.0115127834</v>
      </c>
      <c r="AB21" s="25" t="n">
        <f aca="false">AB20+Y21</f>
        <v>0</v>
      </c>
      <c r="AC21" s="24" t="n">
        <f aca="false">AC20+X21</f>
        <v>2340.0115127834</v>
      </c>
    </row>
    <row r="22" customFormat="false" ht="15" hidden="false" customHeight="false" outlineLevel="0" collapsed="false">
      <c r="B22" s="125" t="n">
        <v>44531</v>
      </c>
      <c r="C22" s="21" t="n">
        <f aca="false">F21</f>
        <v>4262.61320108549</v>
      </c>
      <c r="D22" s="24" t="n">
        <f aca="false">C22*E$6</f>
        <v>17.7608883378562</v>
      </c>
      <c r="E22" s="25" t="n">
        <f aca="false">E$8-D22</f>
        <v>4262.6132010855</v>
      </c>
      <c r="F22" s="24" t="n">
        <f aca="false">C22-E22</f>
        <v>0</v>
      </c>
      <c r="H22" s="130" t="n">
        <f aca="false">H21+E22</f>
        <v>50000</v>
      </c>
      <c r="I22" s="131" t="n">
        <f aca="false">I21+D22</f>
        <v>1364.48907308027</v>
      </c>
      <c r="L22" s="129"/>
      <c r="M22" s="129"/>
      <c r="N22" s="129"/>
      <c r="O22" s="129"/>
      <c r="P22" s="129"/>
      <c r="Q22" s="129"/>
      <c r="R22" s="129"/>
      <c r="S22" s="129"/>
      <c r="V22" s="125" t="n">
        <v>44531</v>
      </c>
      <c r="W22" s="21" t="n">
        <f aca="false">Z21</f>
        <v>52340.0115127834</v>
      </c>
      <c r="X22" s="24" t="n">
        <f aca="false">W22*Y$6</f>
        <v>218.083381303264</v>
      </c>
      <c r="Y22" s="25" t="n">
        <f aca="false">O$8</f>
        <v>52558.0948940867</v>
      </c>
      <c r="Z22" s="24" t="n">
        <f aca="false">W22+X22-Y22</f>
        <v>0</v>
      </c>
      <c r="AB22" s="130" t="n">
        <f aca="false">AB21+Y22</f>
        <v>52558.0948940867</v>
      </c>
      <c r="AC22" s="131" t="n">
        <f aca="false">AC21+X22</f>
        <v>2558.09489408666</v>
      </c>
    </row>
    <row r="24" customFormat="false" ht="15" hidden="false" customHeight="false" outlineLevel="0" collapsed="false">
      <c r="B24" s="140" t="s">
        <v>359</v>
      </c>
      <c r="L24" s="129"/>
      <c r="M24" s="129"/>
      <c r="N24" s="129"/>
      <c r="O24" s="129"/>
      <c r="P24" s="129"/>
      <c r="Q24" s="129"/>
      <c r="R24" s="129"/>
      <c r="S24" s="129"/>
      <c r="V24" s="140" t="s">
        <v>360</v>
      </c>
    </row>
    <row r="25" customFormat="false" ht="15" hidden="false" customHeight="false" outlineLevel="0" collapsed="false">
      <c r="L25" s="129"/>
      <c r="M25" s="129"/>
      <c r="N25" s="129"/>
      <c r="O25" s="129"/>
      <c r="P25" s="129"/>
      <c r="Q25" s="129"/>
      <c r="R25" s="129"/>
      <c r="S25" s="129"/>
      <c r="V25" s="140" t="s">
        <v>361</v>
      </c>
    </row>
    <row r="30" customFormat="false" ht="15" hidden="false" customHeight="false" outlineLevel="0" collapsed="false">
      <c r="B30" s="141" t="n">
        <v>0</v>
      </c>
      <c r="C30" s="0" t="n">
        <v>100</v>
      </c>
      <c r="D30" s="0" t="n">
        <f aca="false">C30</f>
        <v>100</v>
      </c>
      <c r="L30" s="129"/>
    </row>
    <row r="31" customFormat="false" ht="15" hidden="false" customHeight="false" outlineLevel="0" collapsed="false">
      <c r="A31" s="55" t="n">
        <v>0.01</v>
      </c>
      <c r="B31" s="0" t="n">
        <v>1</v>
      </c>
      <c r="C31" s="1" t="n">
        <f aca="false">C30+C30*$A$31</f>
        <v>101</v>
      </c>
    </row>
    <row r="32" customFormat="false" ht="15" hidden="false" customHeight="false" outlineLevel="0" collapsed="false">
      <c r="A32" s="16" t="n">
        <f aca="false">A31*12</f>
        <v>0.12</v>
      </c>
      <c r="B32" s="0" t="n">
        <v>2</v>
      </c>
      <c r="C32" s="1" t="n">
        <f aca="false">C31+C31*$A$31</f>
        <v>102.01</v>
      </c>
    </row>
    <row r="33" customFormat="false" ht="15" hidden="false" customHeight="false" outlineLevel="0" collapsed="false">
      <c r="A33" s="42" t="n">
        <f aca="false">(1+A31)^12-1</f>
        <v>0.12682503013197</v>
      </c>
      <c r="B33" s="0" t="n">
        <v>3</v>
      </c>
      <c r="C33" s="1" t="n">
        <f aca="false">C32+C32*$A$31</f>
        <v>103.0301</v>
      </c>
    </row>
    <row r="34" customFormat="false" ht="15" hidden="false" customHeight="false" outlineLevel="0" collapsed="false">
      <c r="B34" s="0" t="n">
        <v>4</v>
      </c>
      <c r="C34" s="1" t="n">
        <f aca="false">C33+C33*$A$31</f>
        <v>104.060401</v>
      </c>
    </row>
    <row r="35" customFormat="false" ht="15" hidden="false" customHeight="false" outlineLevel="0" collapsed="false">
      <c r="B35" s="0" t="n">
        <v>5</v>
      </c>
      <c r="C35" s="1" t="n">
        <f aca="false">C34+C34*$A$31</f>
        <v>105.10100501</v>
      </c>
    </row>
    <row r="36" customFormat="false" ht="15" hidden="false" customHeight="false" outlineLevel="0" collapsed="false">
      <c r="B36" s="0" t="n">
        <v>6</v>
      </c>
      <c r="C36" s="1" t="n">
        <f aca="false">C35+C35*$A$31</f>
        <v>106.1520150601</v>
      </c>
    </row>
    <row r="37" customFormat="false" ht="15" hidden="false" customHeight="false" outlineLevel="0" collapsed="false">
      <c r="B37" s="0" t="n">
        <v>7</v>
      </c>
      <c r="C37" s="1" t="n">
        <f aca="false">C36+C36*$A$31</f>
        <v>107.213535210701</v>
      </c>
    </row>
    <row r="38" customFormat="false" ht="15" hidden="false" customHeight="false" outlineLevel="0" collapsed="false">
      <c r="B38" s="0" t="n">
        <v>8</v>
      </c>
      <c r="C38" s="1" t="n">
        <f aca="false">C37+C37*$A$31</f>
        <v>108.285670562808</v>
      </c>
    </row>
    <row r="39" customFormat="false" ht="15" hidden="false" customHeight="false" outlineLevel="0" collapsed="false">
      <c r="B39" s="0" t="n">
        <v>9</v>
      </c>
      <c r="C39" s="1" t="n">
        <f aca="false">C38+C38*$A$31</f>
        <v>109.368527268436</v>
      </c>
    </row>
    <row r="40" customFormat="false" ht="15" hidden="false" customHeight="false" outlineLevel="0" collapsed="false">
      <c r="B40" s="0" t="n">
        <v>10</v>
      </c>
      <c r="C40" s="1" t="n">
        <f aca="false">C39+C39*$A$31</f>
        <v>110.46221254112</v>
      </c>
    </row>
    <row r="41" customFormat="false" ht="15" hidden="false" customHeight="false" outlineLevel="0" collapsed="false">
      <c r="B41" s="0" t="n">
        <v>11</v>
      </c>
      <c r="C41" s="1" t="n">
        <f aca="false">C40+C40*$A$31</f>
        <v>111.566834666532</v>
      </c>
    </row>
    <row r="42" customFormat="false" ht="15" hidden="false" customHeight="false" outlineLevel="0" collapsed="false">
      <c r="B42" s="0" t="n">
        <v>12</v>
      </c>
      <c r="C42" s="1" t="n">
        <f aca="false">C41+C41*$A$31</f>
        <v>112.682503013197</v>
      </c>
      <c r="D42" s="1" t="n">
        <f aca="false">D30*(1+A33)</f>
        <v>112.682503013197</v>
      </c>
      <c r="L42" s="1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U16" activeCellId="0" sqref="U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20"/>
    <col collapsed="false" customWidth="true" hidden="false" outlineLevel="0" max="3" min="3" style="0" width="12.57"/>
    <col collapsed="false" customWidth="true" hidden="false" outlineLevel="0" max="4" min="4" style="0" width="5.42"/>
    <col collapsed="false" customWidth="true" hidden="false" outlineLevel="0" max="6" min="6" style="0" width="12.71"/>
    <col collapsed="false" customWidth="true" hidden="false" outlineLevel="0" max="7" min="7" style="0" width="10.57"/>
    <col collapsed="false" customWidth="true" hidden="false" outlineLevel="0" max="8" min="8" style="0" width="12.86"/>
    <col collapsed="false" customWidth="true" hidden="false" outlineLevel="0" max="9" min="9" style="0" width="12.42"/>
    <col collapsed="false" customWidth="true" hidden="false" outlineLevel="0" max="11" min="10" style="0" width="13.86"/>
    <col collapsed="false" customWidth="true" hidden="false" outlineLevel="0" max="12" min="12" style="0" width="6.71"/>
    <col collapsed="false" customWidth="true" hidden="false" outlineLevel="0" max="15" min="13" style="0" width="9.71"/>
    <col collapsed="false" customWidth="true" hidden="false" outlineLevel="0" max="16" min="16" style="0" width="10.57"/>
    <col collapsed="false" customWidth="true" hidden="false" outlineLevel="0" max="17" min="17" style="0" width="13"/>
    <col collapsed="false" customWidth="true" hidden="false" outlineLevel="0" max="18" min="18" style="0" width="11.57"/>
    <col collapsed="false" customWidth="true" hidden="false" outlineLevel="0" max="21" min="21" style="0" width="10.42"/>
  </cols>
  <sheetData>
    <row r="1" customFormat="false" ht="35.25" hidden="false" customHeight="true" outlineLevel="0" collapsed="false">
      <c r="A1" s="142"/>
      <c r="C1" s="143"/>
      <c r="E1" s="0" t="s">
        <v>362</v>
      </c>
      <c r="H1" s="38" t="n">
        <v>0.07</v>
      </c>
      <c r="I1" s="144" t="n">
        <f aca="false">(1+(H2*12)/12)^12-1</f>
        <v>0.0722900808562359</v>
      </c>
      <c r="J1" s="26" t="n">
        <v>0.0687026033721164</v>
      </c>
    </row>
    <row r="2" customFormat="false" ht="22.5" hidden="false" customHeight="false" outlineLevel="0" collapsed="false">
      <c r="D2" s="146"/>
      <c r="E2" s="0" t="s">
        <v>363</v>
      </c>
      <c r="H2" s="144" t="n">
        <f aca="false">H1/12</f>
        <v>0.00583333333333333</v>
      </c>
    </row>
    <row r="3" customFormat="false" ht="22.5" hidden="false" customHeight="false" outlineLevel="0" collapsed="false">
      <c r="B3" s="0" t="s">
        <v>364</v>
      </c>
      <c r="C3" s="52" t="n">
        <v>25</v>
      </c>
      <c r="D3" s="146"/>
      <c r="E3" s="0" t="s">
        <v>365</v>
      </c>
      <c r="H3" s="36" t="n">
        <f aca="false">12*C3</f>
        <v>300</v>
      </c>
      <c r="I3" s="36" t="n">
        <f aca="false">H3/12</f>
        <v>25</v>
      </c>
      <c r="J3" s="36" t="n">
        <v>25</v>
      </c>
      <c r="K3" s="26"/>
    </row>
    <row r="4" customFormat="false" ht="22.5" hidden="false" customHeight="false" outlineLevel="0" collapsed="false">
      <c r="B4" s="0" t="s">
        <v>366</v>
      </c>
      <c r="C4" s="13" t="n">
        <v>100000</v>
      </c>
      <c r="E4" s="0" t="s">
        <v>367</v>
      </c>
      <c r="H4" s="36" t="n">
        <f aca="false">(C4)</f>
        <v>100000</v>
      </c>
      <c r="I4" s="149"/>
      <c r="J4" s="26"/>
      <c r="K4" s="26"/>
    </row>
    <row r="5" customFormat="false" ht="15" hidden="false" customHeight="false" outlineLevel="0" collapsed="false">
      <c r="D5" s="146"/>
      <c r="E5" s="0" t="s">
        <v>368</v>
      </c>
      <c r="H5" s="25" t="n">
        <f aca="false">PMT(H2,H3,H4)</f>
        <v>-706.779197275092</v>
      </c>
      <c r="I5" s="25" t="n">
        <f aca="false">PMT(I1,I3,$H4)</f>
        <v>-8758.82148317517</v>
      </c>
      <c r="J5" s="25" t="n">
        <f aca="false">PMT(J1,J3,$H4)</f>
        <v>-8481.00012311274</v>
      </c>
      <c r="K5" s="26"/>
    </row>
    <row r="6" customFormat="false" ht="15" hidden="false" customHeight="false" outlineLevel="0" collapsed="false">
      <c r="B6" s="46"/>
      <c r="C6" s="4"/>
      <c r="D6" s="146"/>
      <c r="E6" s="0" t="s">
        <v>369</v>
      </c>
      <c r="M6" s="7" t="n">
        <v>0.07</v>
      </c>
      <c r="N6" s="150" t="n">
        <f aca="false">I1</f>
        <v>0.0722900808562359</v>
      </c>
      <c r="O6" s="150" t="n">
        <f aca="false">I1</f>
        <v>0.0722900808562359</v>
      </c>
    </row>
    <row r="7" customFormat="false" ht="15" hidden="false" customHeight="false" outlineLevel="0" collapsed="false">
      <c r="B7" s="46"/>
      <c r="C7" s="4"/>
    </row>
    <row r="8" customFormat="false" ht="15" hidden="false" customHeight="false" outlineLevel="0" collapsed="false">
      <c r="B8" s="46"/>
      <c r="C8" s="4"/>
      <c r="E8" s="2" t="s">
        <v>139</v>
      </c>
      <c r="F8" s="53" t="s">
        <v>140</v>
      </c>
      <c r="G8" s="53" t="s">
        <v>370</v>
      </c>
      <c r="H8" s="53" t="s">
        <v>371</v>
      </c>
      <c r="I8" s="53" t="s">
        <v>372</v>
      </c>
      <c r="J8" s="53" t="s">
        <v>373</v>
      </c>
      <c r="K8" s="53" t="s">
        <v>374</v>
      </c>
      <c r="L8" s="5"/>
      <c r="M8" s="5" t="s">
        <v>375</v>
      </c>
      <c r="N8" s="5" t="s">
        <v>376</v>
      </c>
      <c r="O8" s="5" t="s">
        <v>377</v>
      </c>
      <c r="P8" s="5" t="s">
        <v>378</v>
      </c>
    </row>
    <row r="9" customFormat="false" ht="15" hidden="false" customHeight="false" outlineLevel="0" collapsed="false">
      <c r="B9" s="46"/>
      <c r="C9" s="4"/>
      <c r="E9" s="151" t="n">
        <v>0</v>
      </c>
      <c r="F9" s="152"/>
      <c r="G9" s="152"/>
      <c r="H9" s="152"/>
      <c r="I9" s="153"/>
      <c r="J9" s="153"/>
      <c r="K9" s="153"/>
      <c r="L9" s="21"/>
      <c r="M9" s="21"/>
      <c r="N9" s="21"/>
    </row>
    <row r="10" customFormat="false" ht="15" hidden="false" customHeight="false" outlineLevel="0" collapsed="false">
      <c r="B10" s="46"/>
      <c r="C10" s="4"/>
      <c r="E10" s="151" t="n">
        <v>1</v>
      </c>
      <c r="F10" s="154"/>
      <c r="G10" s="154"/>
      <c r="H10" s="154" t="n">
        <f aca="false">H$5</f>
        <v>-706.779197275092</v>
      </c>
      <c r="I10" s="154"/>
      <c r="J10" s="154"/>
      <c r="K10" s="154"/>
      <c r="L10" s="21"/>
      <c r="M10" s="21" t="n">
        <f aca="false">H10/(1+$H$2)^E10</f>
        <v>-702.680229271011</v>
      </c>
      <c r="N10" s="21"/>
    </row>
    <row r="11" customFormat="false" ht="15" hidden="false" customHeight="false" outlineLevel="0" collapsed="false">
      <c r="B11" s="46"/>
      <c r="C11" s="4"/>
      <c r="E11" s="151" t="n">
        <v>2</v>
      </c>
      <c r="F11" s="154"/>
      <c r="G11" s="154"/>
      <c r="H11" s="154" t="n">
        <f aca="false">H$5</f>
        <v>-706.779197275092</v>
      </c>
      <c r="I11" s="154"/>
      <c r="J11" s="154"/>
      <c r="K11" s="154"/>
      <c r="L11" s="21"/>
      <c r="M11" s="21" t="n">
        <f aca="false">H11/(1+$H$2)^E11</f>
        <v>-698.605033243756</v>
      </c>
      <c r="N11" s="21"/>
    </row>
    <row r="12" customFormat="false" ht="15" hidden="false" customHeight="false" outlineLevel="0" collapsed="false">
      <c r="B12" s="46"/>
      <c r="C12" s="4"/>
      <c r="E12" s="151" t="n">
        <v>3</v>
      </c>
      <c r="F12" s="154"/>
      <c r="G12" s="154"/>
      <c r="H12" s="154" t="n">
        <f aca="false">H$5</f>
        <v>-706.779197275092</v>
      </c>
      <c r="I12" s="154"/>
      <c r="J12" s="154"/>
      <c r="K12" s="154"/>
      <c r="L12" s="21"/>
      <c r="M12" s="21" t="n">
        <f aca="false">H12/(1+$H$2)^E12</f>
        <v>-694.553471327677</v>
      </c>
      <c r="N12" s="21"/>
    </row>
    <row r="13" customFormat="false" ht="15" hidden="false" customHeight="false" outlineLevel="0" collapsed="false">
      <c r="B13" s="46"/>
      <c r="C13" s="4"/>
      <c r="E13" s="151" t="n">
        <v>4</v>
      </c>
      <c r="F13" s="154"/>
      <c r="G13" s="154"/>
      <c r="H13" s="154" t="n">
        <f aca="false">H$5</f>
        <v>-706.779197275092</v>
      </c>
      <c r="I13" s="154"/>
      <c r="J13" s="154"/>
      <c r="K13" s="154"/>
      <c r="L13" s="21"/>
      <c r="M13" s="21" t="n">
        <f aca="false">H13/(1+$H$2)^E13</f>
        <v>-690.52540645668</v>
      </c>
      <c r="N13" s="21"/>
    </row>
    <row r="14" customFormat="false" ht="15" hidden="false" customHeight="false" outlineLevel="0" collapsed="false">
      <c r="B14" s="46"/>
      <c r="C14" s="4"/>
      <c r="E14" s="151" t="n">
        <v>5</v>
      </c>
      <c r="F14" s="154"/>
      <c r="G14" s="154"/>
      <c r="H14" s="154" t="n">
        <f aca="false">H$5</f>
        <v>-706.779197275092</v>
      </c>
      <c r="I14" s="154"/>
      <c r="J14" s="154"/>
      <c r="K14" s="154"/>
      <c r="L14" s="21"/>
      <c r="M14" s="21" t="n">
        <f aca="false">H14/(1+$H$2)^E14</f>
        <v>-686.520702359583</v>
      </c>
      <c r="N14" s="21"/>
    </row>
    <row r="15" customFormat="false" ht="15" hidden="false" customHeight="false" outlineLevel="0" collapsed="false">
      <c r="B15" s="46"/>
      <c r="C15" s="4"/>
      <c r="E15" s="151" t="n">
        <v>6</v>
      </c>
      <c r="F15" s="154"/>
      <c r="G15" s="154"/>
      <c r="H15" s="154" t="n">
        <f aca="false">H$5</f>
        <v>-706.779197275092</v>
      </c>
      <c r="I15" s="154"/>
      <c r="J15" s="154"/>
      <c r="K15" s="154"/>
      <c r="L15" s="21"/>
      <c r="M15" s="21" t="n">
        <f aca="false">H15/(1+$H$2)^E15</f>
        <v>-682.539223555509</v>
      </c>
      <c r="N15" s="21"/>
    </row>
    <row r="16" customFormat="false" ht="15" hidden="false" customHeight="false" outlineLevel="0" collapsed="false">
      <c r="B16" s="46"/>
      <c r="C16" s="4"/>
      <c r="E16" s="151" t="n">
        <v>7</v>
      </c>
      <c r="F16" s="154"/>
      <c r="G16" s="154"/>
      <c r="H16" s="154" t="n">
        <f aca="false">H$5</f>
        <v>-706.779197275092</v>
      </c>
      <c r="I16" s="154"/>
      <c r="J16" s="154"/>
      <c r="K16" s="154"/>
      <c r="L16" s="21"/>
      <c r="M16" s="21" t="n">
        <f aca="false">H16/(1+$H$2)^E16</f>
        <v>-678.580835349305</v>
      </c>
      <c r="N16" s="21"/>
    </row>
    <row r="17" customFormat="false" ht="15" hidden="false" customHeight="false" outlineLevel="0" collapsed="false">
      <c r="B17" s="46"/>
      <c r="C17" s="4"/>
      <c r="E17" s="151" t="n">
        <v>8</v>
      </c>
      <c r="F17" s="154"/>
      <c r="G17" s="154"/>
      <c r="H17" s="154" t="n">
        <f aca="false">H$5</f>
        <v>-706.779197275092</v>
      </c>
      <c r="I17" s="154"/>
      <c r="J17" s="154"/>
      <c r="K17" s="154"/>
      <c r="L17" s="21"/>
      <c r="M17" s="21" t="n">
        <f aca="false">H17/(1+$H$2)^E17</f>
        <v>-674.64540382698</v>
      </c>
      <c r="N17" s="21"/>
    </row>
    <row r="18" customFormat="false" ht="15" hidden="false" customHeight="false" outlineLevel="0" collapsed="false">
      <c r="B18" s="46"/>
      <c r="C18" s="4"/>
      <c r="E18" s="151" t="n">
        <v>9</v>
      </c>
      <c r="F18" s="154"/>
      <c r="G18" s="154"/>
      <c r="H18" s="154" t="n">
        <f aca="false">H$5</f>
        <v>-706.779197275092</v>
      </c>
      <c r="I18" s="154"/>
      <c r="J18" s="154"/>
      <c r="K18" s="154"/>
      <c r="L18" s="21"/>
      <c r="M18" s="21" t="n">
        <f aca="false">H18/(1+$H$2)^E18</f>
        <v>-670.732795851182</v>
      </c>
      <c r="N18" s="21"/>
    </row>
    <row r="19" customFormat="false" ht="15" hidden="false" customHeight="false" outlineLevel="0" collapsed="false">
      <c r="B19" s="46"/>
      <c r="C19" s="155"/>
      <c r="E19" s="151" t="n">
        <v>10</v>
      </c>
      <c r="F19" s="154"/>
      <c r="G19" s="154"/>
      <c r="H19" s="154" t="n">
        <f aca="false">H$5</f>
        <v>-706.779197275092</v>
      </c>
      <c r="I19" s="154"/>
      <c r="L19" s="21"/>
      <c r="M19" s="21" t="n">
        <f aca="false">H19/(1+$H$2)^E19</f>
        <v>-666.842879056684</v>
      </c>
      <c r="N19" s="21"/>
    </row>
    <row r="20" customFormat="false" ht="15" hidden="false" customHeight="false" outlineLevel="0" collapsed="false">
      <c r="B20" s="46"/>
      <c r="C20" s="155"/>
      <c r="E20" s="151" t="n">
        <v>11</v>
      </c>
      <c r="F20" s="154"/>
      <c r="G20" s="154"/>
      <c r="H20" s="154" t="n">
        <f aca="false">H$5</f>
        <v>-706.779197275092</v>
      </c>
      <c r="I20" s="154"/>
      <c r="J20" s="154"/>
      <c r="K20" s="154"/>
      <c r="L20" s="21"/>
      <c r="M20" s="21" t="n">
        <f aca="false">H20/(1+$H$2)^E20</f>
        <v>-662.975521845917</v>
      </c>
      <c r="N20" s="21"/>
    </row>
    <row r="21" customFormat="false" ht="15" hidden="false" customHeight="false" outlineLevel="0" collapsed="false">
      <c r="B21" s="46"/>
      <c r="C21" s="155"/>
      <c r="E21" s="151" t="n">
        <v>12</v>
      </c>
      <c r="F21" s="151" t="n">
        <v>1</v>
      </c>
      <c r="G21" s="151" t="n">
        <v>1</v>
      </c>
      <c r="H21" s="154" t="n">
        <f aca="false">H$5</f>
        <v>-706.779197275092</v>
      </c>
      <c r="I21" s="154" t="n">
        <f aca="false">I5</f>
        <v>-8758.82148317517</v>
      </c>
      <c r="J21" s="154" t="n">
        <f aca="false">12*H$5</f>
        <v>-8481.3503673011</v>
      </c>
      <c r="K21" s="154"/>
      <c r="L21" s="21"/>
      <c r="M21" s="21" t="n">
        <f aca="false">H21/(1+$H$2)^E21</f>
        <v>-659.130593384507</v>
      </c>
      <c r="N21" s="21" t="n">
        <f aca="false">I21/(1+$N$6)^F21</f>
        <v>-8168.33209552881</v>
      </c>
      <c r="O21" s="21" t="n">
        <f aca="false">J21/(1+$O$6)^G21</f>
        <v>-7909.56712061408</v>
      </c>
      <c r="P21" s="21" t="n">
        <f aca="false">K21/(1+$I$1)^E21</f>
        <v>0</v>
      </c>
    </row>
    <row r="22" customFormat="false" ht="15" hidden="false" customHeight="false" outlineLevel="0" collapsed="false">
      <c r="B22" s="46"/>
      <c r="C22" s="155"/>
      <c r="E22" s="151" t="n">
        <v>13</v>
      </c>
      <c r="F22" s="154"/>
      <c r="G22" s="154"/>
      <c r="H22" s="154" t="n">
        <f aca="false">H$5</f>
        <v>-706.779197275092</v>
      </c>
      <c r="I22" s="154"/>
      <c r="J22" s="154"/>
      <c r="K22" s="154"/>
      <c r="L22" s="21"/>
      <c r="M22" s="21" t="n">
        <f aca="false">H22/(1+$H$2)^E22</f>
        <v>-655.307963596859</v>
      </c>
      <c r="N22" s="21"/>
    </row>
    <row r="23" customFormat="false" ht="15" hidden="false" customHeight="false" outlineLevel="0" collapsed="false">
      <c r="B23" s="46"/>
      <c r="C23" s="155"/>
      <c r="E23" s="151" t="n">
        <v>14</v>
      </c>
      <c r="F23" s="154"/>
      <c r="G23" s="154"/>
      <c r="H23" s="154" t="n">
        <f aca="false">H$5</f>
        <v>-706.779197275092</v>
      </c>
      <c r="I23" s="154"/>
      <c r="J23" s="154"/>
      <c r="K23" s="154"/>
      <c r="L23" s="21"/>
      <c r="M23" s="21" t="n">
        <f aca="false">H23/(1+$H$2)^E23</f>
        <v>-651.507503161748</v>
      </c>
      <c r="N23" s="21"/>
    </row>
    <row r="24" customFormat="false" ht="15" hidden="false" customHeight="false" outlineLevel="0" collapsed="false">
      <c r="B24" s="46"/>
      <c r="C24" s="155"/>
      <c r="E24" s="151" t="n">
        <v>15</v>
      </c>
      <c r="F24" s="154"/>
      <c r="G24" s="154"/>
      <c r="H24" s="154" t="n">
        <f aca="false">H$5</f>
        <v>-706.779197275092</v>
      </c>
      <c r="I24" s="154"/>
      <c r="J24" s="154"/>
      <c r="K24" s="154"/>
      <c r="L24" s="21"/>
      <c r="M24" s="21" t="n">
        <f aca="false">H24/(1+$H$2)^E24</f>
        <v>-647.729083507952</v>
      </c>
      <c r="N24" s="21"/>
    </row>
    <row r="25" customFormat="false" ht="15" hidden="false" customHeight="false" outlineLevel="0" collapsed="false">
      <c r="B25" s="46"/>
      <c r="C25" s="155"/>
      <c r="E25" s="151" t="n">
        <v>16</v>
      </c>
      <c r="F25" s="154"/>
      <c r="G25" s="154"/>
      <c r="H25" s="154" t="n">
        <f aca="false">H$5</f>
        <v>-706.779197275092</v>
      </c>
      <c r="I25" s="154"/>
      <c r="J25" s="154"/>
      <c r="K25" s="154"/>
      <c r="L25" s="21"/>
      <c r="M25" s="21" t="n">
        <f aca="false">H25/(1+$H$2)^E25</f>
        <v>-643.972576809894</v>
      </c>
      <c r="N25" s="21"/>
    </row>
    <row r="26" customFormat="false" ht="15" hidden="false" customHeight="false" outlineLevel="0" collapsed="false">
      <c r="B26" s="46"/>
      <c r="C26" s="155"/>
      <c r="E26" s="151" t="n">
        <v>17</v>
      </c>
      <c r="F26" s="154"/>
      <c r="G26" s="154"/>
      <c r="H26" s="154" t="n">
        <f aca="false">H$5</f>
        <v>-706.779197275092</v>
      </c>
      <c r="I26" s="154"/>
      <c r="J26" s="154"/>
      <c r="K26" s="154"/>
      <c r="L26" s="21"/>
      <c r="M26" s="21" t="n">
        <f aca="false">H26/(1+$H$2)^E26</f>
        <v>-640.237855983325</v>
      </c>
      <c r="N26" s="21"/>
    </row>
    <row r="27" customFormat="false" ht="15" hidden="false" customHeight="false" outlineLevel="0" collapsed="false">
      <c r="B27" s="46"/>
      <c r="C27" s="155"/>
      <c r="E27" s="151" t="n">
        <v>18</v>
      </c>
      <c r="F27" s="154"/>
      <c r="G27" s="154"/>
      <c r="H27" s="154" t="n">
        <f aca="false">H$5</f>
        <v>-706.779197275092</v>
      </c>
      <c r="I27" s="154"/>
      <c r="J27" s="154"/>
      <c r="K27" s="154"/>
      <c r="L27" s="21"/>
      <c r="M27" s="21" t="n">
        <f aca="false">H27/(1+$H$2)^E27</f>
        <v>-636.524794681019</v>
      </c>
      <c r="N27" s="21"/>
    </row>
    <row r="28" customFormat="false" ht="15" hidden="false" customHeight="false" outlineLevel="0" collapsed="false">
      <c r="B28" s="46"/>
      <c r="C28" s="155"/>
      <c r="E28" s="151" t="n">
        <v>19</v>
      </c>
      <c r="F28" s="154"/>
      <c r="G28" s="154"/>
      <c r="H28" s="154" t="n">
        <f aca="false">H$5</f>
        <v>-706.779197275092</v>
      </c>
      <c r="I28" s="154"/>
      <c r="J28" s="154"/>
      <c r="K28" s="154"/>
      <c r="L28" s="21"/>
      <c r="M28" s="21" t="n">
        <f aca="false">H28/(1+$H$2)^E28</f>
        <v>-632.833267288503</v>
      </c>
      <c r="N28" s="21"/>
    </row>
    <row r="29" customFormat="false" ht="15" hidden="false" customHeight="false" outlineLevel="0" collapsed="false">
      <c r="B29" s="46"/>
      <c r="C29" s="155"/>
      <c r="E29" s="151" t="n">
        <v>20</v>
      </c>
      <c r="F29" s="154"/>
      <c r="G29" s="154"/>
      <c r="H29" s="154" t="n">
        <f aca="false">H$5</f>
        <v>-706.779197275092</v>
      </c>
      <c r="I29" s="154"/>
      <c r="J29" s="154"/>
      <c r="K29" s="154"/>
      <c r="L29" s="21"/>
      <c r="M29" s="21" t="n">
        <f aca="false">H29/(1+$H$2)^E29</f>
        <v>-629.163148919804</v>
      </c>
      <c r="N29" s="21"/>
    </row>
    <row r="30" customFormat="false" ht="15" hidden="false" customHeight="false" outlineLevel="0" collapsed="false">
      <c r="B30" s="46"/>
      <c r="C30" s="155"/>
      <c r="E30" s="151" t="n">
        <v>21</v>
      </c>
      <c r="F30" s="154"/>
      <c r="G30" s="154"/>
      <c r="H30" s="154" t="n">
        <f aca="false">H$5</f>
        <v>-706.779197275092</v>
      </c>
      <c r="I30" s="154"/>
      <c r="J30" s="154"/>
      <c r="K30" s="154"/>
      <c r="L30" s="21"/>
      <c r="M30" s="21" t="n">
        <f aca="false">H30/(1+$H$2)^E30</f>
        <v>-625.514315413227</v>
      </c>
      <c r="N30" s="21"/>
    </row>
    <row r="31" customFormat="false" ht="15" hidden="false" customHeight="false" outlineLevel="0" collapsed="false">
      <c r="B31" s="46"/>
      <c r="C31" s="155"/>
      <c r="E31" s="151" t="n">
        <v>22</v>
      </c>
      <c r="F31" s="154"/>
      <c r="G31" s="154"/>
      <c r="H31" s="154" t="n">
        <f aca="false">H$5</f>
        <v>-706.779197275092</v>
      </c>
      <c r="I31" s="154"/>
      <c r="J31" s="154"/>
      <c r="K31" s="154"/>
      <c r="L31" s="21"/>
      <c r="M31" s="21" t="n">
        <f aca="false">H31/(1+$H$2)^E31</f>
        <v>-621.886643327151</v>
      </c>
      <c r="N31" s="21"/>
    </row>
    <row r="32" customFormat="false" ht="15" hidden="false" customHeight="false" outlineLevel="0" collapsed="false">
      <c r="B32" s="46"/>
      <c r="C32" s="155"/>
      <c r="E32" s="151" t="n">
        <v>23</v>
      </c>
      <c r="F32" s="154"/>
      <c r="G32" s="154"/>
      <c r="H32" s="154" t="n">
        <f aca="false">H$5</f>
        <v>-706.779197275092</v>
      </c>
      <c r="I32" s="154"/>
      <c r="J32" s="154"/>
      <c r="K32" s="154"/>
      <c r="L32" s="21"/>
      <c r="M32" s="21" t="n">
        <f aca="false">H32/(1+$H$2)^E32</f>
        <v>-618.280009935859</v>
      </c>
      <c r="N32" s="21"/>
    </row>
    <row r="33" customFormat="false" ht="15" hidden="false" customHeight="false" outlineLevel="0" collapsed="false">
      <c r="B33" s="46"/>
      <c r="C33" s="155"/>
      <c r="E33" s="151" t="n">
        <v>24</v>
      </c>
      <c r="F33" s="151" t="n">
        <v>2</v>
      </c>
      <c r="G33" s="151" t="n">
        <v>2</v>
      </c>
      <c r="H33" s="154" t="n">
        <f aca="false">H$5</f>
        <v>-706.779197275092</v>
      </c>
      <c r="I33" s="154" t="n">
        <f aca="false">I$5</f>
        <v>-8758.82148317517</v>
      </c>
      <c r="J33" s="154" t="n">
        <f aca="false">12*H$5</f>
        <v>-8481.3503673011</v>
      </c>
      <c r="K33" s="154"/>
      <c r="L33" s="21"/>
      <c r="M33" s="21" t="n">
        <f aca="false">H33/(1+$H$2)^E33</f>
        <v>-614.694293225378</v>
      </c>
      <c r="N33" s="21" t="n">
        <f aca="false">I33/(1+$N$6)^F33</f>
        <v>-7617.65145585073</v>
      </c>
      <c r="O33" s="21" t="n">
        <f aca="false">J33/(1+$O$6)^G33</f>
        <v>-7376.33151870453</v>
      </c>
    </row>
    <row r="34" customFormat="false" ht="15" hidden="false" customHeight="false" outlineLevel="0" collapsed="false">
      <c r="B34" s="46"/>
      <c r="C34" s="155"/>
      <c r="E34" s="151"/>
      <c r="F34" s="154"/>
      <c r="G34" s="154"/>
      <c r="H34" s="154"/>
      <c r="I34" s="154"/>
      <c r="J34" s="154"/>
      <c r="K34" s="154"/>
      <c r="L34" s="21"/>
      <c r="M34" s="21"/>
      <c r="N34" s="21"/>
    </row>
    <row r="35" customFormat="false" ht="15" hidden="false" customHeight="false" outlineLevel="0" collapsed="false">
      <c r="B35" s="46"/>
      <c r="C35" s="146"/>
      <c r="E35" s="0" t="s">
        <v>379</v>
      </c>
      <c r="J35" s="21"/>
      <c r="K35" s="21"/>
      <c r="L35" s="21"/>
      <c r="M35" s="156" t="n">
        <f aca="false">SUM(M9:M33)</f>
        <v>-15785.9835513795</v>
      </c>
      <c r="N35" s="156" t="n">
        <f aca="false">SUM(N9:N33)</f>
        <v>-15785.9835513795</v>
      </c>
      <c r="O35" s="156" t="n">
        <f aca="false">SUM(O9:O33)</f>
        <v>-15285.8986393186</v>
      </c>
    </row>
    <row r="36" customFormat="false" ht="15" hidden="false" customHeight="false" outlineLevel="0" collapsed="false">
      <c r="B36" s="27"/>
    </row>
    <row r="37" customFormat="false" ht="45" hidden="false" customHeight="false" outlineLevel="0" collapsed="false">
      <c r="E37" s="157"/>
      <c r="F37" s="157"/>
      <c r="G37" s="157"/>
      <c r="H37" s="157"/>
      <c r="I37" s="157"/>
      <c r="J37" s="158" t="s">
        <v>380</v>
      </c>
      <c r="K37" s="157"/>
      <c r="N37" s="157"/>
      <c r="O37" s="157"/>
      <c r="P37" s="157"/>
      <c r="Q37" s="157"/>
    </row>
    <row r="38" customFormat="false" ht="15" hidden="false" customHeight="false" outlineLevel="0" collapsed="false"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</row>
    <row r="39" customFormat="false" ht="15" hidden="false" customHeight="false" outlineLevel="0" collapsed="false">
      <c r="F39" s="157"/>
      <c r="G39" s="157"/>
      <c r="H39" s="157"/>
      <c r="I39" s="157"/>
      <c r="J39" s="157" t="s">
        <v>381</v>
      </c>
      <c r="K39" s="157"/>
      <c r="L39" s="157"/>
      <c r="M39" s="157"/>
      <c r="N39" s="157"/>
      <c r="O39" s="157"/>
      <c r="P39" s="157"/>
      <c r="Q39" s="157"/>
      <c r="S39" s="157"/>
      <c r="T39" s="157"/>
    </row>
    <row r="40" customFormat="false" ht="15" hidden="false" customHeight="false" outlineLevel="0" collapsed="false"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Format="false" ht="15" hidden="false" customHeight="false" outlineLevel="0" collapsed="false"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Format="false" ht="15" hidden="false" customHeight="false" outlineLevel="0" collapsed="false"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Format="false" ht="15" hidden="false" customHeight="false" outlineLevel="0" collapsed="false"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customFormat="false" ht="15" hidden="false" customHeight="false" outlineLevel="0" collapsed="false"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customFormat="false" ht="15" hidden="false" customHeight="false" outlineLevel="0" collapsed="false"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customFormat="false" ht="15" hidden="false" customHeight="false" outlineLevel="0" collapsed="false"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customFormat="false" ht="15" hidden="false" customHeight="false" outlineLevel="0" collapsed="false"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customFormat="false" ht="15" hidden="false" customHeight="false" outlineLevel="0" collapsed="false"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customFormat="false" ht="15" hidden="false" customHeight="false" outlineLevel="0" collapsed="false"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customFormat="false" ht="15" hidden="false" customHeight="false" outlineLevel="0" collapsed="false">
      <c r="F50" s="21"/>
      <c r="G50" s="21"/>
      <c r="H50" s="21"/>
      <c r="I50" s="21"/>
      <c r="J50" s="157"/>
      <c r="K50" s="157"/>
      <c r="L50" s="157"/>
      <c r="M50" s="157"/>
      <c r="N50" s="157"/>
      <c r="O50" s="157"/>
    </row>
    <row r="51" customFormat="false" ht="15" hidden="false" customHeight="false" outlineLevel="0" collapsed="false">
      <c r="F51" s="21"/>
      <c r="G51" s="21"/>
      <c r="H51" s="21"/>
      <c r="I51" s="21"/>
      <c r="J51" s="157"/>
      <c r="K51" s="157"/>
      <c r="L51" s="157"/>
      <c r="M51" s="157"/>
      <c r="N51" s="157"/>
      <c r="O51" s="157"/>
    </row>
    <row r="52" customFormat="false" ht="15" hidden="false" customHeight="false" outlineLevel="0" collapsed="false">
      <c r="C52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K13" activeCellId="0" sqref="K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2"/>
    <col collapsed="false" customWidth="true" hidden="false" outlineLevel="0" max="4" min="3" style="0" width="18.42"/>
    <col collapsed="false" customWidth="true" hidden="false" outlineLevel="0" max="5" min="5" style="0" width="18.57"/>
    <col collapsed="false" customWidth="true" hidden="false" outlineLevel="0" max="6" min="6" style="0" width="5.14"/>
    <col collapsed="false" customWidth="true" hidden="false" outlineLevel="0" max="7" min="7" style="0" width="6.85"/>
    <col collapsed="false" customWidth="true" hidden="false" outlineLevel="0" max="8" min="8" style="0" width="15.85"/>
    <col collapsed="false" customWidth="true" hidden="false" outlineLevel="0" max="9" min="9" style="0" width="15.29"/>
    <col collapsed="false" customWidth="true" hidden="false" outlineLevel="0" max="10" min="10" style="0" width="14.29"/>
    <col collapsed="false" customWidth="true" hidden="false" outlineLevel="0" max="11" min="11" style="0" width="18.29"/>
    <col collapsed="false" customWidth="true" hidden="false" outlineLevel="0" max="12" min="12" style="0" width="3.86"/>
  </cols>
  <sheetData>
    <row r="1" customFormat="false" ht="15" hidden="false" customHeight="false" outlineLevel="0" collapsed="false">
      <c r="A1" s="29" t="s">
        <v>382</v>
      </c>
    </row>
    <row r="2" customFormat="false" ht="15" hidden="false" customHeight="false" outlineLevel="0" collapsed="false">
      <c r="A2" s="5" t="s">
        <v>316</v>
      </c>
      <c r="B2" s="5"/>
      <c r="C2" s="5"/>
      <c r="D2" s="27"/>
      <c r="H2" s="5" t="s">
        <v>383</v>
      </c>
      <c r="I2" s="5"/>
      <c r="J2" s="5"/>
      <c r="K2" s="5"/>
      <c r="M2" s="5" t="s">
        <v>384</v>
      </c>
      <c r="N2" s="5"/>
      <c r="O2" s="5"/>
    </row>
    <row r="4" customFormat="false" ht="15" hidden="false" customHeight="false" outlineLevel="0" collapsed="false">
      <c r="B4" s="0" t="s">
        <v>385</v>
      </c>
      <c r="H4" s="0" t="s">
        <v>386</v>
      </c>
      <c r="K4" s="159" t="n">
        <v>0.0600021348931171</v>
      </c>
      <c r="M4" s="0" t="s">
        <v>387</v>
      </c>
      <c r="O4" s="55" t="n">
        <f aca="false">IRR(J7:J11)</f>
        <v>0.0600021464272773</v>
      </c>
    </row>
    <row r="5" customFormat="false" ht="15" hidden="false" customHeight="false" outlineLevel="0" collapsed="false">
      <c r="B5" s="0" t="s">
        <v>388</v>
      </c>
      <c r="M5" s="0" t="s">
        <v>389</v>
      </c>
    </row>
    <row r="6" customFormat="false" ht="15" hidden="false" customHeight="false" outlineLevel="0" collapsed="false">
      <c r="B6" s="0" t="s">
        <v>390</v>
      </c>
      <c r="G6" s="0" t="s">
        <v>33</v>
      </c>
      <c r="H6" s="19" t="s">
        <v>391</v>
      </c>
      <c r="I6" s="19" t="s">
        <v>261</v>
      </c>
      <c r="J6" s="4" t="s">
        <v>392</v>
      </c>
      <c r="K6" s="46" t="s">
        <v>393</v>
      </c>
      <c r="M6" s="0" t="s">
        <v>394</v>
      </c>
    </row>
    <row r="7" customFormat="false" ht="15" hidden="false" customHeight="false" outlineLevel="0" collapsed="false">
      <c r="G7" s="4" t="n">
        <v>0</v>
      </c>
      <c r="H7" s="160" t="n">
        <v>-6549.32</v>
      </c>
      <c r="I7" s="101"/>
      <c r="J7" s="161" t="n">
        <f aca="false">H7+I7</f>
        <v>-6549.32</v>
      </c>
      <c r="K7" s="36" t="n">
        <f aca="false">(H7+I7)/(1+$K$4)^G7</f>
        <v>-6549.32</v>
      </c>
    </row>
    <row r="8" customFormat="false" ht="15" hidden="false" customHeight="false" outlineLevel="0" collapsed="false">
      <c r="G8" s="4" t="n">
        <v>1</v>
      </c>
      <c r="H8" s="160" t="n">
        <v>-800</v>
      </c>
      <c r="I8" s="160" t="n">
        <v>4000</v>
      </c>
      <c r="J8" s="161" t="n">
        <f aca="false">H8+I8</f>
        <v>3200</v>
      </c>
      <c r="K8" s="36" t="n">
        <f aca="false">(H8+I8)/(1+$K$4)^G8</f>
        <v>3018.86184438927</v>
      </c>
    </row>
    <row r="9" customFormat="false" ht="15" hidden="false" customHeight="false" outlineLevel="0" collapsed="false">
      <c r="B9" s="0" t="s">
        <v>395</v>
      </c>
      <c r="G9" s="4" t="n">
        <v>2</v>
      </c>
      <c r="H9" s="160" t="n">
        <f aca="false">-800-5100</f>
        <v>-5900</v>
      </c>
      <c r="I9" s="160" t="n">
        <v>4000</v>
      </c>
      <c r="J9" s="161" t="n">
        <f aca="false">H9+I9</f>
        <v>-1900</v>
      </c>
      <c r="K9" s="36" t="n">
        <f aca="false">(H9+I9)/(1+$K$4)^G9</f>
        <v>-1690.98642455741</v>
      </c>
    </row>
    <row r="10" customFormat="false" ht="15" hidden="false" customHeight="false" outlineLevel="0" collapsed="false">
      <c r="G10" s="4" t="n">
        <v>3</v>
      </c>
      <c r="H10" s="160" t="n">
        <v>-800</v>
      </c>
      <c r="I10" s="160" t="n">
        <v>4000</v>
      </c>
      <c r="J10" s="161" t="n">
        <f aca="false">H10+I10</f>
        <v>3200</v>
      </c>
      <c r="K10" s="36" t="n">
        <f aca="false">(H10+I10)/(1+$K$4)^G10</f>
        <v>2686.76547182978</v>
      </c>
    </row>
    <row r="11" customFormat="false" ht="15" hidden="false" customHeight="false" outlineLevel="0" collapsed="false">
      <c r="B11" s="29" t="s">
        <v>396</v>
      </c>
      <c r="G11" s="4" t="n">
        <v>4</v>
      </c>
      <c r="H11" s="160" t="n">
        <v>-800</v>
      </c>
      <c r="I11" s="160" t="n">
        <v>4000</v>
      </c>
      <c r="J11" s="161" t="n">
        <f aca="false">H11+I11</f>
        <v>3200</v>
      </c>
      <c r="K11" s="36" t="n">
        <f aca="false">(H11+I11)/(1+$K$4)^G11</f>
        <v>2534.67930241546</v>
      </c>
    </row>
    <row r="12" customFormat="false" ht="15" hidden="false" customHeight="false" outlineLevel="0" collapsed="false">
      <c r="B12" s="0" t="s">
        <v>397</v>
      </c>
    </row>
    <row r="13" customFormat="false" ht="15" hidden="false" customHeight="false" outlineLevel="0" collapsed="false">
      <c r="B13" s="0" t="s">
        <v>398</v>
      </c>
      <c r="H13" s="0" t="s">
        <v>399</v>
      </c>
      <c r="I13" s="45"/>
      <c r="J13" s="45"/>
      <c r="K13" s="162" t="n">
        <f aca="false">SUM(K7:K11)</f>
        <v>0.000194077105334145</v>
      </c>
    </row>
    <row r="15" customFormat="false" ht="15" hidden="false" customHeight="false" outlineLevel="0" collapsed="false">
      <c r="H15" s="0" t="s">
        <v>400</v>
      </c>
    </row>
    <row r="17" customFormat="false" ht="15" hidden="false" customHeight="false" outlineLevel="0" collapsed="false">
      <c r="H17" s="0" t="s">
        <v>401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K4" activeCellId="0" sqref="K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2"/>
    <col collapsed="false" customWidth="true" hidden="false" outlineLevel="0" max="4" min="3" style="0" width="18.42"/>
    <col collapsed="false" customWidth="true" hidden="false" outlineLevel="0" max="5" min="5" style="0" width="18.57"/>
    <col collapsed="false" customWidth="true" hidden="false" outlineLevel="0" max="6" min="6" style="0" width="5.14"/>
    <col collapsed="false" customWidth="true" hidden="false" outlineLevel="0" max="7" min="7" style="0" width="6.85"/>
    <col collapsed="false" customWidth="true" hidden="false" outlineLevel="0" max="8" min="8" style="0" width="23.29"/>
    <col collapsed="false" customWidth="true" hidden="false" outlineLevel="0" max="9" min="9" style="0" width="15.29"/>
    <col collapsed="false" customWidth="true" hidden="false" outlineLevel="0" max="10" min="10" style="0" width="14.29"/>
    <col collapsed="false" customWidth="true" hidden="false" outlineLevel="0" max="11" min="11" style="0" width="18.29"/>
    <col collapsed="false" customWidth="true" hidden="false" outlineLevel="0" max="12" min="12" style="0" width="3.86"/>
  </cols>
  <sheetData>
    <row r="1" customFormat="false" ht="15" hidden="false" customHeight="false" outlineLevel="0" collapsed="false">
      <c r="A1" s="29" t="s">
        <v>402</v>
      </c>
    </row>
    <row r="2" customFormat="false" ht="15" hidden="false" customHeight="false" outlineLevel="0" collapsed="false">
      <c r="A2" s="5" t="s">
        <v>316</v>
      </c>
      <c r="B2" s="5"/>
      <c r="C2" s="5"/>
      <c r="D2" s="27"/>
      <c r="H2" s="5" t="s">
        <v>383</v>
      </c>
      <c r="I2" s="5"/>
      <c r="J2" s="5"/>
      <c r="K2" s="5"/>
      <c r="M2" s="5" t="s">
        <v>384</v>
      </c>
      <c r="N2" s="5"/>
      <c r="O2" s="5"/>
    </row>
    <row r="4" customFormat="false" ht="15" hidden="false" customHeight="false" outlineLevel="0" collapsed="false">
      <c r="B4" s="0" t="s">
        <v>403</v>
      </c>
      <c r="H4" s="0" t="s">
        <v>386</v>
      </c>
      <c r="K4" s="159" t="n">
        <v>0.0600504081696315</v>
      </c>
      <c r="M4" s="0" t="s">
        <v>387</v>
      </c>
      <c r="O4" s="55" t="n">
        <f aca="false">IRR(J7:J17)</f>
        <v>0.0600504082230573</v>
      </c>
    </row>
    <row r="5" customFormat="false" ht="15" hidden="false" customHeight="false" outlineLevel="0" collapsed="false">
      <c r="B5" s="0" t="s">
        <v>404</v>
      </c>
      <c r="M5" s="0" t="s">
        <v>389</v>
      </c>
    </row>
    <row r="6" customFormat="false" ht="15" hidden="false" customHeight="false" outlineLevel="0" collapsed="false">
      <c r="B6" s="0" t="s">
        <v>405</v>
      </c>
      <c r="G6" s="0" t="s">
        <v>33</v>
      </c>
      <c r="H6" s="19" t="s">
        <v>406</v>
      </c>
      <c r="I6" s="19" t="s">
        <v>261</v>
      </c>
      <c r="J6" s="4" t="s">
        <v>392</v>
      </c>
      <c r="K6" s="46" t="s">
        <v>393</v>
      </c>
      <c r="M6" s="0" t="s">
        <v>394</v>
      </c>
    </row>
    <row r="7" customFormat="false" ht="15" hidden="false" customHeight="false" outlineLevel="0" collapsed="false">
      <c r="G7" s="4" t="n">
        <v>0</v>
      </c>
      <c r="H7" s="160"/>
      <c r="I7" s="101"/>
      <c r="J7" s="161" t="n">
        <f aca="false">H7+I7</f>
        <v>0</v>
      </c>
      <c r="K7" s="36" t="n">
        <f aca="false">(H7+I7)/(1+$K$4)^G7</f>
        <v>0</v>
      </c>
    </row>
    <row r="8" customFormat="false" ht="15" hidden="false" customHeight="false" outlineLevel="0" collapsed="false">
      <c r="B8" s="0" t="s">
        <v>407</v>
      </c>
      <c r="G8" s="4" t="n">
        <v>1</v>
      </c>
      <c r="H8" s="160"/>
      <c r="I8" s="160" t="n">
        <v>1517</v>
      </c>
      <c r="J8" s="161" t="n">
        <f aca="false">H8+I8</f>
        <v>1517</v>
      </c>
      <c r="K8" s="36" t="n">
        <f aca="false">(H8+I8)/(1+$K$4)^G8</f>
        <v>1431.06402139817</v>
      </c>
    </row>
    <row r="9" customFormat="false" ht="15" hidden="false" customHeight="false" outlineLevel="0" collapsed="false">
      <c r="B9" s="0" t="s">
        <v>408</v>
      </c>
      <c r="G9" s="4" t="n">
        <v>2</v>
      </c>
      <c r="H9" s="160"/>
      <c r="I9" s="160" t="n">
        <v>1517</v>
      </c>
      <c r="J9" s="161" t="n">
        <f aca="false">H9+I9</f>
        <v>1517</v>
      </c>
      <c r="K9" s="36" t="n">
        <f aca="false">(H9+I9)/(1+$K$4)^G9</f>
        <v>1349.99619864225</v>
      </c>
    </row>
    <row r="10" customFormat="false" ht="15" hidden="false" customHeight="false" outlineLevel="0" collapsed="false">
      <c r="B10" s="0" t="s">
        <v>409</v>
      </c>
      <c r="G10" s="4" t="n">
        <v>3</v>
      </c>
      <c r="H10" s="160"/>
      <c r="I10" s="160" t="n">
        <v>1517</v>
      </c>
      <c r="J10" s="161" t="n">
        <f aca="false">H10+I10</f>
        <v>1517</v>
      </c>
      <c r="K10" s="36" t="n">
        <f aca="false">(H10+I10)/(1+$K$4)^G10</f>
        <v>1273.52075735083</v>
      </c>
    </row>
    <row r="11" customFormat="false" ht="15" hidden="false" customHeight="false" outlineLevel="0" collapsed="false">
      <c r="G11" s="4" t="n">
        <v>4</v>
      </c>
      <c r="H11" s="160"/>
      <c r="I11" s="160" t="n">
        <v>1517</v>
      </c>
      <c r="J11" s="161" t="n">
        <f aca="false">H11+I11</f>
        <v>1517</v>
      </c>
      <c r="K11" s="36" t="n">
        <f aca="false">(H11+I11)/(1+$K$4)^G11</f>
        <v>1201.37754538465</v>
      </c>
    </row>
    <row r="12" customFormat="false" ht="15" hidden="false" customHeight="false" outlineLevel="0" collapsed="false">
      <c r="B12" s="29" t="s">
        <v>396</v>
      </c>
      <c r="G12" s="4" t="n">
        <v>5</v>
      </c>
      <c r="H12" s="160"/>
      <c r="I12" s="160" t="n">
        <v>1517</v>
      </c>
      <c r="J12" s="161" t="n">
        <f aca="false">H12+I12</f>
        <v>1517</v>
      </c>
      <c r="K12" s="36" t="n">
        <f aca="false">(H12+I12)/(1+$K$4)^G12</f>
        <v>1133.32114786791</v>
      </c>
    </row>
    <row r="13" customFormat="false" ht="15" hidden="false" customHeight="false" outlineLevel="0" collapsed="false">
      <c r="B13" s="0" t="s">
        <v>410</v>
      </c>
      <c r="G13" s="4" t="n">
        <v>6</v>
      </c>
      <c r="H13" s="160"/>
      <c r="I13" s="160" t="n">
        <v>1517</v>
      </c>
      <c r="J13" s="161" t="n">
        <f aca="false">H13+I13</f>
        <v>1517</v>
      </c>
      <c r="K13" s="36" t="n">
        <f aca="false">(H13+I13)/(1+$K$4)^G13</f>
        <v>1069.12005234241</v>
      </c>
    </row>
    <row r="14" customFormat="false" ht="15" hidden="false" customHeight="false" outlineLevel="0" collapsed="false">
      <c r="B14" s="0" t="s">
        <v>411</v>
      </c>
      <c r="G14" s="4" t="n">
        <v>7</v>
      </c>
      <c r="H14" s="160"/>
      <c r="I14" s="160" t="n">
        <v>1517</v>
      </c>
      <c r="J14" s="161" t="n">
        <f aca="false">H14+I14</f>
        <v>1517</v>
      </c>
      <c r="K14" s="36" t="n">
        <f aca="false">(H14+I14)/(1+$K$4)^G14</f>
        <v>1008.5558612146</v>
      </c>
    </row>
    <row r="15" customFormat="false" ht="15" hidden="false" customHeight="false" outlineLevel="0" collapsed="false">
      <c r="G15" s="4" t="n">
        <v>8</v>
      </c>
      <c r="H15" s="160"/>
      <c r="I15" s="160" t="n">
        <v>1517</v>
      </c>
      <c r="J15" s="161" t="n">
        <f aca="false">H15+I15</f>
        <v>1517</v>
      </c>
      <c r="K15" s="36" t="n">
        <f aca="false">(H15+I15)/(1+$K$4)^G15</f>
        <v>951.422548816384</v>
      </c>
    </row>
    <row r="16" customFormat="false" ht="15" hidden="false" customHeight="false" outlineLevel="0" collapsed="false">
      <c r="G16" s="4" t="n">
        <v>9</v>
      </c>
      <c r="H16" s="160"/>
      <c r="I16" s="160" t="n">
        <v>1517</v>
      </c>
      <c r="J16" s="161" t="n">
        <f aca="false">H16+I16</f>
        <v>1517</v>
      </c>
      <c r="K16" s="36" t="n">
        <f aca="false">(H16+I16)/(1+$K$4)^G16</f>
        <v>897.525760552451</v>
      </c>
    </row>
    <row r="17" customFormat="false" ht="15" hidden="false" customHeight="false" outlineLevel="0" collapsed="false">
      <c r="G17" s="4" t="n">
        <v>10</v>
      </c>
      <c r="H17" s="160" t="n">
        <v>-20000</v>
      </c>
      <c r="I17" s="160" t="n">
        <v>1517</v>
      </c>
      <c r="J17" s="161" t="n">
        <f aca="false">H17+I17</f>
        <v>-18483</v>
      </c>
      <c r="K17" s="36" t="n">
        <f aca="false">(H17+I17)/(1+$K$4)^G17</f>
        <v>-10315.9038963704</v>
      </c>
    </row>
    <row r="20" customFormat="false" ht="15" hidden="false" customHeight="false" outlineLevel="0" collapsed="false">
      <c r="H20" s="0" t="s">
        <v>399</v>
      </c>
      <c r="I20" s="45"/>
      <c r="J20" s="45"/>
      <c r="K20" s="162" t="n">
        <f aca="false">SUM(K7:K17)</f>
        <v>-2.80072890745942E-006</v>
      </c>
    </row>
    <row r="22" customFormat="false" ht="15" hidden="false" customHeight="false" outlineLevel="0" collapsed="false">
      <c r="H22" s="0" t="s">
        <v>400</v>
      </c>
    </row>
    <row r="24" customFormat="false" ht="15" hidden="false" customHeight="false" outlineLevel="0" collapsed="false">
      <c r="H24" s="0" t="s">
        <v>401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I17" colorId="64" zoomScale="120" zoomScaleNormal="120" zoomScalePageLayoutView="100" workbookViewId="0">
      <selection pane="topLeft" activeCell="Q14" activeCellId="0" sqref="Q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85"/>
    <col collapsed="false" customWidth="true" hidden="false" outlineLevel="0" max="3" min="3" style="0" width="14.14"/>
    <col collapsed="false" customWidth="true" hidden="false" outlineLevel="0" max="4" min="4" style="0" width="10.71"/>
    <col collapsed="false" customWidth="true" hidden="false" outlineLevel="0" max="5" min="5" style="0" width="10.14"/>
    <col collapsed="false" customWidth="true" hidden="false" outlineLevel="0" max="6" min="6" style="0" width="4"/>
    <col collapsed="false" customWidth="true" hidden="false" outlineLevel="0" max="7" min="7" style="0" width="18.29"/>
    <col collapsed="false" customWidth="true" hidden="false" outlineLevel="0" max="8" min="8" style="0" width="10.57"/>
    <col collapsed="false" customWidth="true" hidden="false" outlineLevel="0" max="17" min="9" style="0" width="8.71"/>
    <col collapsed="false" customWidth="true" hidden="false" outlineLevel="0" max="23" min="18" style="0" width="3.86"/>
  </cols>
  <sheetData>
    <row r="1" customFormat="false" ht="15" hidden="false" customHeight="false" outlineLevel="0" collapsed="false">
      <c r="A1" s="29" t="s">
        <v>412</v>
      </c>
    </row>
    <row r="2" customFormat="false" ht="15" hidden="false" customHeight="false" outlineLevel="0" collapsed="false">
      <c r="C2" s="5" t="s">
        <v>383</v>
      </c>
      <c r="D2" s="5"/>
      <c r="E2" s="5"/>
      <c r="F2" s="5"/>
      <c r="G2" s="5"/>
      <c r="H2" s="27"/>
      <c r="I2" s="27"/>
      <c r="J2" s="27"/>
      <c r="K2" s="27"/>
      <c r="L2" s="27"/>
      <c r="M2" s="27"/>
      <c r="N2" s="27"/>
      <c r="O2" s="27"/>
      <c r="P2" s="27"/>
      <c r="Q2" s="27"/>
    </row>
    <row r="4" customFormat="false" ht="15" hidden="false" customHeight="false" outlineLevel="0" collapsed="false">
      <c r="C4" s="0" t="s">
        <v>0</v>
      </c>
      <c r="G4" s="159" t="n">
        <v>0</v>
      </c>
      <c r="H4" s="159" t="n">
        <v>0.02</v>
      </c>
      <c r="I4" s="159" t="n">
        <v>0.04</v>
      </c>
      <c r="J4" s="159" t="n">
        <v>0.06</v>
      </c>
      <c r="K4" s="159" t="n">
        <v>0.08</v>
      </c>
      <c r="L4" s="159" t="n">
        <v>0.1</v>
      </c>
      <c r="M4" s="159" t="n">
        <v>0.12</v>
      </c>
      <c r="N4" s="159" t="n">
        <v>0.14</v>
      </c>
      <c r="O4" s="159" t="n">
        <v>0.16</v>
      </c>
      <c r="P4" s="159" t="n">
        <v>0.18</v>
      </c>
      <c r="Q4" s="159" t="n">
        <v>0.2</v>
      </c>
    </row>
    <row r="6" customFormat="false" ht="15" hidden="false" customHeight="false" outlineLevel="0" collapsed="false">
      <c r="B6" s="0" t="s">
        <v>33</v>
      </c>
      <c r="C6" s="19" t="s">
        <v>73</v>
      </c>
      <c r="D6" s="19" t="s">
        <v>261</v>
      </c>
      <c r="E6" s="4" t="s">
        <v>392</v>
      </c>
      <c r="F6" s="4"/>
      <c r="G6" s="46" t="s">
        <v>393</v>
      </c>
      <c r="H6" s="46" t="s">
        <v>413</v>
      </c>
      <c r="I6" s="46" t="s">
        <v>413</v>
      </c>
      <c r="J6" s="46" t="s">
        <v>413</v>
      </c>
      <c r="K6" s="46" t="s">
        <v>413</v>
      </c>
      <c r="L6" s="46" t="s">
        <v>413</v>
      </c>
      <c r="M6" s="46" t="s">
        <v>413</v>
      </c>
      <c r="N6" s="46" t="s">
        <v>413</v>
      </c>
      <c r="O6" s="46" t="s">
        <v>413</v>
      </c>
      <c r="P6" s="46" t="s">
        <v>413</v>
      </c>
      <c r="Q6" s="46" t="s">
        <v>413</v>
      </c>
    </row>
    <row r="7" customFormat="false" ht="15" hidden="false" customHeight="false" outlineLevel="0" collapsed="false">
      <c r="B7" s="4" t="n">
        <v>0</v>
      </c>
      <c r="C7" s="160" t="n">
        <v>-20000</v>
      </c>
      <c r="D7" s="101"/>
      <c r="E7" s="161" t="n">
        <f aca="false">C7+D7</f>
        <v>-20000</v>
      </c>
      <c r="F7" s="161"/>
      <c r="G7" s="36" t="n">
        <f aca="false">($E7)/(1+G$4)^$B7</f>
        <v>-20000</v>
      </c>
      <c r="H7" s="36" t="n">
        <f aca="false">($E7)/(1+H$4)^$B7</f>
        <v>-20000</v>
      </c>
      <c r="I7" s="36" t="n">
        <f aca="false">($E7)/(1+I$4)^$B7</f>
        <v>-20000</v>
      </c>
      <c r="J7" s="36" t="n">
        <f aca="false">($E7)/(1+J$4)^$B7</f>
        <v>-20000</v>
      </c>
      <c r="K7" s="36" t="n">
        <f aca="false">($E7)/(1+K$4)^$B7</f>
        <v>-20000</v>
      </c>
      <c r="L7" s="36" t="n">
        <f aca="false">($E7)/(1+L$4)^$B7</f>
        <v>-20000</v>
      </c>
      <c r="M7" s="36" t="n">
        <f aca="false">($E7)/(1+M$4)^$B7</f>
        <v>-20000</v>
      </c>
      <c r="N7" s="36" t="n">
        <f aca="false">($E7)/(1+N$4)^$B7</f>
        <v>-20000</v>
      </c>
      <c r="O7" s="36" t="n">
        <f aca="false">($E7)/(1+O$4)^$B7</f>
        <v>-20000</v>
      </c>
      <c r="P7" s="36" t="n">
        <f aca="false">($E7)/(1+P$4)^$B7</f>
        <v>-20000</v>
      </c>
      <c r="Q7" s="36" t="n">
        <f aca="false">($E7)/(1+Q$4)^$B7</f>
        <v>-20000</v>
      </c>
    </row>
    <row r="8" customFormat="false" ht="15" hidden="false" customHeight="false" outlineLevel="0" collapsed="false">
      <c r="B8" s="4" t="n">
        <v>1</v>
      </c>
      <c r="C8" s="160"/>
      <c r="D8" s="160" t="n">
        <v>3000</v>
      </c>
      <c r="E8" s="161" t="n">
        <f aca="false">C8+D8</f>
        <v>3000</v>
      </c>
      <c r="F8" s="161"/>
      <c r="G8" s="36" t="n">
        <f aca="false">($E8)/(1+G$4)^$B8</f>
        <v>3000</v>
      </c>
      <c r="H8" s="36" t="n">
        <f aca="false">($E8)/(1+H$4)^$B8</f>
        <v>2941.17647058824</v>
      </c>
      <c r="I8" s="36" t="n">
        <f aca="false">($E8)/(1+I$4)^$B8</f>
        <v>2884.61538461538</v>
      </c>
      <c r="J8" s="36" t="n">
        <f aca="false">($E8)/(1+J$4)^$B8</f>
        <v>2830.18867924528</v>
      </c>
      <c r="K8" s="36" t="n">
        <f aca="false">($E8)/(1+K$4)^$B8</f>
        <v>2777.77777777778</v>
      </c>
      <c r="L8" s="36" t="n">
        <f aca="false">($E8)/(1+L$4)^$B8</f>
        <v>2727.27272727273</v>
      </c>
      <c r="M8" s="36" t="n">
        <f aca="false">($E8)/(1+M$4)^$B8</f>
        <v>2678.57142857143</v>
      </c>
      <c r="N8" s="36" t="n">
        <f aca="false">($E8)/(1+N$4)^$B8</f>
        <v>2631.57894736842</v>
      </c>
      <c r="O8" s="36" t="n">
        <f aca="false">($E8)/(1+O$4)^$B8</f>
        <v>2586.20689655172</v>
      </c>
      <c r="P8" s="36" t="n">
        <f aca="false">($E8)/(1+P$4)^$B8</f>
        <v>2542.37288135593</v>
      </c>
      <c r="Q8" s="36" t="n">
        <f aca="false">($E8)/(1+Q$4)^$B8</f>
        <v>2500</v>
      </c>
    </row>
    <row r="9" customFormat="false" ht="15" hidden="false" customHeight="false" outlineLevel="0" collapsed="false">
      <c r="B9" s="4" t="n">
        <v>2</v>
      </c>
      <c r="C9" s="160"/>
      <c r="D9" s="160" t="n">
        <v>3000</v>
      </c>
      <c r="E9" s="161" t="n">
        <f aca="false">C9+D9</f>
        <v>3000</v>
      </c>
      <c r="F9" s="161"/>
      <c r="G9" s="36" t="n">
        <f aca="false">($E9)/(1+G$4)^$B9</f>
        <v>3000</v>
      </c>
      <c r="H9" s="36" t="n">
        <f aca="false">($E9)/(1+H$4)^$B9</f>
        <v>2883.50634371396</v>
      </c>
      <c r="I9" s="36" t="n">
        <f aca="false">($E9)/(1+I$4)^$B9</f>
        <v>2773.66863905325</v>
      </c>
      <c r="J9" s="36" t="n">
        <f aca="false">($E9)/(1+J$4)^$B9</f>
        <v>2669.98932004272</v>
      </c>
      <c r="K9" s="36" t="n">
        <f aca="false">($E9)/(1+K$4)^$B9</f>
        <v>2572.01646090535</v>
      </c>
      <c r="L9" s="36" t="n">
        <f aca="false">($E9)/(1+L$4)^$B9</f>
        <v>2479.33884297521</v>
      </c>
      <c r="M9" s="36" t="n">
        <f aca="false">($E9)/(1+M$4)^$B9</f>
        <v>2391.58163265306</v>
      </c>
      <c r="N9" s="36" t="n">
        <f aca="false">($E9)/(1+N$4)^$B9</f>
        <v>2308.4025854109</v>
      </c>
      <c r="O9" s="36" t="n">
        <f aca="false">($E9)/(1+O$4)^$B9</f>
        <v>2229.4887039239</v>
      </c>
      <c r="P9" s="36" t="n">
        <f aca="false">($E9)/(1+P$4)^$B9</f>
        <v>2154.55328928469</v>
      </c>
      <c r="Q9" s="36" t="n">
        <f aca="false">($E9)/(1+Q$4)^$B9</f>
        <v>2083.33333333333</v>
      </c>
    </row>
    <row r="10" customFormat="false" ht="15" hidden="false" customHeight="false" outlineLevel="0" collapsed="false">
      <c r="B10" s="4" t="n">
        <v>3</v>
      </c>
      <c r="C10" s="160"/>
      <c r="D10" s="160" t="n">
        <v>3000</v>
      </c>
      <c r="E10" s="161" t="n">
        <f aca="false">C10+D10</f>
        <v>3000</v>
      </c>
      <c r="F10" s="161"/>
      <c r="G10" s="36" t="n">
        <f aca="false">($E10)/(1+G$4)^$B10</f>
        <v>3000</v>
      </c>
      <c r="H10" s="36" t="n">
        <f aca="false">($E10)/(1+H$4)^$B10</f>
        <v>2826.96700364113</v>
      </c>
      <c r="I10" s="36" t="n">
        <f aca="false">($E10)/(1+I$4)^$B10</f>
        <v>2666.98907601274</v>
      </c>
      <c r="J10" s="36" t="n">
        <f aca="false">($E10)/(1+J$4)^$B10</f>
        <v>2518.85784909691</v>
      </c>
      <c r="K10" s="36" t="n">
        <f aca="false">($E10)/(1+K$4)^$B10</f>
        <v>2381.49672306051</v>
      </c>
      <c r="L10" s="36" t="n">
        <f aca="false">($E10)/(1+L$4)^$B10</f>
        <v>2253.94440270473</v>
      </c>
      <c r="M10" s="36" t="n">
        <f aca="false">($E10)/(1+M$4)^$B10</f>
        <v>2135.34074344023</v>
      </c>
      <c r="N10" s="36" t="n">
        <f aca="false">($E10)/(1+N$4)^$B10</f>
        <v>2024.91454860605</v>
      </c>
      <c r="O10" s="36" t="n">
        <f aca="false">($E10)/(1+O$4)^$B10</f>
        <v>1921.97302062405</v>
      </c>
      <c r="P10" s="36" t="n">
        <f aca="false">($E10)/(1+P$4)^$B10</f>
        <v>1825.89261803787</v>
      </c>
      <c r="Q10" s="36" t="n">
        <f aca="false">($E10)/(1+Q$4)^$B10</f>
        <v>1736.11111111111</v>
      </c>
    </row>
    <row r="11" customFormat="false" ht="15" hidden="false" customHeight="false" outlineLevel="0" collapsed="false">
      <c r="B11" s="4" t="n">
        <v>4</v>
      </c>
      <c r="C11" s="160"/>
      <c r="D11" s="160" t="n">
        <v>3000</v>
      </c>
      <c r="E11" s="161" t="n">
        <f aca="false">C11+D11</f>
        <v>3000</v>
      </c>
      <c r="F11" s="161"/>
      <c r="G11" s="36" t="n">
        <f aca="false">($E11)/(1+G$4)^$B11</f>
        <v>3000</v>
      </c>
      <c r="H11" s="36" t="n">
        <f aca="false">($E11)/(1+H$4)^$B11</f>
        <v>2771.53627807954</v>
      </c>
      <c r="I11" s="36" t="n">
        <f aca="false">($E11)/(1+I$4)^$B11</f>
        <v>2564.41257308918</v>
      </c>
      <c r="J11" s="36" t="n">
        <f aca="false">($E11)/(1+J$4)^$B11</f>
        <v>2376.28098971406</v>
      </c>
      <c r="K11" s="36" t="n">
        <f aca="false">($E11)/(1+K$4)^$B11</f>
        <v>2205.08955838936</v>
      </c>
      <c r="L11" s="36" t="n">
        <f aca="false">($E11)/(1+L$4)^$B11</f>
        <v>2049.04036609521</v>
      </c>
      <c r="M11" s="36" t="n">
        <f aca="false">($E11)/(1+M$4)^$B11</f>
        <v>1906.55423521449</v>
      </c>
      <c r="N11" s="36" t="n">
        <f aca="false">($E11)/(1+N$4)^$B11</f>
        <v>1776.24083211057</v>
      </c>
      <c r="O11" s="36" t="n">
        <f aca="false">($E11)/(1+O$4)^$B11</f>
        <v>1656.87329364142</v>
      </c>
      <c r="P11" s="36" t="n">
        <f aca="false">($E11)/(1+P$4)^$B11</f>
        <v>1547.36662545582</v>
      </c>
      <c r="Q11" s="36" t="n">
        <f aca="false">($E11)/(1+Q$4)^$B11</f>
        <v>1446.75925925926</v>
      </c>
    </row>
    <row r="12" customFormat="false" ht="15" hidden="false" customHeight="false" outlineLevel="0" collapsed="false">
      <c r="B12" s="4" t="n">
        <v>5</v>
      </c>
      <c r="C12" s="160"/>
      <c r="D12" s="160" t="n">
        <v>3000</v>
      </c>
      <c r="E12" s="161" t="n">
        <f aca="false">C12+D12</f>
        <v>3000</v>
      </c>
      <c r="F12" s="161"/>
      <c r="G12" s="36" t="n">
        <f aca="false">($E12)/(1+G$4)^$B12</f>
        <v>3000</v>
      </c>
      <c r="H12" s="36" t="n">
        <f aca="false">($E12)/(1+H$4)^$B12</f>
        <v>2717.19242948975</v>
      </c>
      <c r="I12" s="36" t="n">
        <f aca="false">($E12)/(1+I$4)^$B12</f>
        <v>2465.78132027806</v>
      </c>
      <c r="J12" s="36" t="n">
        <f aca="false">($E12)/(1+J$4)^$B12</f>
        <v>2241.77451859817</v>
      </c>
      <c r="K12" s="36" t="n">
        <f aca="false">($E12)/(1+K$4)^$B12</f>
        <v>2041.74959110126</v>
      </c>
      <c r="L12" s="36" t="n">
        <f aca="false">($E12)/(1+L$4)^$B12</f>
        <v>1862.76396917746</v>
      </c>
      <c r="M12" s="36" t="n">
        <f aca="false">($E12)/(1+M$4)^$B12</f>
        <v>1702.2805671558</v>
      </c>
      <c r="N12" s="36" t="n">
        <f aca="false">($E12)/(1+N$4)^$B12</f>
        <v>1558.10599307945</v>
      </c>
      <c r="O12" s="36" t="n">
        <f aca="false">($E12)/(1+O$4)^$B12</f>
        <v>1428.33904624261</v>
      </c>
      <c r="P12" s="36" t="n">
        <f aca="false">($E12)/(1+P$4)^$B12</f>
        <v>1311.32764869138</v>
      </c>
      <c r="Q12" s="36" t="n">
        <f aca="false">($E12)/(1+Q$4)^$B12</f>
        <v>1205.63271604938</v>
      </c>
    </row>
    <row r="13" customFormat="false" ht="15" hidden="false" customHeight="false" outlineLevel="0" collapsed="false">
      <c r="B13" s="4" t="n">
        <v>6</v>
      </c>
      <c r="C13" s="160"/>
      <c r="D13" s="160" t="n">
        <v>3000</v>
      </c>
      <c r="E13" s="161" t="n">
        <f aca="false">C13+D13</f>
        <v>3000</v>
      </c>
      <c r="F13" s="161"/>
      <c r="G13" s="36" t="n">
        <f aca="false">($E13)/(1+G$4)^$B13</f>
        <v>3000</v>
      </c>
      <c r="H13" s="36" t="n">
        <f aca="false">($E13)/(1+H$4)^$B13</f>
        <v>2663.91414655858</v>
      </c>
      <c r="I13" s="36" t="n">
        <f aca="false">($E13)/(1+I$4)^$B13</f>
        <v>2370.94357719044</v>
      </c>
      <c r="J13" s="36" t="n">
        <f aca="false">($E13)/(1+J$4)^$B13</f>
        <v>2114.88162131903</v>
      </c>
      <c r="K13" s="36" t="n">
        <f aca="false">($E13)/(1+K$4)^$B13</f>
        <v>1890.50888064931</v>
      </c>
      <c r="L13" s="36" t="n">
        <f aca="false">($E13)/(1+L$4)^$B13</f>
        <v>1693.42179016133</v>
      </c>
      <c r="M13" s="36" t="n">
        <f aca="false">($E13)/(1+M$4)^$B13</f>
        <v>1519.89336353196</v>
      </c>
      <c r="N13" s="36" t="n">
        <f aca="false">($E13)/(1+N$4)^$B13</f>
        <v>1366.75964305215</v>
      </c>
      <c r="O13" s="36" t="n">
        <f aca="false">($E13)/(1+O$4)^$B13</f>
        <v>1231.32676400225</v>
      </c>
      <c r="P13" s="36" t="n">
        <f aca="false">($E13)/(1+P$4)^$B13</f>
        <v>1111.29461753506</v>
      </c>
      <c r="Q13" s="36" t="n">
        <f aca="false">($E13)/(1+Q$4)^$B13</f>
        <v>1004.69393004115</v>
      </c>
    </row>
    <row r="14" customFormat="false" ht="15" hidden="false" customHeight="false" outlineLevel="0" collapsed="false">
      <c r="B14" s="4" t="n">
        <v>7</v>
      </c>
      <c r="C14" s="160"/>
      <c r="D14" s="160" t="n">
        <v>3000</v>
      </c>
      <c r="E14" s="161" t="n">
        <f aca="false">C14+D14</f>
        <v>3000</v>
      </c>
      <c r="F14" s="161"/>
      <c r="G14" s="36" t="n">
        <f aca="false">($E14)/(1+G$4)^$B14</f>
        <v>3000</v>
      </c>
      <c r="H14" s="36" t="n">
        <f aca="false">($E14)/(1+H$4)^$B14</f>
        <v>2611.68053584174</v>
      </c>
      <c r="I14" s="36" t="n">
        <f aca="false">($E14)/(1+I$4)^$B14</f>
        <v>2279.75343960619</v>
      </c>
      <c r="J14" s="36" t="n">
        <f aca="false">($E14)/(1+J$4)^$B14</f>
        <v>1995.17134086701</v>
      </c>
      <c r="K14" s="36" t="n">
        <f aca="false">($E14)/(1+K$4)^$B14</f>
        <v>1750.4711857864</v>
      </c>
      <c r="L14" s="36" t="n">
        <f aca="false">($E14)/(1+L$4)^$B14</f>
        <v>1539.47435469212</v>
      </c>
      <c r="M14" s="36" t="n">
        <f aca="false">($E14)/(1+M$4)^$B14</f>
        <v>1357.04764601068</v>
      </c>
      <c r="N14" s="36" t="n">
        <f aca="false">($E14)/(1+N$4)^$B14</f>
        <v>1198.9119675896</v>
      </c>
      <c r="O14" s="36" t="n">
        <f aca="false">($E14)/(1+O$4)^$B14</f>
        <v>1061.48858965711</v>
      </c>
      <c r="P14" s="36" t="n">
        <f aca="false">($E14)/(1+P$4)^$B14</f>
        <v>941.775099605987</v>
      </c>
      <c r="Q14" s="36" t="n">
        <f aca="false">($E14)/(1+Q$4)^$B14</f>
        <v>837.244941700961</v>
      </c>
    </row>
    <row r="15" customFormat="false" ht="15" hidden="false" customHeight="false" outlineLevel="0" collapsed="false">
      <c r="B15" s="4" t="n">
        <v>8</v>
      </c>
      <c r="C15" s="160"/>
      <c r="D15" s="160" t="n">
        <v>3000</v>
      </c>
      <c r="E15" s="161" t="n">
        <f aca="false">C15+D15</f>
        <v>3000</v>
      </c>
      <c r="F15" s="161"/>
      <c r="G15" s="36" t="n">
        <f aca="false">($E15)/(1+G$4)^$B15</f>
        <v>3000</v>
      </c>
      <c r="H15" s="36" t="n">
        <f aca="false">($E15)/(1+H$4)^$B15</f>
        <v>2560.47111357033</v>
      </c>
      <c r="I15" s="36" t="n">
        <f aca="false">($E15)/(1+I$4)^$B15</f>
        <v>2192.07061500595</v>
      </c>
      <c r="J15" s="36" t="n">
        <f aca="false">($E15)/(1+J$4)^$B15</f>
        <v>1882.23711402548</v>
      </c>
      <c r="K15" s="36" t="n">
        <f aca="false">($E15)/(1+K$4)^$B15</f>
        <v>1620.80665350593</v>
      </c>
      <c r="L15" s="36" t="n">
        <f aca="false">($E15)/(1+L$4)^$B15</f>
        <v>1399.5221406292</v>
      </c>
      <c r="M15" s="36" t="n">
        <f aca="false">($E15)/(1+M$4)^$B15</f>
        <v>1211.64968393811</v>
      </c>
      <c r="N15" s="36" t="n">
        <f aca="false">($E15)/(1+N$4)^$B15</f>
        <v>1051.67716455228</v>
      </c>
      <c r="O15" s="36" t="n">
        <f aca="false">($E15)/(1+O$4)^$B15</f>
        <v>915.076370394061</v>
      </c>
      <c r="P15" s="36" t="n">
        <f aca="false">($E15)/(1+P$4)^$B15</f>
        <v>798.114491191514</v>
      </c>
      <c r="Q15" s="36" t="n">
        <f aca="false">($E15)/(1+Q$4)^$B15</f>
        <v>697.704118084134</v>
      </c>
    </row>
    <row r="16" customFormat="false" ht="15" hidden="false" customHeight="false" outlineLevel="0" collapsed="false">
      <c r="B16" s="4" t="n">
        <v>9</v>
      </c>
      <c r="C16" s="160"/>
      <c r="D16" s="160" t="n">
        <v>3000</v>
      </c>
      <c r="E16" s="161" t="n">
        <f aca="false">C16+D16</f>
        <v>3000</v>
      </c>
      <c r="F16" s="161"/>
      <c r="G16" s="36" t="n">
        <f aca="false">($E16)/(1+G$4)^$B16</f>
        <v>3000</v>
      </c>
      <c r="H16" s="36" t="n">
        <f aca="false">($E16)/(1+H$4)^$B16</f>
        <v>2510.26579761798</v>
      </c>
      <c r="I16" s="36" t="n">
        <f aca="false">($E16)/(1+I$4)^$B16</f>
        <v>2107.76020673649</v>
      </c>
      <c r="J16" s="36" t="n">
        <f aca="false">($E16)/(1+J$4)^$B16</f>
        <v>1775.69539059008</v>
      </c>
      <c r="K16" s="36" t="n">
        <f aca="false">($E16)/(1+K$4)^$B16</f>
        <v>1500.74690139438</v>
      </c>
      <c r="L16" s="36" t="n">
        <f aca="false">($E16)/(1+L$4)^$B16</f>
        <v>1272.29285511745</v>
      </c>
      <c r="M16" s="36" t="n">
        <f aca="false">($E16)/(1+M$4)^$B16</f>
        <v>1081.83007494474</v>
      </c>
      <c r="N16" s="36" t="n">
        <f aca="false">($E16)/(1+N$4)^$B16</f>
        <v>922.523828554633</v>
      </c>
      <c r="O16" s="36" t="n">
        <f aca="false">($E16)/(1+O$4)^$B16</f>
        <v>788.85893999488</v>
      </c>
      <c r="P16" s="36" t="n">
        <f aca="false">($E16)/(1+P$4)^$B16</f>
        <v>676.368212874165</v>
      </c>
      <c r="Q16" s="36" t="n">
        <f aca="false">($E16)/(1+Q$4)^$B16</f>
        <v>581.420098403445</v>
      </c>
    </row>
    <row r="17" customFormat="false" ht="15" hidden="false" customHeight="false" outlineLevel="0" collapsed="false">
      <c r="B17" s="4" t="n">
        <v>10</v>
      </c>
      <c r="C17" s="160"/>
      <c r="D17" s="160" t="n">
        <v>3000</v>
      </c>
      <c r="E17" s="161" t="n">
        <f aca="false">C17+D17</f>
        <v>3000</v>
      </c>
      <c r="F17" s="161"/>
      <c r="G17" s="36" t="n">
        <f aca="false">($E17)/(1+G$4)^$B17</f>
        <v>3000</v>
      </c>
      <c r="H17" s="36" t="n">
        <f aca="false">($E17)/(1+H$4)^$B17</f>
        <v>2461.04489962547</v>
      </c>
      <c r="I17" s="36" t="n">
        <f aca="false">($E17)/(1+I$4)^$B17</f>
        <v>2026.6925064774</v>
      </c>
      <c r="J17" s="36" t="n">
        <f aca="false">($E17)/(1+J$4)^$B17</f>
        <v>1675.18433074535</v>
      </c>
      <c r="K17" s="36" t="n">
        <f aca="false">($E17)/(1+K$4)^$B17</f>
        <v>1389.58046425405</v>
      </c>
      <c r="L17" s="36" t="n">
        <f aca="false">($E17)/(1+L$4)^$B17</f>
        <v>1156.62986828859</v>
      </c>
      <c r="M17" s="36" t="n">
        <f aca="false">($E17)/(1+M$4)^$B17</f>
        <v>965.919709772088</v>
      </c>
      <c r="N17" s="36" t="n">
        <f aca="false">($E17)/(1+N$4)^$B17</f>
        <v>809.231428556695</v>
      </c>
      <c r="O17" s="36" t="n">
        <f aca="false">($E17)/(1+O$4)^$B17</f>
        <v>680.050810340414</v>
      </c>
      <c r="P17" s="36" t="n">
        <f aca="false">($E17)/(1+P$4)^$B17</f>
        <v>573.193400740818</v>
      </c>
      <c r="Q17" s="36" t="n">
        <f aca="false">($E17)/(1+Q$4)^$B17</f>
        <v>484.516748669537</v>
      </c>
    </row>
    <row r="19" customFormat="false" ht="15" hidden="false" customHeight="false" outlineLevel="0" collapsed="false">
      <c r="D19" s="45"/>
      <c r="E19" s="45"/>
      <c r="F19" s="163" t="s">
        <v>0</v>
      </c>
      <c r="G19" s="164" t="n">
        <f aca="false">G4</f>
        <v>0</v>
      </c>
      <c r="H19" s="164" t="n">
        <f aca="false">H4</f>
        <v>0.02</v>
      </c>
      <c r="I19" s="164" t="n">
        <f aca="false">I4</f>
        <v>0.04</v>
      </c>
      <c r="J19" s="164" t="n">
        <f aca="false">J4</f>
        <v>0.06</v>
      </c>
      <c r="K19" s="164" t="n">
        <f aca="false">K4</f>
        <v>0.08</v>
      </c>
      <c r="L19" s="164" t="n">
        <f aca="false">L4</f>
        <v>0.1</v>
      </c>
      <c r="M19" s="164" t="n">
        <f aca="false">M4</f>
        <v>0.12</v>
      </c>
      <c r="N19" s="164" t="n">
        <f aca="false">N4</f>
        <v>0.14</v>
      </c>
      <c r="O19" s="164" t="n">
        <f aca="false">O4</f>
        <v>0.16</v>
      </c>
      <c r="P19" s="164" t="n">
        <f aca="false">P4</f>
        <v>0.18</v>
      </c>
      <c r="Q19" s="164" t="n">
        <f aca="false">Q4</f>
        <v>0.2</v>
      </c>
    </row>
    <row r="20" customFormat="false" ht="15" hidden="false" customHeight="false" outlineLevel="0" collapsed="false">
      <c r="C20" s="0" t="s">
        <v>414</v>
      </c>
      <c r="D20" s="45"/>
      <c r="E20" s="45"/>
      <c r="F20" s="165" t="s">
        <v>414</v>
      </c>
      <c r="G20" s="156" t="n">
        <f aca="false">SUM(G7:G17)</f>
        <v>10000</v>
      </c>
      <c r="H20" s="156" t="n">
        <f aca="false">SUM(H7:H17)</f>
        <v>6947.75501872671</v>
      </c>
      <c r="I20" s="156" t="n">
        <f aca="false">SUM(I7:I17)</f>
        <v>4332.68733806508</v>
      </c>
      <c r="J20" s="156" t="n">
        <f aca="false">SUM(J7:J17)</f>
        <v>2080.26115424409</v>
      </c>
      <c r="K20" s="156" t="n">
        <f aca="false">SUM(K7:K17)</f>
        <v>130.244196824326</v>
      </c>
      <c r="L20" s="156" t="n">
        <f aca="false">SUM(L7:L17)</f>
        <v>-1566.29868288596</v>
      </c>
      <c r="M20" s="156" t="n">
        <f aca="false">SUM(M7:M17)</f>
        <v>-3049.33091476741</v>
      </c>
      <c r="N20" s="156" t="n">
        <f aca="false">SUM(N7:N17)</f>
        <v>-4351.65306111927</v>
      </c>
      <c r="O20" s="156" t="n">
        <f aca="false">SUM(O7:O17)</f>
        <v>-5500.31756462758</v>
      </c>
      <c r="P20" s="156" t="n">
        <f aca="false">SUM(P7:P17)</f>
        <v>-6517.74111522676</v>
      </c>
      <c r="Q20" s="156" t="n">
        <f aca="false">SUM(Q7:Q17)</f>
        <v>-7422.58374334768</v>
      </c>
    </row>
    <row r="21" customFormat="false" ht="15" hidden="false" customHeight="false" outlineLevel="0" collapsed="false">
      <c r="C21" s="1"/>
      <c r="D21" s="1"/>
      <c r="E21" s="1"/>
      <c r="F21" s="166" t="s">
        <v>415</v>
      </c>
      <c r="G21" s="21" t="n">
        <f aca="false">G20</f>
        <v>10000</v>
      </c>
      <c r="H21" s="21" t="n">
        <f aca="false">$G21-H22*($G21-$Q21)/10</f>
        <v>8257.74162566523</v>
      </c>
      <c r="I21" s="21" t="n">
        <f aca="false">$G21-I22*($G21-$Q21)/10</f>
        <v>6515.48325133046</v>
      </c>
      <c r="J21" s="21" t="n">
        <f aca="false">$G21-J22*($G21-$Q21)/10</f>
        <v>4773.2248769957</v>
      </c>
      <c r="K21" s="21" t="n">
        <f aca="false">$G21-K22*($G21-$Q21)/10</f>
        <v>3030.96650266093</v>
      </c>
      <c r="L21" s="21" t="n">
        <f aca="false">$G21-L22*($G21-$Q21)/10</f>
        <v>1288.70812832616</v>
      </c>
      <c r="M21" s="21" t="n">
        <f aca="false">$G21-M22*($G21-$Q21)/10</f>
        <v>-453.55024600861</v>
      </c>
      <c r="N21" s="21" t="n">
        <f aca="false">$G21-N22*($G21-$Q21)/10</f>
        <v>-2195.80862034338</v>
      </c>
      <c r="O21" s="21" t="n">
        <f aca="false">$G21-O22*($G21-$Q21)/10</f>
        <v>-3938.06699467815</v>
      </c>
      <c r="P21" s="21" t="n">
        <f aca="false">$G21-P22*($G21-$Q21)/10</f>
        <v>-5680.32536901292</v>
      </c>
      <c r="Q21" s="21" t="n">
        <f aca="false">Q20</f>
        <v>-7422.58374334768</v>
      </c>
    </row>
    <row r="22" customFormat="false" ht="15" hidden="false" customHeight="false" outlineLevel="0" collapsed="false">
      <c r="H22" s="165" t="n">
        <v>1</v>
      </c>
      <c r="I22" s="165" t="n">
        <v>2</v>
      </c>
      <c r="J22" s="165" t="n">
        <v>3</v>
      </c>
      <c r="K22" s="165" t="n">
        <v>4</v>
      </c>
      <c r="L22" s="165" t="n">
        <v>5</v>
      </c>
      <c r="M22" s="165" t="n">
        <v>6</v>
      </c>
      <c r="N22" s="165" t="n">
        <v>7</v>
      </c>
      <c r="O22" s="165" t="n">
        <v>8</v>
      </c>
      <c r="P22" s="165" t="n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5" activeCellId="0" sqref="C2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33.14"/>
    <col collapsed="false" customWidth="true" hidden="false" outlineLevel="0" max="3" min="3" style="0" width="18.29"/>
    <col collapsed="false" customWidth="true" hidden="false" outlineLevel="0" max="4" min="4" style="0" width="3.86"/>
    <col collapsed="false" customWidth="true" hidden="false" outlineLevel="0" max="10" min="10" style="0" width="24.42"/>
    <col collapsed="false" customWidth="true" hidden="false" outlineLevel="0" max="11" min="11" style="0" width="23.86"/>
  </cols>
  <sheetData>
    <row r="1" customFormat="false" ht="15" hidden="false" customHeight="false" outlineLevel="0" collapsed="false">
      <c r="A1" s="0" t="s">
        <v>416</v>
      </c>
    </row>
    <row r="2" customFormat="false" ht="15" hidden="false" customHeight="false" outlineLevel="0" collapsed="false">
      <c r="B2" s="5" t="s">
        <v>417</v>
      </c>
      <c r="C2" s="5"/>
      <c r="F2" s="5" t="s">
        <v>384</v>
      </c>
      <c r="G2" s="5"/>
      <c r="H2" s="5"/>
      <c r="J2" s="5" t="s">
        <v>270</v>
      </c>
      <c r="K2" s="5"/>
    </row>
    <row r="4" customFormat="false" ht="15" hidden="false" customHeight="false" outlineLevel="0" collapsed="false">
      <c r="C4" s="159" t="n">
        <v>0.0691068177794871</v>
      </c>
      <c r="F4" s="0" t="s">
        <v>387</v>
      </c>
      <c r="H4" s="55" t="n">
        <f aca="false">IRR(B7:B11)</f>
        <v>0.0691069414547192</v>
      </c>
      <c r="J4" s="0" t="s">
        <v>0</v>
      </c>
      <c r="K4" s="42" t="n">
        <f aca="false">C4</f>
        <v>0.0691068177794871</v>
      </c>
    </row>
    <row r="6" customFormat="false" ht="15" hidden="false" customHeight="false" outlineLevel="0" collapsed="false">
      <c r="A6" s="0" t="s">
        <v>33</v>
      </c>
      <c r="B6" s="19" t="s">
        <v>418</v>
      </c>
      <c r="C6" s="46" t="s">
        <v>393</v>
      </c>
      <c r="I6" s="0" t="s">
        <v>33</v>
      </c>
      <c r="J6" s="0" t="s">
        <v>419</v>
      </c>
      <c r="K6" s="19" t="s">
        <v>420</v>
      </c>
    </row>
    <row r="7" customFormat="false" ht="15" hidden="false" customHeight="false" outlineLevel="0" collapsed="false">
      <c r="A7" s="4" t="n">
        <v>0</v>
      </c>
      <c r="B7" s="101" t="n">
        <v>-700</v>
      </c>
      <c r="C7" s="36" t="n">
        <f aca="false">B7/(1+$C$4)^A7</f>
        <v>-700</v>
      </c>
      <c r="I7" s="4" t="n">
        <v>0</v>
      </c>
      <c r="J7" s="28" t="n">
        <v>700</v>
      </c>
    </row>
    <row r="8" customFormat="false" ht="15" hidden="false" customHeight="false" outlineLevel="0" collapsed="false">
      <c r="A8" s="4" t="n">
        <v>1</v>
      </c>
      <c r="B8" s="160" t="n">
        <v>100</v>
      </c>
      <c r="C8" s="36" t="n">
        <f aca="false">B8/(1+$C$4)^A8</f>
        <v>93.5360230960812</v>
      </c>
      <c r="I8" s="4" t="n">
        <v>1</v>
      </c>
      <c r="J8" s="28" t="n">
        <f aca="false">J7*(1+$K$4)</f>
        <v>748.374772445641</v>
      </c>
    </row>
    <row r="9" customFormat="false" ht="15" hidden="false" customHeight="false" outlineLevel="0" collapsed="false">
      <c r="A9" s="4" t="n">
        <v>2</v>
      </c>
      <c r="B9" s="101" t="n">
        <v>175</v>
      </c>
      <c r="C9" s="36" t="n">
        <f aca="false">B9/(1+$C$4)^A9</f>
        <v>153.107283291036</v>
      </c>
      <c r="I9" s="4" t="n">
        <v>2</v>
      </c>
      <c r="J9" s="28" t="n">
        <f aca="false">J8*(1+$K$4)</f>
        <v>800.092571475807</v>
      </c>
    </row>
    <row r="10" customFormat="false" ht="15" hidden="false" customHeight="false" outlineLevel="0" collapsed="false">
      <c r="A10" s="4" t="n">
        <v>3</v>
      </c>
      <c r="B10" s="160" t="n">
        <v>250</v>
      </c>
      <c r="C10" s="36" t="n">
        <f aca="false">B10/(1+$C$4)^A10</f>
        <v>204.586376944123</v>
      </c>
      <c r="I10" s="4" t="n">
        <v>3</v>
      </c>
      <c r="J10" s="28" t="n">
        <f aca="false">J9*(1+$K$4)</f>
        <v>855.384423019507</v>
      </c>
    </row>
    <row r="11" customFormat="false" ht="15" hidden="false" customHeight="false" outlineLevel="0" collapsed="false">
      <c r="A11" s="4" t="n">
        <v>4</v>
      </c>
      <c r="B11" s="101" t="n">
        <v>325</v>
      </c>
      <c r="C11" s="36" t="n">
        <f aca="false">B11/(1+$C$4)^A11</f>
        <v>248.770549026858</v>
      </c>
      <c r="I11" s="4" t="n">
        <v>4</v>
      </c>
      <c r="J11" s="28" t="n">
        <f aca="false">J10*(1+$K$4)</f>
        <v>914.497318472528</v>
      </c>
    </row>
    <row r="12" customFormat="false" ht="15" hidden="false" customHeight="false" outlineLevel="0" collapsed="false">
      <c r="B12" s="45"/>
      <c r="C12" s="1"/>
      <c r="I12" s="4" t="n">
        <v>5</v>
      </c>
      <c r="J12" s="28" t="n">
        <f aca="false">J11*(1+$K$4)</f>
        <v>977.695318020038</v>
      </c>
      <c r="K12" s="0" t="n">
        <f aca="false">J12/(1+K4)^5</f>
        <v>700</v>
      </c>
    </row>
    <row r="13" customFormat="false" ht="15" hidden="false" customHeight="false" outlineLevel="0" collapsed="false">
      <c r="A13" s="0" t="s">
        <v>399</v>
      </c>
      <c r="B13" s="45"/>
      <c r="C13" s="28" t="n">
        <f aca="false">SUM(C7:C11)</f>
        <v>0.000232358098287477</v>
      </c>
    </row>
    <row r="14" customFormat="false" ht="15" hidden="false" customHeight="false" outlineLevel="0" collapsed="false">
      <c r="B14" s="1"/>
      <c r="C14" s="1"/>
    </row>
    <row r="15" customFormat="false" ht="15" hidden="false" customHeight="false" outlineLevel="0" collapsed="false">
      <c r="B15" s="0" t="s">
        <v>421</v>
      </c>
      <c r="J15" s="0" t="s">
        <v>422</v>
      </c>
    </row>
    <row r="16" customFormat="false" ht="15" hidden="false" customHeight="false" outlineLevel="0" collapsed="false">
      <c r="B16" s="0" t="s">
        <v>400</v>
      </c>
      <c r="J16" s="0" t="s">
        <v>423</v>
      </c>
    </row>
    <row r="17" customFormat="false" ht="15" hidden="false" customHeight="false" outlineLevel="0" collapsed="false">
      <c r="B17" s="0" t="s">
        <v>401</v>
      </c>
    </row>
    <row r="18" customFormat="false" ht="15" hidden="false" customHeight="false" outlineLevel="0" collapsed="false">
      <c r="J18" s="0" t="s">
        <v>424</v>
      </c>
    </row>
    <row r="19" customFormat="false" ht="15" hidden="false" customHeight="false" outlineLevel="0" collapsed="false">
      <c r="B19" s="167" t="n">
        <f aca="false">IRR(B7:B11)</f>
        <v>0.0691069414547192</v>
      </c>
    </row>
    <row r="21" customFormat="false" ht="15" hidden="false" customHeight="false" outlineLevel="0" collapsed="false">
      <c r="B21" s="168" t="s">
        <v>425</v>
      </c>
    </row>
    <row r="22" customFormat="false" ht="15" hidden="false" customHeight="false" outlineLevel="0" collapsed="false">
      <c r="B22" s="169" t="s">
        <v>426</v>
      </c>
      <c r="C22" s="169" t="n">
        <f aca="false">-B7</f>
        <v>700</v>
      </c>
    </row>
    <row r="23" customFormat="false" ht="15" hidden="false" customHeight="false" outlineLevel="0" collapsed="false">
      <c r="B23" s="169" t="s">
        <v>427</v>
      </c>
      <c r="C23" s="170" t="n">
        <f aca="false">C22+SUM(B8:B11)</f>
        <v>1550</v>
      </c>
    </row>
    <row r="24" customFormat="false" ht="15" hidden="false" customHeight="false" outlineLevel="0" collapsed="false">
      <c r="B24" s="169" t="s">
        <v>428</v>
      </c>
      <c r="C24" s="170" t="n">
        <f aca="false">C23-C22</f>
        <v>850</v>
      </c>
    </row>
    <row r="25" customFormat="false" ht="15" hidden="false" customHeight="false" outlineLevel="0" collapsed="false">
      <c r="B25" s="169" t="s">
        <v>425</v>
      </c>
      <c r="C25" s="171" t="n">
        <f aca="false">C24/C22</f>
        <v>1.21428571428571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0"/>
  <sheetViews>
    <sheetView showFormulas="false" showGridLines="true" showRowColHeaders="true" showZeros="true" rightToLeft="false" tabSelected="false" showOutlineSymbols="true" defaultGridColor="true" view="normal" topLeftCell="V1" colorId="64" zoomScale="120" zoomScaleNormal="120" zoomScalePageLayoutView="100" workbookViewId="0">
      <selection pane="topLeft" activeCell="AE4" activeCellId="0" sqref="A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9.86"/>
    <col collapsed="false" customWidth="true" hidden="false" outlineLevel="0" max="3" min="3" style="0" width="23.29"/>
    <col collapsed="false" customWidth="true" hidden="false" outlineLevel="0" max="4" min="4" style="0" width="15.29"/>
    <col collapsed="false" customWidth="true" hidden="false" outlineLevel="0" max="5" min="5" style="0" width="14.29"/>
    <col collapsed="false" customWidth="true" hidden="false" outlineLevel="0" max="6" min="6" style="0" width="18.29"/>
    <col collapsed="false" customWidth="true" hidden="false" outlineLevel="0" max="7" min="7" style="0" width="3.86"/>
    <col collapsed="false" customWidth="true" hidden="false" outlineLevel="0" max="8" min="8" style="0" width="9.86"/>
    <col collapsed="false" customWidth="true" hidden="false" outlineLevel="0" max="9" min="9" style="0" width="23.29"/>
    <col collapsed="false" customWidth="true" hidden="false" outlineLevel="0" max="10" min="10" style="0" width="15.29"/>
    <col collapsed="false" customWidth="true" hidden="false" outlineLevel="0" max="11" min="11" style="0" width="14.29"/>
    <col collapsed="false" customWidth="true" hidden="false" outlineLevel="0" max="12" min="12" style="0" width="18.29"/>
    <col collapsed="false" customWidth="true" hidden="false" outlineLevel="0" max="13" min="13" style="0" width="3.86"/>
    <col collapsed="false" customWidth="true" hidden="false" outlineLevel="0" max="14" min="14" style="0" width="9.86"/>
    <col collapsed="false" customWidth="true" hidden="false" outlineLevel="0" max="15" min="15" style="0" width="23.29"/>
    <col collapsed="false" customWidth="true" hidden="false" outlineLevel="0" max="16" min="16" style="0" width="15.29"/>
    <col collapsed="false" customWidth="true" hidden="false" outlineLevel="0" max="17" min="17" style="0" width="14.29"/>
    <col collapsed="false" customWidth="true" hidden="false" outlineLevel="0" max="18" min="18" style="0" width="18.29"/>
    <col collapsed="false" customWidth="true" hidden="false" outlineLevel="0" max="19" min="19" style="0" width="3.86"/>
    <col collapsed="false" customWidth="true" hidden="false" outlineLevel="0" max="20" min="20" style="0" width="14.14"/>
    <col collapsed="false" customWidth="true" hidden="false" outlineLevel="0" max="21" min="21" style="0" width="20.29"/>
    <col collapsed="false" customWidth="true" hidden="false" outlineLevel="0" max="22" min="22" style="0" width="4.71"/>
    <col collapsed="false" customWidth="true" hidden="false" outlineLevel="0" max="23" min="23" style="0" width="13.15"/>
    <col collapsed="false" customWidth="true" hidden="false" outlineLevel="0" max="26" min="26" style="0" width="3.42"/>
    <col collapsed="false" customWidth="true" hidden="false" outlineLevel="0" max="27" min="27" style="0" width="9.86"/>
    <col collapsed="false" customWidth="true" hidden="false" outlineLevel="0" max="28" min="28" style="0" width="23.29"/>
    <col collapsed="false" customWidth="true" hidden="false" outlineLevel="0" max="29" min="29" style="0" width="15.29"/>
    <col collapsed="false" customWidth="true" hidden="false" outlineLevel="0" max="30" min="30" style="0" width="14.29"/>
    <col collapsed="false" customWidth="true" hidden="false" outlineLevel="0" max="31" min="31" style="0" width="18.29"/>
    <col collapsed="false" customWidth="true" hidden="false" outlineLevel="0" max="32" min="32" style="0" width="3.86"/>
  </cols>
  <sheetData>
    <row r="1" customFormat="false" ht="15" hidden="false" customHeight="false" outlineLevel="0" collapsed="false">
      <c r="A1" s="29" t="s">
        <v>429</v>
      </c>
      <c r="AA1" s="29" t="s">
        <v>430</v>
      </c>
    </row>
    <row r="2" customFormat="false" ht="15" hidden="false" customHeight="false" outlineLevel="0" collapsed="false">
      <c r="C2" s="5" t="s">
        <v>431</v>
      </c>
      <c r="D2" s="5"/>
      <c r="E2" s="5"/>
      <c r="F2" s="5"/>
      <c r="I2" s="5" t="s">
        <v>432</v>
      </c>
      <c r="J2" s="5"/>
      <c r="K2" s="5"/>
      <c r="L2" s="5"/>
      <c r="O2" s="5" t="s">
        <v>433</v>
      </c>
      <c r="P2" s="5"/>
      <c r="Q2" s="5"/>
      <c r="R2" s="5"/>
      <c r="W2" s="5" t="s">
        <v>434</v>
      </c>
      <c r="X2" s="5"/>
      <c r="Y2" s="5"/>
      <c r="AB2" s="5" t="s">
        <v>431</v>
      </c>
      <c r="AC2" s="5"/>
      <c r="AD2" s="5"/>
      <c r="AE2" s="5"/>
    </row>
    <row r="3" customFormat="false" ht="15" hidden="false" customHeight="false" outlineLevel="0" collapsed="false">
      <c r="T3" s="5" t="s">
        <v>435</v>
      </c>
      <c r="U3" s="5"/>
      <c r="AG3" s="5" t="s">
        <v>435</v>
      </c>
      <c r="AH3" s="5"/>
    </row>
    <row r="4" customFormat="false" ht="15" hidden="false" customHeight="false" outlineLevel="0" collapsed="false">
      <c r="C4" s="0" t="s">
        <v>436</v>
      </c>
      <c r="F4" s="159" t="n">
        <v>0.0400000003406614</v>
      </c>
      <c r="I4" s="0" t="s">
        <v>436</v>
      </c>
      <c r="L4" s="159" t="n">
        <v>0.0151884605891247</v>
      </c>
      <c r="O4" s="0" t="s">
        <v>436</v>
      </c>
      <c r="R4" s="172" t="n">
        <v>0.0440818110639133</v>
      </c>
      <c r="T4" s="42" t="n">
        <f aca="false">(1+R4)^2-1</f>
        <v>0.0901068281945014</v>
      </c>
      <c r="U4" s="32" t="s">
        <v>437</v>
      </c>
      <c r="W4" s="0" t="s">
        <v>387</v>
      </c>
      <c r="Y4" s="26" t="n">
        <f aca="false">IRR(Q9:Q27)</f>
        <v>0.0440818144453106</v>
      </c>
      <c r="AB4" s="0" t="s">
        <v>436</v>
      </c>
      <c r="AE4" s="172" t="n">
        <v>0.04077</v>
      </c>
      <c r="AG4" s="42" t="n">
        <f aca="false">(1+AE4)^2-1</f>
        <v>0.0832021929</v>
      </c>
      <c r="AH4" s="32" t="s">
        <v>438</v>
      </c>
    </row>
    <row r="5" customFormat="false" ht="15" hidden="false" customHeight="false" outlineLevel="0" collapsed="false">
      <c r="U5" s="0" t="s">
        <v>439</v>
      </c>
      <c r="W5" s="0" t="s">
        <v>389</v>
      </c>
    </row>
    <row r="6" customFormat="false" ht="15" hidden="false" customHeight="false" outlineLevel="0" collapsed="false">
      <c r="B6" s="0" t="s">
        <v>208</v>
      </c>
      <c r="C6" s="19" t="s">
        <v>440</v>
      </c>
      <c r="D6" s="19" t="s">
        <v>261</v>
      </c>
      <c r="E6" s="4" t="s">
        <v>392</v>
      </c>
      <c r="F6" s="46" t="s">
        <v>393</v>
      </c>
      <c r="H6" s="0" t="s">
        <v>208</v>
      </c>
      <c r="I6" s="19" t="s">
        <v>440</v>
      </c>
      <c r="J6" s="19" t="s">
        <v>261</v>
      </c>
      <c r="K6" s="4" t="s">
        <v>392</v>
      </c>
      <c r="L6" s="46" t="s">
        <v>393</v>
      </c>
      <c r="N6" s="0" t="s">
        <v>208</v>
      </c>
      <c r="O6" s="19" t="s">
        <v>440</v>
      </c>
      <c r="P6" s="19" t="s">
        <v>261</v>
      </c>
      <c r="Q6" s="4" t="s">
        <v>392</v>
      </c>
      <c r="R6" s="46" t="s">
        <v>393</v>
      </c>
      <c r="T6" s="42" t="n">
        <f aca="false">(1+(2*R4)/2)^2-1</f>
        <v>0.0901068281945014</v>
      </c>
      <c r="U6" s="32" t="s">
        <v>441</v>
      </c>
      <c r="W6" s="0" t="s">
        <v>394</v>
      </c>
      <c r="AA6" s="0" t="s">
        <v>208</v>
      </c>
      <c r="AB6" s="19" t="s">
        <v>440</v>
      </c>
      <c r="AC6" s="19" t="s">
        <v>261</v>
      </c>
      <c r="AD6" s="4" t="s">
        <v>392</v>
      </c>
      <c r="AE6" s="46" t="s">
        <v>393</v>
      </c>
    </row>
    <row r="7" customFormat="false" ht="15" hidden="false" customHeight="false" outlineLevel="0" collapsed="false">
      <c r="B7" s="4" t="n">
        <v>0</v>
      </c>
      <c r="C7" s="160" t="n">
        <v>-1000</v>
      </c>
      <c r="D7" s="101"/>
      <c r="E7" s="161" t="n">
        <f aca="false">C7+D7</f>
        <v>-1000</v>
      </c>
      <c r="F7" s="36" t="n">
        <f aca="false">(C7+D7)/(1+$F$4)^B7</f>
        <v>-1000</v>
      </c>
      <c r="H7" s="4" t="n">
        <v>0</v>
      </c>
      <c r="I7" s="160" t="n">
        <v>-1000</v>
      </c>
      <c r="J7" s="101"/>
      <c r="K7" s="161" t="n">
        <f aca="false">I7+J7</f>
        <v>-1000</v>
      </c>
      <c r="L7" s="36" t="n">
        <f aca="false">(I7+J7)/(1+$F$4)^H7</f>
        <v>-1000</v>
      </c>
      <c r="N7" s="4"/>
      <c r="O7" s="160"/>
      <c r="P7" s="101"/>
      <c r="Q7" s="161" t="n">
        <f aca="false">O7+P7</f>
        <v>0</v>
      </c>
      <c r="R7" s="36" t="n">
        <f aca="false">(O7+P7)/(1+$F$4)^N7</f>
        <v>0</v>
      </c>
      <c r="U7" s="0" t="s">
        <v>442</v>
      </c>
      <c r="AA7" s="4" t="n">
        <v>0</v>
      </c>
      <c r="AB7" s="160" t="n">
        <v>-990</v>
      </c>
      <c r="AC7" s="101"/>
      <c r="AD7" s="161" t="n">
        <f aca="false">AB7+AC7</f>
        <v>-990</v>
      </c>
      <c r="AE7" s="36" t="n">
        <f aca="false">(AB7+AC7)/(1+AE$4)^AA7</f>
        <v>-990</v>
      </c>
    </row>
    <row r="8" customFormat="false" ht="15" hidden="false" customHeight="false" outlineLevel="0" collapsed="false">
      <c r="B8" s="4" t="n">
        <v>1</v>
      </c>
      <c r="C8" s="160"/>
      <c r="D8" s="160" t="n">
        <v>40</v>
      </c>
      <c r="E8" s="161" t="n">
        <f aca="false">C8+D8</f>
        <v>40</v>
      </c>
      <c r="F8" s="36" t="n">
        <f aca="false">(C8+D8)/(1+$F$4)^B8</f>
        <v>38.46153844894</v>
      </c>
      <c r="H8" s="4" t="n">
        <v>1</v>
      </c>
      <c r="I8" s="160"/>
      <c r="J8" s="160" t="n">
        <f aca="false">40</f>
        <v>40</v>
      </c>
      <c r="K8" s="161" t="n">
        <f aca="false">I8+J8</f>
        <v>40</v>
      </c>
      <c r="L8" s="36" t="n">
        <f aca="false">(I8+J8)/(1+$L$4)^H8</f>
        <v>39.4015510940575</v>
      </c>
      <c r="N8" s="4"/>
      <c r="O8" s="160"/>
      <c r="P8" s="160"/>
      <c r="Q8" s="161" t="n">
        <f aca="false">O8+P8</f>
        <v>0</v>
      </c>
      <c r="R8" s="36" t="n">
        <f aca="false">(O8+P8)/(1+$R$4)^N8</f>
        <v>0</v>
      </c>
      <c r="T8" s="0" t="s">
        <v>443</v>
      </c>
      <c r="AA8" s="4" t="n">
        <v>1</v>
      </c>
      <c r="AB8" s="160"/>
      <c r="AC8" s="160" t="n">
        <v>40</v>
      </c>
      <c r="AD8" s="161" t="n">
        <f aca="false">AB8+AC8</f>
        <v>40</v>
      </c>
      <c r="AE8" s="36" t="n">
        <f aca="false">(AB8+AC8)/(1+AE$4)^AA8</f>
        <v>38.4330831980169</v>
      </c>
    </row>
    <row r="9" customFormat="false" ht="15" hidden="false" customHeight="false" outlineLevel="0" collapsed="false">
      <c r="B9" s="4" t="n">
        <v>2</v>
      </c>
      <c r="C9" s="160"/>
      <c r="D9" s="160" t="n">
        <v>40</v>
      </c>
      <c r="E9" s="161" t="n">
        <f aca="false">C9+D9</f>
        <v>40</v>
      </c>
      <c r="F9" s="36" t="n">
        <f aca="false">(C9+D9)/(1+$F$4)^B9</f>
        <v>36.9822484964823</v>
      </c>
      <c r="H9" s="4" t="n">
        <v>2</v>
      </c>
      <c r="I9" s="160"/>
      <c r="J9" s="160" t="n">
        <f aca="false">40+950</f>
        <v>990</v>
      </c>
      <c r="K9" s="161" t="n">
        <f aca="false">I9+J9</f>
        <v>990</v>
      </c>
      <c r="L9" s="36" t="n">
        <f aca="false">(I9+J9)/(1+$L$4)^H9</f>
        <v>960.598378957156</v>
      </c>
      <c r="N9" s="4" t="n">
        <v>0</v>
      </c>
      <c r="O9" s="160" t="n">
        <v>-950</v>
      </c>
      <c r="P9" s="160"/>
      <c r="Q9" s="161" t="n">
        <f aca="false">O9+P9</f>
        <v>-950</v>
      </c>
      <c r="R9" s="36" t="n">
        <f aca="false">(O9+P9)/(1+$R$4)^N9</f>
        <v>-950</v>
      </c>
      <c r="AA9" s="4" t="n">
        <v>2</v>
      </c>
      <c r="AB9" s="160"/>
      <c r="AC9" s="160" t="n">
        <v>40</v>
      </c>
      <c r="AD9" s="161" t="n">
        <f aca="false">AB9+AC9</f>
        <v>40</v>
      </c>
      <c r="AE9" s="36" t="n">
        <f aca="false">(AB9+AC9)/(1+AE$4)^AA9</f>
        <v>36.9275471026421</v>
      </c>
    </row>
    <row r="10" customFormat="false" ht="15" hidden="false" customHeight="false" outlineLevel="0" collapsed="false">
      <c r="B10" s="4" t="n">
        <v>3</v>
      </c>
      <c r="C10" s="160"/>
      <c r="D10" s="160" t="n">
        <v>40</v>
      </c>
      <c r="E10" s="161" t="n">
        <f aca="false">C10+D10</f>
        <v>40</v>
      </c>
      <c r="F10" s="36" t="n">
        <f aca="false">(C10+D10)/(1+$F$4)^B10</f>
        <v>35.5598543118928</v>
      </c>
      <c r="H10" s="4" t="n">
        <v>3</v>
      </c>
      <c r="I10" s="160"/>
      <c r="J10" s="160"/>
      <c r="K10" s="161" t="n">
        <f aca="false">I10+J10</f>
        <v>0</v>
      </c>
      <c r="L10" s="36" t="n">
        <f aca="false">(I10+J10)/(1+$L$4)^H10</f>
        <v>0</v>
      </c>
      <c r="N10" s="4" t="n">
        <f aca="false">N9+1</f>
        <v>1</v>
      </c>
      <c r="O10" s="160"/>
      <c r="P10" s="160" t="n">
        <v>40</v>
      </c>
      <c r="Q10" s="161" t="n">
        <f aca="false">O10+P10</f>
        <v>40</v>
      </c>
      <c r="R10" s="36" t="n">
        <f aca="false">(O10+P10)/(1+$R$4)^N10</f>
        <v>38.3111740633047</v>
      </c>
      <c r="AA10" s="4" t="n">
        <v>3</v>
      </c>
      <c r="AB10" s="160"/>
      <c r="AC10" s="160" t="n">
        <v>40</v>
      </c>
      <c r="AD10" s="161" t="n">
        <f aca="false">AB10+AC10</f>
        <v>40</v>
      </c>
      <c r="AE10" s="36" t="n">
        <f aca="false">(AB10+AC10)/(1+AE$4)^AA10</f>
        <v>35.4809872523633</v>
      </c>
    </row>
    <row r="11" customFormat="false" ht="15" hidden="false" customHeight="false" outlineLevel="0" collapsed="false">
      <c r="B11" s="4" t="n">
        <v>4</v>
      </c>
      <c r="C11" s="160"/>
      <c r="D11" s="160" t="n">
        <v>40</v>
      </c>
      <c r="E11" s="161" t="n">
        <f aca="false">C11+D11</f>
        <v>40</v>
      </c>
      <c r="F11" s="36" t="n">
        <f aca="false">(C11+D11)/(1+$F$4)^B11</f>
        <v>34.1921675963892</v>
      </c>
      <c r="H11" s="4" t="n">
        <v>4</v>
      </c>
      <c r="I11" s="160"/>
      <c r="J11" s="160"/>
      <c r="K11" s="161" t="n">
        <f aca="false">I11+J11</f>
        <v>0</v>
      </c>
      <c r="L11" s="36" t="n">
        <f aca="false">(I11+J11)/(1+$L$4)^H11</f>
        <v>0</v>
      </c>
      <c r="N11" s="4" t="n">
        <f aca="false">N10+1</f>
        <v>2</v>
      </c>
      <c r="O11" s="160"/>
      <c r="P11" s="160" t="n">
        <v>40</v>
      </c>
      <c r="Q11" s="161" t="n">
        <f aca="false">O11+P11</f>
        <v>40</v>
      </c>
      <c r="R11" s="36" t="n">
        <f aca="false">(O11+P11)/(1+$R$4)^N11</f>
        <v>36.6936514527208</v>
      </c>
      <c r="AA11" s="4" t="n">
        <v>4</v>
      </c>
      <c r="AB11" s="160"/>
      <c r="AC11" s="160" t="n">
        <v>40</v>
      </c>
      <c r="AD11" s="161" t="n">
        <f aca="false">AB11+AC11</f>
        <v>40</v>
      </c>
      <c r="AE11" s="36" t="n">
        <f aca="false">(AB11+AC11)/(1+AE$4)^AA11</f>
        <v>34.0910933754463</v>
      </c>
    </row>
    <row r="12" customFormat="false" ht="15" hidden="false" customHeight="false" outlineLevel="0" collapsed="false">
      <c r="B12" s="4" t="n">
        <v>5</v>
      </c>
      <c r="C12" s="160"/>
      <c r="D12" s="160" t="n">
        <v>40</v>
      </c>
      <c r="E12" s="161" t="n">
        <f aca="false">C12+D12</f>
        <v>40</v>
      </c>
      <c r="F12" s="36" t="n">
        <f aca="false">(C12+D12)/(1+$F$4)^B12</f>
        <v>32.8770842165282</v>
      </c>
      <c r="H12" s="4" t="n">
        <v>5</v>
      </c>
      <c r="I12" s="160"/>
      <c r="J12" s="160"/>
      <c r="K12" s="161" t="n">
        <f aca="false">I12+J12</f>
        <v>0</v>
      </c>
      <c r="L12" s="36" t="n">
        <f aca="false">(I12+J12)/(1+$L$4)^H12</f>
        <v>0</v>
      </c>
      <c r="N12" s="4" t="n">
        <f aca="false">N11+1</f>
        <v>3</v>
      </c>
      <c r="O12" s="160"/>
      <c r="P12" s="160" t="n">
        <v>40</v>
      </c>
      <c r="Q12" s="161" t="n">
        <f aca="false">O12+P12</f>
        <v>40</v>
      </c>
      <c r="R12" s="36" t="n">
        <f aca="false">(O12+P12)/(1+$R$4)^N12</f>
        <v>35.1444216955855</v>
      </c>
      <c r="AA12" s="4" t="n">
        <v>5</v>
      </c>
      <c r="AB12" s="160"/>
      <c r="AC12" s="160" t="n">
        <v>40</v>
      </c>
      <c r="AD12" s="161" t="n">
        <f aca="false">AB12+AC12</f>
        <v>40</v>
      </c>
      <c r="AE12" s="36" t="n">
        <f aca="false">(AB12+AC12)/(1+AE$4)^AA12</f>
        <v>32.7556457002473</v>
      </c>
    </row>
    <row r="13" customFormat="false" ht="15" hidden="false" customHeight="false" outlineLevel="0" collapsed="false">
      <c r="B13" s="4" t="n">
        <v>6</v>
      </c>
      <c r="C13" s="160"/>
      <c r="D13" s="160" t="n">
        <v>40</v>
      </c>
      <c r="E13" s="161" t="n">
        <f aca="false">C13+D13</f>
        <v>40</v>
      </c>
      <c r="F13" s="36" t="n">
        <f aca="false">(C13+D13)/(1+$F$4)^B13</f>
        <v>31.6125809670759</v>
      </c>
      <c r="H13" s="4" t="n">
        <v>6</v>
      </c>
      <c r="I13" s="160"/>
      <c r="J13" s="160"/>
      <c r="K13" s="161" t="n">
        <f aca="false">I13+J13</f>
        <v>0</v>
      </c>
      <c r="L13" s="36" t="n">
        <f aca="false">(I13+J13)/(1+$L$4)^H13</f>
        <v>0</v>
      </c>
      <c r="N13" s="4" t="n">
        <f aca="false">N12+1</f>
        <v>4</v>
      </c>
      <c r="O13" s="160"/>
      <c r="P13" s="160" t="n">
        <v>40</v>
      </c>
      <c r="Q13" s="161" t="n">
        <f aca="false">O13+P13</f>
        <v>40</v>
      </c>
      <c r="R13" s="36" t="n">
        <f aca="false">(O13+P13)/(1+$R$4)^N13</f>
        <v>33.6606014233439</v>
      </c>
      <c r="AA13" s="4" t="n">
        <v>6</v>
      </c>
      <c r="AB13" s="160"/>
      <c r="AC13" s="160" t="n">
        <v>40</v>
      </c>
      <c r="AD13" s="161" t="n">
        <f aca="false">AB13+AC13</f>
        <v>40</v>
      </c>
      <c r="AE13" s="36" t="n">
        <f aca="false">(AB13+AC13)/(1+AE$4)^AA13</f>
        <v>31.4725114100592</v>
      </c>
    </row>
    <row r="14" customFormat="false" ht="15" hidden="false" customHeight="false" outlineLevel="0" collapsed="false">
      <c r="B14" s="4" t="n">
        <v>7</v>
      </c>
      <c r="C14" s="160"/>
      <c r="D14" s="160" t="n">
        <v>40</v>
      </c>
      <c r="E14" s="161" t="n">
        <f aca="false">C14+D14</f>
        <v>40</v>
      </c>
      <c r="F14" s="36" t="n">
        <f aca="false">(C14+D14)/(1+$F$4)^B14</f>
        <v>30.3967124583855</v>
      </c>
      <c r="H14" s="4" t="n">
        <v>7</v>
      </c>
      <c r="I14" s="160"/>
      <c r="J14" s="160"/>
      <c r="K14" s="161" t="n">
        <f aca="false">I14+J14</f>
        <v>0</v>
      </c>
      <c r="L14" s="36" t="n">
        <f aca="false">(I14+J14)/(1+$L$4)^H14</f>
        <v>0</v>
      </c>
      <c r="N14" s="4" t="n">
        <f aca="false">N13+1</f>
        <v>5</v>
      </c>
      <c r="O14" s="160"/>
      <c r="P14" s="160" t="n">
        <v>40</v>
      </c>
      <c r="Q14" s="161" t="n">
        <f aca="false">O14+P14</f>
        <v>40</v>
      </c>
      <c r="R14" s="36" t="n">
        <f aca="false">(O14+P14)/(1+$R$4)^N14</f>
        <v>32.2394290051313</v>
      </c>
      <c r="AA14" s="4" t="n">
        <v>7</v>
      </c>
      <c r="AB14" s="160"/>
      <c r="AC14" s="160" t="n">
        <v>40</v>
      </c>
      <c r="AD14" s="161" t="n">
        <f aca="false">AB14+AC14</f>
        <v>40</v>
      </c>
      <c r="AE14" s="36" t="n">
        <f aca="false">(AB14+AC14)/(1+AE$4)^AA14</f>
        <v>30.2396412368335</v>
      </c>
    </row>
    <row r="15" customFormat="false" ht="15" hidden="false" customHeight="false" outlineLevel="0" collapsed="false">
      <c r="B15" s="4" t="n">
        <v>8</v>
      </c>
      <c r="C15" s="160"/>
      <c r="D15" s="160" t="n">
        <v>40</v>
      </c>
      <c r="E15" s="161" t="n">
        <f aca="false">C15+D15</f>
        <v>40</v>
      </c>
      <c r="F15" s="36" t="n">
        <f aca="false">(C15+D15)/(1+$F$4)^B15</f>
        <v>29.2276081234892</v>
      </c>
      <c r="H15" s="4" t="n">
        <v>8</v>
      </c>
      <c r="I15" s="160"/>
      <c r="J15" s="160"/>
      <c r="K15" s="161" t="n">
        <f aca="false">I15+J15</f>
        <v>0</v>
      </c>
      <c r="L15" s="36" t="n">
        <f aca="false">(I15+J15)/(1+$L$4)^H15</f>
        <v>0</v>
      </c>
      <c r="N15" s="4" t="n">
        <f aca="false">N14+1</f>
        <v>6</v>
      </c>
      <c r="O15" s="160"/>
      <c r="P15" s="160" t="n">
        <v>40</v>
      </c>
      <c r="Q15" s="161" t="n">
        <f aca="false">O15+P15</f>
        <v>40</v>
      </c>
      <c r="R15" s="36" t="n">
        <f aca="false">(O15+P15)/(1+$R$4)^N15</f>
        <v>30.8782594079285</v>
      </c>
      <c r="AA15" s="4" t="n">
        <v>8</v>
      </c>
      <c r="AB15" s="160"/>
      <c r="AC15" s="160" t="n">
        <v>40</v>
      </c>
      <c r="AD15" s="161" t="n">
        <f aca="false">AB15+AC15</f>
        <v>40</v>
      </c>
      <c r="AE15" s="36" t="n">
        <f aca="false">(AB15+AC15)/(1+AE$4)^AA15</f>
        <v>29.055066188335</v>
      </c>
    </row>
    <row r="16" customFormat="false" ht="15" hidden="false" customHeight="false" outlineLevel="0" collapsed="false">
      <c r="B16" s="4" t="n">
        <v>9</v>
      </c>
      <c r="C16" s="160"/>
      <c r="D16" s="160" t="n">
        <v>40</v>
      </c>
      <c r="E16" s="161" t="n">
        <f aca="false">C16+D16</f>
        <v>40</v>
      </c>
      <c r="F16" s="36" t="n">
        <f aca="false">(C16+D16)/(1+$F$4)^B16</f>
        <v>28.1034693403034</v>
      </c>
      <c r="H16" s="4" t="n">
        <v>9</v>
      </c>
      <c r="I16" s="160"/>
      <c r="J16" s="160"/>
      <c r="K16" s="161" t="n">
        <f aca="false">I16+J16</f>
        <v>0</v>
      </c>
      <c r="L16" s="36" t="n">
        <f aca="false">(I16+J16)/(1+$L$4)^H16</f>
        <v>0</v>
      </c>
      <c r="N16" s="4" t="n">
        <f aca="false">N15+1</f>
        <v>7</v>
      </c>
      <c r="O16" s="160"/>
      <c r="P16" s="160" t="n">
        <v>40</v>
      </c>
      <c r="Q16" s="161" t="n">
        <f aca="false">O16+P16</f>
        <v>40</v>
      </c>
      <c r="R16" s="36" t="n">
        <f aca="false">(O16+P16)/(1+$R$4)^N16</f>
        <v>29.5745592737256</v>
      </c>
      <c r="AA16" s="4" t="n">
        <v>9</v>
      </c>
      <c r="AB16" s="160"/>
      <c r="AC16" s="160" t="n">
        <v>40</v>
      </c>
      <c r="AD16" s="161" t="n">
        <f aca="false">AB16+AC16</f>
        <v>40</v>
      </c>
      <c r="AE16" s="36" t="n">
        <f aca="false">(AB16+AC16)/(1+AE$4)^AA16</f>
        <v>27.9168944035042</v>
      </c>
    </row>
    <row r="17" customFormat="false" ht="15" hidden="false" customHeight="false" outlineLevel="0" collapsed="false">
      <c r="B17" s="4" t="n">
        <v>10</v>
      </c>
      <c r="C17" s="160"/>
      <c r="D17" s="160" t="n">
        <v>40</v>
      </c>
      <c r="E17" s="161" t="n">
        <f aca="false">C17+D17</f>
        <v>40</v>
      </c>
      <c r="F17" s="36" t="n">
        <f aca="false">(C17+D17)/(1+$F$4)^B17</f>
        <v>27.0225666645171</v>
      </c>
      <c r="H17" s="4" t="n">
        <v>10</v>
      </c>
      <c r="I17" s="160"/>
      <c r="J17" s="160"/>
      <c r="K17" s="161" t="n">
        <f aca="false">I17+J17</f>
        <v>0</v>
      </c>
      <c r="L17" s="36" t="n">
        <f aca="false">(I17+J17)/(1+$L$4)^H17</f>
        <v>0</v>
      </c>
      <c r="N17" s="4" t="n">
        <f aca="false">N16+1</f>
        <v>8</v>
      </c>
      <c r="O17" s="160"/>
      <c r="P17" s="160" t="n">
        <v>40</v>
      </c>
      <c r="Q17" s="161" t="n">
        <f aca="false">O17+P17</f>
        <v>40</v>
      </c>
      <c r="R17" s="36" t="n">
        <f aca="false">(O17+P17)/(1+$R$4)^N17</f>
        <v>28.3259022045306</v>
      </c>
      <c r="AA17" s="4" t="n">
        <v>10</v>
      </c>
      <c r="AB17" s="160"/>
      <c r="AC17" s="160" t="n">
        <v>40</v>
      </c>
      <c r="AD17" s="161" t="n">
        <f aca="false">AB17+AC17</f>
        <v>40</v>
      </c>
      <c r="AE17" s="36" t="n">
        <f aca="false">(AB17+AC17)/(1+AE$4)^AA17</f>
        <v>26.8233081310032</v>
      </c>
    </row>
    <row r="18" customFormat="false" ht="15" hidden="false" customHeight="false" outlineLevel="0" collapsed="false">
      <c r="B18" s="4" t="n">
        <v>11</v>
      </c>
      <c r="C18" s="160"/>
      <c r="D18" s="160" t="n">
        <v>40</v>
      </c>
      <c r="E18" s="161" t="n">
        <f aca="false">C18+D18</f>
        <v>40</v>
      </c>
      <c r="F18" s="36" t="n">
        <f aca="false">(C18+D18)/(1+$F$4)^B18</f>
        <v>25.9832371689093</v>
      </c>
      <c r="H18" s="4" t="n">
        <v>11</v>
      </c>
      <c r="I18" s="160"/>
      <c r="J18" s="160"/>
      <c r="K18" s="161" t="n">
        <f aca="false">I18+J18</f>
        <v>0</v>
      </c>
      <c r="L18" s="36" t="n">
        <f aca="false">(I18+J18)/(1+$L$4)^H18</f>
        <v>0</v>
      </c>
      <c r="N18" s="4" t="n">
        <f aca="false">N17+1</f>
        <v>9</v>
      </c>
      <c r="O18" s="160"/>
      <c r="P18" s="160" t="n">
        <v>40</v>
      </c>
      <c r="Q18" s="161" t="n">
        <f aca="false">O18+P18</f>
        <v>40</v>
      </c>
      <c r="R18" s="36" t="n">
        <f aca="false">(O18+P18)/(1+$R$4)^N18</f>
        <v>27.1299642464479</v>
      </c>
      <c r="AA18" s="4" t="n">
        <v>11</v>
      </c>
      <c r="AB18" s="160"/>
      <c r="AC18" s="160" t="n">
        <v>40</v>
      </c>
      <c r="AD18" s="161" t="n">
        <f aca="false">AB18+AC18</f>
        <v>40</v>
      </c>
      <c r="AE18" s="36" t="n">
        <f aca="false">(AB18+AC18)/(1+AE$4)^AA18</f>
        <v>25.7725608261222</v>
      </c>
    </row>
    <row r="19" customFormat="false" ht="15" hidden="false" customHeight="false" outlineLevel="0" collapsed="false">
      <c r="B19" s="4" t="n">
        <v>12</v>
      </c>
      <c r="C19" s="160"/>
      <c r="D19" s="160" t="n">
        <v>40</v>
      </c>
      <c r="E19" s="161" t="n">
        <f aca="false">C19+D19</f>
        <v>40</v>
      </c>
      <c r="F19" s="36" t="n">
        <f aca="false">(C19+D19)/(1+$F$4)^B19</f>
        <v>24.9838818849983</v>
      </c>
      <c r="H19" s="4" t="n">
        <v>12</v>
      </c>
      <c r="I19" s="160"/>
      <c r="J19" s="160"/>
      <c r="K19" s="161" t="n">
        <f aca="false">I19+J19</f>
        <v>0</v>
      </c>
      <c r="L19" s="36" t="n">
        <f aca="false">(I19+J19)/(1+$L$4)^H19</f>
        <v>0</v>
      </c>
      <c r="N19" s="4" t="n">
        <f aca="false">N18+1</f>
        <v>10</v>
      </c>
      <c r="O19" s="160"/>
      <c r="P19" s="160" t="n">
        <v>40</v>
      </c>
      <c r="Q19" s="161" t="n">
        <f aca="false">O19+P19</f>
        <v>40</v>
      </c>
      <c r="R19" s="36" t="n">
        <f aca="false">(O19+P19)/(1+$R$4)^N19</f>
        <v>25.9845195644225</v>
      </c>
      <c r="AA19" s="4" t="n">
        <v>12</v>
      </c>
      <c r="AB19" s="160"/>
      <c r="AC19" s="160" t="n">
        <v>40</v>
      </c>
      <c r="AD19" s="161" t="n">
        <f aca="false">AB19+AC19</f>
        <v>40</v>
      </c>
      <c r="AE19" s="36" t="n">
        <f aca="false">(AB19+AC19)/(1+AE$4)^AA19</f>
        <v>24.7629743614076</v>
      </c>
    </row>
    <row r="20" customFormat="false" ht="15" hidden="false" customHeight="false" outlineLevel="0" collapsed="false">
      <c r="B20" s="4" t="n">
        <v>13</v>
      </c>
      <c r="C20" s="160"/>
      <c r="D20" s="160" t="n">
        <v>40</v>
      </c>
      <c r="E20" s="161" t="n">
        <f aca="false">C20+D20</f>
        <v>40</v>
      </c>
      <c r="F20" s="36" t="n">
        <f aca="false">(C20+D20)/(1+$F$4)^B20</f>
        <v>24.022963343091</v>
      </c>
      <c r="H20" s="4" t="n">
        <v>13</v>
      </c>
      <c r="I20" s="160"/>
      <c r="J20" s="160"/>
      <c r="K20" s="161" t="n">
        <f aca="false">I20+J20</f>
        <v>0</v>
      </c>
      <c r="L20" s="36" t="n">
        <f aca="false">(I20+J20)/(1+$L$4)^H20</f>
        <v>0</v>
      </c>
      <c r="N20" s="4" t="n">
        <f aca="false">N19+1</f>
        <v>11</v>
      </c>
      <c r="O20" s="160"/>
      <c r="P20" s="160" t="n">
        <v>40</v>
      </c>
      <c r="Q20" s="161" t="n">
        <f aca="false">O20+P20</f>
        <v>40</v>
      </c>
      <c r="R20" s="36" t="n">
        <f aca="false">(O20+P20)/(1+$R$4)^N20</f>
        <v>24.8874362995984</v>
      </c>
      <c r="AA20" s="4" t="n">
        <v>13</v>
      </c>
      <c r="AB20" s="160"/>
      <c r="AC20" s="160" t="n">
        <v>40</v>
      </c>
      <c r="AD20" s="161" t="n">
        <f aca="false">AB20+AC20</f>
        <v>40</v>
      </c>
      <c r="AE20" s="36" t="n">
        <f aca="false">(AB20+AC20)/(1+AE$4)^AA20</f>
        <v>23.7929363465584</v>
      </c>
    </row>
    <row r="21" customFormat="false" ht="15" hidden="false" customHeight="false" outlineLevel="0" collapsed="false">
      <c r="B21" s="4" t="n">
        <v>14</v>
      </c>
      <c r="C21" s="160"/>
      <c r="D21" s="160" t="n">
        <v>40</v>
      </c>
      <c r="E21" s="161" t="n">
        <f aca="false">C21+D21</f>
        <v>40</v>
      </c>
      <c r="F21" s="36" t="n">
        <f aca="false">(C21+D21)/(1+$F$4)^B21</f>
        <v>23.0990032069443</v>
      </c>
      <c r="H21" s="4" t="n">
        <v>14</v>
      </c>
      <c r="I21" s="160"/>
      <c r="J21" s="160"/>
      <c r="K21" s="161" t="n">
        <f aca="false">I21+J21</f>
        <v>0</v>
      </c>
      <c r="L21" s="36" t="n">
        <f aca="false">(I21+J21)/(1+$L$4)^H21</f>
        <v>0</v>
      </c>
      <c r="N21" s="4" t="n">
        <f aca="false">N20+1</f>
        <v>12</v>
      </c>
      <c r="O21" s="160"/>
      <c r="P21" s="160" t="n">
        <v>40</v>
      </c>
      <c r="Q21" s="161" t="n">
        <f aca="false">O21+P21</f>
        <v>40</v>
      </c>
      <c r="R21" s="36" t="n">
        <f aca="false">(O21+P21)/(1+$R$4)^N21</f>
        <v>23.8366726015831</v>
      </c>
      <c r="AA21" s="4" t="n">
        <v>14</v>
      </c>
      <c r="AB21" s="160"/>
      <c r="AC21" s="160" t="n">
        <v>40</v>
      </c>
      <c r="AD21" s="161" t="n">
        <f aca="false">AB21+AC21</f>
        <v>40</v>
      </c>
      <c r="AE21" s="36" t="n">
        <f aca="false">(AB21+AC21)/(1+AE$4)^AA21</f>
        <v>22.86089755331</v>
      </c>
    </row>
    <row r="22" customFormat="false" ht="15" hidden="false" customHeight="false" outlineLevel="0" collapsed="false">
      <c r="B22" s="4" t="n">
        <v>15</v>
      </c>
      <c r="C22" s="160"/>
      <c r="D22" s="160" t="n">
        <v>40</v>
      </c>
      <c r="E22" s="161" t="n">
        <f aca="false">C22+D22</f>
        <v>40</v>
      </c>
      <c r="F22" s="36" t="n">
        <f aca="false">(C22+D22)/(1+$F$4)^B22</f>
        <v>22.2105799994019</v>
      </c>
      <c r="H22" s="4" t="n">
        <v>15</v>
      </c>
      <c r="I22" s="160"/>
      <c r="J22" s="160"/>
      <c r="K22" s="161" t="n">
        <f aca="false">I22+J22</f>
        <v>0</v>
      </c>
      <c r="L22" s="36" t="n">
        <f aca="false">(I22+J22)/(1+$L$4)^H22</f>
        <v>0</v>
      </c>
      <c r="N22" s="4" t="n">
        <f aca="false">N21+1</f>
        <v>13</v>
      </c>
      <c r="O22" s="160"/>
      <c r="P22" s="160" t="n">
        <v>40</v>
      </c>
      <c r="Q22" s="161" t="n">
        <f aca="false">O22+P22</f>
        <v>40</v>
      </c>
      <c r="R22" s="36" t="n">
        <f aca="false">(O22+P22)/(1+$R$4)^N22</f>
        <v>22.8302728282314</v>
      </c>
      <c r="AA22" s="4" t="n">
        <v>15</v>
      </c>
      <c r="AB22" s="160"/>
      <c r="AC22" s="160" t="n">
        <v>40</v>
      </c>
      <c r="AD22" s="161" t="n">
        <f aca="false">AB22+AC22</f>
        <v>40</v>
      </c>
      <c r="AE22" s="36" t="n">
        <f aca="false">(AB22+AC22)/(1+AE$4)^AA22</f>
        <v>21.9653694411925</v>
      </c>
    </row>
    <row r="23" customFormat="false" ht="15" hidden="false" customHeight="false" outlineLevel="0" collapsed="false">
      <c r="B23" s="4" t="n">
        <v>16</v>
      </c>
      <c r="C23" s="160"/>
      <c r="D23" s="160" t="n">
        <v>40</v>
      </c>
      <c r="E23" s="161" t="n">
        <f aca="false">C23+D23</f>
        <v>40</v>
      </c>
      <c r="F23" s="36" t="n">
        <f aca="false">(C23+D23)/(1+$F$4)^B23</f>
        <v>21.3563269155064</v>
      </c>
      <c r="H23" s="4" t="n">
        <v>16</v>
      </c>
      <c r="I23" s="160"/>
      <c r="J23" s="160"/>
      <c r="K23" s="161" t="n">
        <f aca="false">I23+J23</f>
        <v>0</v>
      </c>
      <c r="L23" s="36" t="n">
        <f aca="false">(I23+J23)/(1+$L$4)^H23</f>
        <v>0</v>
      </c>
      <c r="N23" s="4" t="n">
        <f aca="false">N22+1</f>
        <v>14</v>
      </c>
      <c r="O23" s="160"/>
      <c r="P23" s="160" t="n">
        <v>40</v>
      </c>
      <c r="Q23" s="161" t="n">
        <f aca="false">O23+P23</f>
        <v>40</v>
      </c>
      <c r="R23" s="36" t="n">
        <f aca="false">(O23+P23)/(1+$R$4)^N23</f>
        <v>21.8663639058777</v>
      </c>
      <c r="AA23" s="4" t="n">
        <v>16</v>
      </c>
      <c r="AB23" s="160"/>
      <c r="AC23" s="160" t="n">
        <v>40</v>
      </c>
      <c r="AD23" s="161" t="n">
        <f aca="false">AB23+AC23</f>
        <v>40</v>
      </c>
      <c r="AE23" s="36" t="n">
        <f aca="false">(AB23+AC23)/(1+AE$4)^AA23</f>
        <v>21.1049217802132</v>
      </c>
    </row>
    <row r="24" customFormat="false" ht="15" hidden="false" customHeight="false" outlineLevel="0" collapsed="false">
      <c r="B24" s="4" t="n">
        <v>17</v>
      </c>
      <c r="C24" s="160"/>
      <c r="D24" s="160" t="n">
        <v>40</v>
      </c>
      <c r="E24" s="161" t="n">
        <f aca="false">C24+D24</f>
        <v>40</v>
      </c>
      <c r="F24" s="36" t="n">
        <f aca="false">(C24+D24)/(1+$F$4)^B24</f>
        <v>20.534929719722</v>
      </c>
      <c r="H24" s="4" t="n">
        <v>17</v>
      </c>
      <c r="I24" s="160"/>
      <c r="J24" s="160"/>
      <c r="K24" s="161" t="n">
        <f aca="false">I24+J24</f>
        <v>0</v>
      </c>
      <c r="L24" s="36" t="n">
        <f aca="false">(I24+J24)/(1+$L$4)^H24</f>
        <v>0</v>
      </c>
      <c r="N24" s="4" t="n">
        <f aca="false">N23+1</f>
        <v>15</v>
      </c>
      <c r="O24" s="160"/>
      <c r="P24" s="160" t="n">
        <v>40</v>
      </c>
      <c r="Q24" s="161" t="n">
        <f aca="false">O24+P24</f>
        <v>40</v>
      </c>
      <c r="R24" s="36" t="n">
        <f aca="false">(O24+P24)/(1+$R$4)^N24</f>
        <v>20.9431518432411</v>
      </c>
      <c r="AA24" s="4" t="n">
        <v>17</v>
      </c>
      <c r="AB24" s="160"/>
      <c r="AC24" s="160" t="n">
        <v>40</v>
      </c>
      <c r="AD24" s="161" t="n">
        <f aca="false">AB24+AC24</f>
        <v>40</v>
      </c>
      <c r="AE24" s="36" t="n">
        <f aca="false">(AB24+AC24)/(1+AE$4)^AA24</f>
        <v>20.2781803666643</v>
      </c>
    </row>
    <row r="25" customFormat="false" ht="15" hidden="false" customHeight="false" outlineLevel="0" collapsed="false">
      <c r="B25" s="4" t="n">
        <v>18</v>
      </c>
      <c r="C25" s="160"/>
      <c r="D25" s="160" t="n">
        <v>40</v>
      </c>
      <c r="E25" s="161" t="n">
        <f aca="false">C25+D25</f>
        <v>40</v>
      </c>
      <c r="F25" s="36" t="n">
        <f aca="false">(C25+D25)/(1+$F$4)^B25</f>
        <v>19.7451247240343</v>
      </c>
      <c r="H25" s="4" t="n">
        <v>18</v>
      </c>
      <c r="I25" s="160"/>
      <c r="J25" s="160"/>
      <c r="K25" s="161" t="n">
        <f aca="false">I25+J25</f>
        <v>0</v>
      </c>
      <c r="L25" s="36" t="n">
        <f aca="false">(I25+J25)/(1+$L$4)^H25</f>
        <v>0</v>
      </c>
      <c r="N25" s="4" t="n">
        <f aca="false">N24+1</f>
        <v>16</v>
      </c>
      <c r="O25" s="160"/>
      <c r="P25" s="160" t="n">
        <v>40</v>
      </c>
      <c r="Q25" s="161" t="n">
        <f aca="false">O25+P25</f>
        <v>40</v>
      </c>
      <c r="R25" s="36" t="n">
        <f aca="false">(O25+P25)/(1+$R$4)^N25</f>
        <v>20.0589183925158</v>
      </c>
      <c r="AA25" s="4" t="n">
        <v>18</v>
      </c>
      <c r="AB25" s="160"/>
      <c r="AC25" s="160" t="n">
        <v>40</v>
      </c>
      <c r="AD25" s="161" t="n">
        <f aca="false">AB25+AC25</f>
        <v>40</v>
      </c>
      <c r="AE25" s="36" t="n">
        <f aca="false">(AB25+AC25)/(1+AE$4)^AA25</f>
        <v>19.4838248284101</v>
      </c>
    </row>
    <row r="26" customFormat="false" ht="15" hidden="false" customHeight="false" outlineLevel="0" collapsed="false">
      <c r="B26" s="4" t="n">
        <v>19</v>
      </c>
      <c r="C26" s="160"/>
      <c r="D26" s="160" t="n">
        <v>40</v>
      </c>
      <c r="E26" s="161" t="n">
        <f aca="false">C26+D26</f>
        <v>40</v>
      </c>
      <c r="F26" s="36" t="n">
        <f aca="false">(C26+D26)/(1+$F$4)^B26</f>
        <v>18.985696843814</v>
      </c>
      <c r="H26" s="4" t="n">
        <v>19</v>
      </c>
      <c r="I26" s="160"/>
      <c r="J26" s="160"/>
      <c r="K26" s="161" t="n">
        <f aca="false">I26+J26</f>
        <v>0</v>
      </c>
      <c r="L26" s="36" t="n">
        <f aca="false">(I26+J26)/(1+$L$4)^H26</f>
        <v>0</v>
      </c>
      <c r="N26" s="4" t="n">
        <f aca="false">N25+1</f>
        <v>17</v>
      </c>
      <c r="O26" s="160"/>
      <c r="P26" s="160" t="n">
        <v>40</v>
      </c>
      <c r="Q26" s="161" t="n">
        <f aca="false">O26+P26</f>
        <v>40</v>
      </c>
      <c r="R26" s="36" t="n">
        <f aca="false">(O26+P26)/(1+$R$4)^N26</f>
        <v>19.2120178514324</v>
      </c>
      <c r="AA26" s="4" t="n">
        <v>19</v>
      </c>
      <c r="AB26" s="160"/>
      <c r="AC26" s="160" t="n">
        <v>40</v>
      </c>
      <c r="AD26" s="161" t="n">
        <f aca="false">AB26+AC26</f>
        <v>40</v>
      </c>
      <c r="AE26" s="36" t="n">
        <f aca="false">(AB26+AC26)/(1+AE$4)^AA26</f>
        <v>18.7205865161468</v>
      </c>
    </row>
    <row r="27" customFormat="false" ht="15" hidden="false" customHeight="false" outlineLevel="0" collapsed="false">
      <c r="B27" s="4" t="n">
        <v>20</v>
      </c>
      <c r="C27" s="160"/>
      <c r="D27" s="160" t="n">
        <f aca="false">40+1000</f>
        <v>1040</v>
      </c>
      <c r="E27" s="161" t="n">
        <f aca="false">C27+D27</f>
        <v>1040</v>
      </c>
      <c r="F27" s="36" t="n">
        <f aca="false">(C27+D27)/(1+$F$4)^B27</f>
        <v>474.642420939877</v>
      </c>
      <c r="H27" s="4" t="n">
        <v>20</v>
      </c>
      <c r="I27" s="160"/>
      <c r="J27" s="160"/>
      <c r="K27" s="161" t="n">
        <f aca="false">I27+J27</f>
        <v>0</v>
      </c>
      <c r="L27" s="36" t="n">
        <f aca="false">(I27+J27)/(1+$L$4)^H27</f>
        <v>0</v>
      </c>
      <c r="N27" s="4" t="n">
        <f aca="false">N26+1</f>
        <v>18</v>
      </c>
      <c r="O27" s="160"/>
      <c r="P27" s="160" t="n">
        <f aca="false">40+1000</f>
        <v>1040</v>
      </c>
      <c r="Q27" s="161" t="n">
        <f aca="false">O27+P27</f>
        <v>1040</v>
      </c>
      <c r="R27" s="36" t="n">
        <f aca="false">(O27+P27)/(1+$R$4)^N27</f>
        <v>478.422724008804</v>
      </c>
      <c r="AA27" s="4" t="n">
        <v>20</v>
      </c>
      <c r="AB27" s="160"/>
      <c r="AC27" s="160" t="n">
        <f aca="false">40+1000</f>
        <v>1040</v>
      </c>
      <c r="AD27" s="161" t="n">
        <f aca="false">AB27+AC27</f>
        <v>1040</v>
      </c>
      <c r="AE27" s="36" t="n">
        <f aca="false">(AB27+AC27)/(1+AE$4)^AA27</f>
        <v>467.668408408981</v>
      </c>
    </row>
    <row r="28" customFormat="false" ht="15" hidden="false" customHeight="false" outlineLevel="0" collapsed="false"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36"/>
    </row>
    <row r="29" customFormat="false" ht="15" hidden="false" customHeight="false" outlineLevel="0" collapsed="false">
      <c r="B29" s="161"/>
      <c r="C29" s="0" t="s">
        <v>399</v>
      </c>
      <c r="D29" s="45"/>
      <c r="E29" s="45"/>
      <c r="F29" s="162" t="n">
        <f aca="false">SUM(F7:F27)</f>
        <v>-4.62969808268099E-006</v>
      </c>
      <c r="I29" s="0" t="s">
        <v>399</v>
      </c>
      <c r="J29" s="45"/>
      <c r="K29" s="45"/>
      <c r="L29" s="162" t="n">
        <f aca="false">SUM(L7:L27)</f>
        <v>-6.99487868587312E-005</v>
      </c>
      <c r="O29" s="0" t="s">
        <v>399</v>
      </c>
      <c r="P29" s="45"/>
      <c r="Q29" s="45"/>
      <c r="R29" s="162" t="n">
        <f aca="false">SUM(R7:R27)</f>
        <v>4.00684247097161E-005</v>
      </c>
      <c r="AA29" s="161"/>
      <c r="AB29" s="0" t="s">
        <v>399</v>
      </c>
      <c r="AC29" s="45"/>
      <c r="AD29" s="45"/>
      <c r="AE29" s="162" t="n">
        <f aca="false">SUM(AE7:AE27)</f>
        <v>-0.393561572542922</v>
      </c>
      <c r="AG29" s="26" t="n">
        <f aca="false">IRR(AD7:AD27)</f>
        <v>0.0407406513720578</v>
      </c>
      <c r="AH29" s="0" t="s">
        <v>444</v>
      </c>
    </row>
    <row r="30" customFormat="false" ht="15" hidden="false" customHeight="false" outlineLevel="0" collapsed="false">
      <c r="K30" s="167" t="n">
        <f aca="false">IRR(K7:K9)</f>
        <v>0.0151884243699782</v>
      </c>
      <c r="Q30" s="26" t="n">
        <f aca="false">IRR(Q9:Q27)</f>
        <v>0.0440818144453106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8.14"/>
    <col collapsed="false" customWidth="true" hidden="false" outlineLevel="0" max="3" min="3" style="0" width="17.29"/>
    <col collapsed="false" customWidth="true" hidden="false" outlineLevel="0" max="4" min="4" style="0" width="3.86"/>
    <col collapsed="false" customWidth="true" hidden="false" outlineLevel="0" max="5" min="5" style="0" width="17.42"/>
    <col collapsed="false" customWidth="true" hidden="false" outlineLevel="0" max="6" min="6" style="0" width="6.85"/>
    <col collapsed="false" customWidth="true" hidden="false" outlineLevel="0" max="7" min="7" style="0" width="3.42"/>
  </cols>
  <sheetData>
    <row r="1" customFormat="false" ht="15" hidden="false" customHeight="false" outlineLevel="0" collapsed="false">
      <c r="A1" s="29" t="s">
        <v>445</v>
      </c>
    </row>
    <row r="2" customFormat="false" ht="15" hidden="false" customHeight="false" outlineLevel="0" collapsed="false">
      <c r="B2" s="5" t="s">
        <v>283</v>
      </c>
      <c r="C2" s="5"/>
      <c r="E2" s="5" t="s">
        <v>284</v>
      </c>
      <c r="F2" s="5"/>
    </row>
    <row r="4" customFormat="false" ht="15" hidden="false" customHeight="false" outlineLevel="0" collapsed="false">
      <c r="B4" s="0" t="s">
        <v>0</v>
      </c>
      <c r="C4" s="34" t="n">
        <v>0.5</v>
      </c>
      <c r="E4" s="0" t="s">
        <v>0</v>
      </c>
      <c r="F4" s="34" t="n">
        <v>0.4</v>
      </c>
    </row>
    <row r="6" customFormat="false" ht="15" hidden="false" customHeight="false" outlineLevel="0" collapsed="false">
      <c r="A6" s="0" t="s">
        <v>33</v>
      </c>
      <c r="B6" s="0" t="s">
        <v>418</v>
      </c>
      <c r="C6" s="46" t="s">
        <v>393</v>
      </c>
      <c r="E6" s="0" t="s">
        <v>418</v>
      </c>
      <c r="F6" s="4" t="s">
        <v>413</v>
      </c>
    </row>
    <row r="7" customFormat="false" ht="15" hidden="false" customHeight="false" outlineLevel="0" collapsed="false">
      <c r="A7" s="4" t="n">
        <v>0</v>
      </c>
      <c r="B7" s="0" t="n">
        <v>-10</v>
      </c>
      <c r="C7" s="36" t="n">
        <f aca="false">B7/(1+$C$4)^A7</f>
        <v>-10</v>
      </c>
      <c r="E7" s="0" t="n">
        <v>-20</v>
      </c>
      <c r="F7" s="36" t="n">
        <f aca="false">E7/(1+$C$4)^A7</f>
        <v>-20</v>
      </c>
    </row>
    <row r="8" customFormat="false" ht="15" hidden="false" customHeight="false" outlineLevel="0" collapsed="false">
      <c r="A8" s="4" t="n">
        <v>1</v>
      </c>
      <c r="B8" s="36" t="n">
        <v>15</v>
      </c>
      <c r="C8" s="36" t="n">
        <f aca="false">B8/(1+$C$4)^A8</f>
        <v>10</v>
      </c>
      <c r="E8" s="36" t="n">
        <v>28</v>
      </c>
      <c r="F8" s="36" t="n">
        <f aca="false">E8/(1+$F$4)^A8</f>
        <v>20</v>
      </c>
    </row>
    <row r="9" customFormat="false" ht="15" hidden="false" customHeight="false" outlineLevel="0" collapsed="false">
      <c r="B9" s="45"/>
      <c r="C9" s="1"/>
    </row>
    <row r="10" customFormat="false" ht="15" hidden="false" customHeight="false" outlineLevel="0" collapsed="false">
      <c r="A10" s="0" t="s">
        <v>446</v>
      </c>
      <c r="C10" s="55" t="n">
        <f aca="false">IRR(B7:B8)</f>
        <v>0.5</v>
      </c>
      <c r="F10" s="55" t="n">
        <f aca="false">IRR(E7:E8)</f>
        <v>0.4</v>
      </c>
    </row>
    <row r="11" customFormat="false" ht="15" hidden="false" customHeight="false" outlineLevel="0" collapsed="false">
      <c r="B11" s="0" t="s">
        <v>447</v>
      </c>
    </row>
    <row r="13" customFormat="false" ht="15" hidden="false" customHeight="false" outlineLevel="0" collapsed="false">
      <c r="A13" s="0" t="s">
        <v>448</v>
      </c>
    </row>
    <row r="15" customFormat="false" ht="15" hidden="false" customHeight="false" outlineLevel="0" collapsed="false">
      <c r="B15" s="0" t="s">
        <v>449</v>
      </c>
    </row>
    <row r="16" customFormat="false" ht="15" hidden="false" customHeight="false" outlineLevel="0" collapsed="false">
      <c r="B16" s="0" t="s">
        <v>450</v>
      </c>
    </row>
    <row r="18" customFormat="false" ht="15" hidden="false" customHeight="false" outlineLevel="0" collapsed="false">
      <c r="B18" s="0" t="s">
        <v>451</v>
      </c>
    </row>
    <row r="19" customFormat="false" ht="15" hidden="false" customHeight="false" outlineLevel="0" collapsed="false">
      <c r="B19" s="0" t="s">
        <v>452</v>
      </c>
    </row>
    <row r="21" customFormat="false" ht="15" hidden="false" customHeight="false" outlineLevel="0" collapsed="false">
      <c r="B21" s="0" t="s">
        <v>453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0" activeCellId="0" sqref="M10"/>
    </sheetView>
  </sheetViews>
  <sheetFormatPr defaultColWidth="8.54296875" defaultRowHeight="15" zeroHeight="false" outlineLevelRow="0" outlineLevelCol="1"/>
  <cols>
    <col collapsed="false" customWidth="true" hidden="false" outlineLevel="0" max="1" min="1" style="0" width="7.29"/>
    <col collapsed="false" customWidth="true" hidden="false" outlineLevel="0" max="2" min="2" style="0" width="6.85"/>
    <col collapsed="false" customWidth="true" hidden="false" outlineLevel="0" max="3" min="3" style="0" width="23.86"/>
    <col collapsed="false" customWidth="true" hidden="false" outlineLevel="0" max="5" min="4" style="0" width="12"/>
    <col collapsed="false" customWidth="true" hidden="false" outlineLevel="1" max="6" min="6" style="0" width="18.14"/>
    <col collapsed="false" customWidth="true" hidden="false" outlineLevel="0" max="7" min="7" style="0" width="2.86"/>
    <col collapsed="false" customWidth="true" hidden="false" outlineLevel="0" max="8" min="8" style="0" width="10.57"/>
    <col collapsed="false" customWidth="true" hidden="false" outlineLevel="0" max="10" min="9" style="0" width="8.86"/>
    <col collapsed="false" customWidth="true" hidden="false" outlineLevel="1" max="11" min="11" style="0" width="17.42"/>
    <col collapsed="false" customWidth="true" hidden="false" outlineLevel="0" max="12" min="12" style="0" width="4.57"/>
    <col collapsed="false" customWidth="true" hidden="false" outlineLevel="0" max="13" min="13" style="0" width="10.71"/>
    <col collapsed="false" customWidth="true" hidden="false" outlineLevel="0" max="14" min="14" style="0" width="14.42"/>
    <col collapsed="false" customWidth="true" hidden="false" outlineLevel="0" max="15" min="15" style="0" width="9.42"/>
    <col collapsed="false" customWidth="true" hidden="false" outlineLevel="0" max="16" min="16" style="0" width="4.29"/>
    <col collapsed="false" customWidth="true" hidden="false" outlineLevel="1" max="17" min="17" style="0" width="14.14"/>
    <col collapsed="false" customWidth="true" hidden="false" outlineLevel="1" max="18" min="18" style="0" width="17.15"/>
    <col collapsed="false" customWidth="true" hidden="false" outlineLevel="1" max="19" min="19" style="0" width="9.14"/>
  </cols>
  <sheetData>
    <row r="1" customFormat="false" ht="15" hidden="false" customHeight="false" outlineLevel="0" collapsed="false">
      <c r="A1" s="29" t="s">
        <v>454</v>
      </c>
    </row>
    <row r="2" customFormat="false" ht="15" hidden="false" customHeight="false" outlineLevel="0" collapsed="false">
      <c r="C2" s="5" t="s">
        <v>455</v>
      </c>
      <c r="D2" s="5"/>
      <c r="E2" s="5"/>
      <c r="F2" s="5"/>
      <c r="H2" s="5" t="s">
        <v>456</v>
      </c>
      <c r="I2" s="5"/>
      <c r="J2" s="5"/>
      <c r="K2" s="5"/>
      <c r="L2" s="27"/>
      <c r="M2" s="5" t="s">
        <v>457</v>
      </c>
      <c r="N2" s="5"/>
      <c r="O2" s="5"/>
      <c r="U2" s="5" t="s">
        <v>457</v>
      </c>
      <c r="V2" s="5"/>
      <c r="W2" s="5"/>
    </row>
    <row r="3" customFormat="false" ht="15" hidden="false" customHeight="false" outlineLevel="0" collapsed="false">
      <c r="K3" s="34"/>
      <c r="L3" s="34"/>
      <c r="Q3" s="0" t="s">
        <v>458</v>
      </c>
      <c r="R3" s="34" t="n">
        <v>0.1</v>
      </c>
    </row>
    <row r="4" customFormat="false" ht="15" hidden="false" customHeight="false" outlineLevel="0" collapsed="false">
      <c r="B4" s="0" t="s">
        <v>459</v>
      </c>
      <c r="D4" s="8" t="n">
        <v>200</v>
      </c>
      <c r="H4" s="8" t="n">
        <v>700</v>
      </c>
      <c r="Q4" s="0" t="s">
        <v>460</v>
      </c>
    </row>
    <row r="5" customFormat="false" ht="15" hidden="false" customHeight="false" outlineLevel="0" collapsed="false">
      <c r="B5" s="0" t="s">
        <v>461</v>
      </c>
      <c r="D5" s="8" t="n">
        <v>95</v>
      </c>
      <c r="H5" s="8" t="n">
        <v>120</v>
      </c>
    </row>
    <row r="6" customFormat="false" ht="15" hidden="false" customHeight="false" outlineLevel="0" collapsed="false">
      <c r="B6" s="0" t="s">
        <v>462</v>
      </c>
      <c r="D6" s="8" t="n">
        <v>50</v>
      </c>
      <c r="H6" s="8" t="n">
        <v>150</v>
      </c>
    </row>
    <row r="7" customFormat="false" ht="15" hidden="false" customHeight="false" outlineLevel="0" collapsed="false">
      <c r="B7" s="0" t="s">
        <v>463</v>
      </c>
      <c r="D7" s="8" t="n">
        <v>6</v>
      </c>
      <c r="H7" s="8" t="n">
        <v>12</v>
      </c>
    </row>
    <row r="9" customFormat="false" ht="15" hidden="false" customHeight="false" outlineLevel="0" collapsed="false">
      <c r="B9" s="5" t="s">
        <v>33</v>
      </c>
      <c r="C9" s="5" t="s">
        <v>440</v>
      </c>
      <c r="D9" s="5" t="s">
        <v>464</v>
      </c>
      <c r="E9" s="5" t="s">
        <v>392</v>
      </c>
      <c r="F9" s="173" t="s">
        <v>393</v>
      </c>
      <c r="H9" s="5" t="s">
        <v>440</v>
      </c>
      <c r="I9" s="5" t="s">
        <v>464</v>
      </c>
      <c r="J9" s="5" t="s">
        <v>392</v>
      </c>
      <c r="K9" s="173" t="s">
        <v>393</v>
      </c>
      <c r="L9" s="153"/>
      <c r="M9" s="40" t="s">
        <v>465</v>
      </c>
      <c r="N9" s="40" t="s">
        <v>466</v>
      </c>
      <c r="O9" s="5" t="s">
        <v>392</v>
      </c>
      <c r="P9" s="27"/>
      <c r="Q9" s="157" t="s">
        <v>467</v>
      </c>
      <c r="R9" s="157" t="s">
        <v>468</v>
      </c>
      <c r="U9" s="40" t="s">
        <v>465</v>
      </c>
      <c r="V9" s="40" t="s">
        <v>466</v>
      </c>
      <c r="W9" s="5" t="s">
        <v>392</v>
      </c>
    </row>
    <row r="10" customFormat="false" ht="15" hidden="false" customHeight="false" outlineLevel="0" collapsed="false">
      <c r="B10" s="4" t="n">
        <v>0</v>
      </c>
      <c r="C10" s="27" t="n">
        <f aca="false">-D4</f>
        <v>-200</v>
      </c>
      <c r="D10" s="27"/>
      <c r="E10" s="27" t="n">
        <f aca="false">C10+D10</f>
        <v>-200</v>
      </c>
      <c r="F10" s="174" t="n">
        <f aca="false">(C10+D10)/(1+R$3)^$B10</f>
        <v>-200</v>
      </c>
      <c r="H10" s="27" t="n">
        <f aca="false">-H4</f>
        <v>-700</v>
      </c>
      <c r="I10" s="27"/>
      <c r="J10" s="27" t="n">
        <f aca="false">H10+I10</f>
        <v>-700</v>
      </c>
      <c r="K10" s="174" t="n">
        <f aca="false">(H10+I10)/(1+R$3)^$B10</f>
        <v>-700</v>
      </c>
      <c r="L10" s="36"/>
      <c r="M10" s="0" t="n">
        <f aca="false">H10-C10</f>
        <v>-500</v>
      </c>
      <c r="N10" s="0" t="n">
        <f aca="false">I10-D10</f>
        <v>0</v>
      </c>
      <c r="O10" s="36" t="n">
        <f aca="false">N10+M10</f>
        <v>-500</v>
      </c>
      <c r="Q10" s="21" t="n">
        <f aca="false">M10/(1+$R$3)^$B10</f>
        <v>-500</v>
      </c>
      <c r="R10" s="21" t="n">
        <f aca="false">N10/(1+$R$3)^$B10</f>
        <v>0</v>
      </c>
      <c r="U10" s="0" t="n">
        <f aca="false">C10-H10</f>
        <v>500</v>
      </c>
      <c r="V10" s="0" t="n">
        <f aca="false">D10-I10</f>
        <v>0</v>
      </c>
      <c r="W10" s="36" t="n">
        <f aca="false">V10+U10</f>
        <v>500</v>
      </c>
    </row>
    <row r="11" customFormat="false" ht="15" hidden="false" customHeight="false" outlineLevel="0" collapsed="false">
      <c r="B11" s="4" t="n">
        <v>1</v>
      </c>
      <c r="C11" s="36"/>
      <c r="D11" s="36" t="n">
        <f aca="false">D5</f>
        <v>95</v>
      </c>
      <c r="E11" s="27" t="n">
        <f aca="false">C11+D11</f>
        <v>95</v>
      </c>
      <c r="F11" s="174" t="n">
        <f aca="false">(C11+D11)/(1+R$3)^$B11</f>
        <v>86.3636363636364</v>
      </c>
      <c r="H11" s="36"/>
      <c r="I11" s="36" t="n">
        <f aca="false">H5</f>
        <v>120</v>
      </c>
      <c r="J11" s="27" t="n">
        <f aca="false">H11+I11</f>
        <v>120</v>
      </c>
      <c r="K11" s="174" t="n">
        <f aca="false">(H11+I11)/(1+R$3)^$B11</f>
        <v>109.090909090909</v>
      </c>
      <c r="L11" s="36"/>
      <c r="M11" s="0" t="n">
        <f aca="false">H11-C11</f>
        <v>0</v>
      </c>
      <c r="N11" s="56" t="n">
        <f aca="false">I11-D11</f>
        <v>25</v>
      </c>
      <c r="O11" s="36" t="n">
        <f aca="false">N11+M11</f>
        <v>25</v>
      </c>
      <c r="Q11" s="21" t="n">
        <f aca="false">M11/(1+$R$3)^$B11</f>
        <v>0</v>
      </c>
      <c r="R11" s="21" t="n">
        <f aca="false">N11/(1+$R$3)^$B11</f>
        <v>22.7272727272727</v>
      </c>
      <c r="U11" s="0" t="n">
        <f aca="false">C11-H11</f>
        <v>0</v>
      </c>
      <c r="V11" s="0" t="n">
        <f aca="false">D11-I11</f>
        <v>-25</v>
      </c>
      <c r="W11" s="36" t="n">
        <f aca="false">V11+U11</f>
        <v>-25</v>
      </c>
    </row>
    <row r="12" customFormat="false" ht="15" hidden="false" customHeight="false" outlineLevel="0" collapsed="false">
      <c r="B12" s="4" t="n">
        <v>2</v>
      </c>
      <c r="C12" s="36"/>
      <c r="D12" s="36" t="n">
        <f aca="false">D11</f>
        <v>95</v>
      </c>
      <c r="E12" s="27" t="n">
        <f aca="false">C12+D12</f>
        <v>95</v>
      </c>
      <c r="F12" s="174" t="n">
        <f aca="false">(C12+D12)/(1+R$3)^$B12</f>
        <v>78.5123966942149</v>
      </c>
      <c r="H12" s="36"/>
      <c r="I12" s="36" t="n">
        <f aca="false">I11</f>
        <v>120</v>
      </c>
      <c r="J12" s="27" t="n">
        <f aca="false">H12+I12</f>
        <v>120</v>
      </c>
      <c r="K12" s="174" t="n">
        <f aca="false">(H12+I12)/(1+R$3)^$B12</f>
        <v>99.1735537190083</v>
      </c>
      <c r="L12" s="36"/>
      <c r="M12" s="0" t="n">
        <f aca="false">H12-C12</f>
        <v>0</v>
      </c>
      <c r="N12" s="0" t="n">
        <f aca="false">I12-D12</f>
        <v>25</v>
      </c>
      <c r="O12" s="36" t="n">
        <f aca="false">N12+M12</f>
        <v>25</v>
      </c>
      <c r="Q12" s="21" t="n">
        <f aca="false">M12/(1+$R$3)^$B12</f>
        <v>0</v>
      </c>
      <c r="R12" s="21" t="n">
        <f aca="false">N12/(1+$R$3)^$B12</f>
        <v>20.6611570247934</v>
      </c>
      <c r="U12" s="0" t="n">
        <f aca="false">C12-H12</f>
        <v>0</v>
      </c>
      <c r="V12" s="0" t="n">
        <f aca="false">D12-I12</f>
        <v>-25</v>
      </c>
      <c r="W12" s="36" t="n">
        <f aca="false">V12+U12</f>
        <v>-25</v>
      </c>
    </row>
    <row r="13" customFormat="false" ht="15" hidden="false" customHeight="false" outlineLevel="0" collapsed="false">
      <c r="B13" s="4" t="n">
        <v>3</v>
      </c>
      <c r="C13" s="36"/>
      <c r="D13" s="36" t="n">
        <f aca="false">D12</f>
        <v>95</v>
      </c>
      <c r="E13" s="27" t="n">
        <f aca="false">C13+D13</f>
        <v>95</v>
      </c>
      <c r="F13" s="174" t="n">
        <f aca="false">(C13+D13)/(1+R$3)^$B13</f>
        <v>71.3749060856499</v>
      </c>
      <c r="H13" s="36"/>
      <c r="I13" s="36" t="n">
        <f aca="false">I12</f>
        <v>120</v>
      </c>
      <c r="J13" s="27" t="n">
        <f aca="false">H13+I13</f>
        <v>120</v>
      </c>
      <c r="K13" s="174" t="n">
        <f aca="false">(H13+I13)/(1+R$3)^$B13</f>
        <v>90.1577761081893</v>
      </c>
      <c r="L13" s="36"/>
      <c r="M13" s="0" t="n">
        <f aca="false">H13-C13</f>
        <v>0</v>
      </c>
      <c r="N13" s="0" t="n">
        <f aca="false">I13-D13</f>
        <v>25</v>
      </c>
      <c r="O13" s="36" t="n">
        <f aca="false">N13+M13</f>
        <v>25</v>
      </c>
      <c r="Q13" s="21" t="n">
        <f aca="false">M13/(1+$R$3)^$B13</f>
        <v>0</v>
      </c>
      <c r="R13" s="21" t="n">
        <f aca="false">N13/(1+$R$3)^$B13</f>
        <v>18.7828700225394</v>
      </c>
      <c r="U13" s="0" t="n">
        <f aca="false">C13-H13</f>
        <v>0</v>
      </c>
      <c r="V13" s="0" t="n">
        <f aca="false">D13-I13</f>
        <v>-25</v>
      </c>
      <c r="W13" s="36" t="n">
        <f aca="false">V13+U13</f>
        <v>-25</v>
      </c>
    </row>
    <row r="14" customFormat="false" ht="15" hidden="false" customHeight="false" outlineLevel="0" collapsed="false">
      <c r="B14" s="4" t="n">
        <v>4</v>
      </c>
      <c r="C14" s="36"/>
      <c r="D14" s="36" t="n">
        <f aca="false">D13</f>
        <v>95</v>
      </c>
      <c r="E14" s="27" t="n">
        <f aca="false">C14+D14</f>
        <v>95</v>
      </c>
      <c r="F14" s="174" t="n">
        <f aca="false">(C14+D14)/(1+R$3)^$B14</f>
        <v>64.8862782596817</v>
      </c>
      <c r="H14" s="36"/>
      <c r="I14" s="36" t="n">
        <f aca="false">I13</f>
        <v>120</v>
      </c>
      <c r="J14" s="27" t="n">
        <f aca="false">H14+I14</f>
        <v>120</v>
      </c>
      <c r="K14" s="174" t="n">
        <f aca="false">(H14+I14)/(1+R$3)^$B14</f>
        <v>81.9616146438085</v>
      </c>
      <c r="L14" s="36"/>
      <c r="M14" s="0" t="n">
        <f aca="false">H14-C14</f>
        <v>0</v>
      </c>
      <c r="N14" s="0" t="n">
        <f aca="false">I14-D14</f>
        <v>25</v>
      </c>
      <c r="O14" s="36" t="n">
        <f aca="false">N14+M14</f>
        <v>25</v>
      </c>
      <c r="Q14" s="21" t="n">
        <f aca="false">M14/(1+$R$3)^$B14</f>
        <v>0</v>
      </c>
      <c r="R14" s="21" t="n">
        <f aca="false">N14/(1+$R$3)^$B14</f>
        <v>17.0753363841268</v>
      </c>
      <c r="U14" s="0" t="n">
        <f aca="false">C14-H14</f>
        <v>0</v>
      </c>
      <c r="V14" s="0" t="n">
        <f aca="false">D14-I14</f>
        <v>-25</v>
      </c>
      <c r="W14" s="36" t="n">
        <f aca="false">V14+U14</f>
        <v>-25</v>
      </c>
    </row>
    <row r="15" customFormat="false" ht="15" hidden="false" customHeight="false" outlineLevel="0" collapsed="false">
      <c r="B15" s="4" t="n">
        <v>5</v>
      </c>
      <c r="C15" s="36"/>
      <c r="D15" s="36" t="n">
        <f aca="false">D14</f>
        <v>95</v>
      </c>
      <c r="E15" s="27" t="n">
        <f aca="false">C15+D15</f>
        <v>95</v>
      </c>
      <c r="F15" s="174" t="n">
        <f aca="false">(C15+D15)/(1+R$3)^$B15</f>
        <v>58.9875256906197</v>
      </c>
      <c r="H15" s="36"/>
      <c r="I15" s="36" t="n">
        <f aca="false">I14</f>
        <v>120</v>
      </c>
      <c r="J15" s="27" t="n">
        <f aca="false">H15+I15</f>
        <v>120</v>
      </c>
      <c r="K15" s="174" t="n">
        <f aca="false">(H15+I15)/(1+R$3)^$B15</f>
        <v>74.5105587670986</v>
      </c>
      <c r="L15" s="36"/>
      <c r="M15" s="0" t="n">
        <f aca="false">H15-C15</f>
        <v>0</v>
      </c>
      <c r="N15" s="0" t="n">
        <f aca="false">I15-D15</f>
        <v>25</v>
      </c>
      <c r="O15" s="36" t="n">
        <f aca="false">N15+M15</f>
        <v>25</v>
      </c>
      <c r="Q15" s="21" t="n">
        <f aca="false">M15/(1+$R$3)^$B15</f>
        <v>0</v>
      </c>
      <c r="R15" s="21" t="n">
        <f aca="false">N15/(1+$R$3)^$B15</f>
        <v>15.5230330764789</v>
      </c>
      <c r="U15" s="0" t="n">
        <f aca="false">C15-H15</f>
        <v>0</v>
      </c>
      <c r="V15" s="0" t="n">
        <f aca="false">D15-I15</f>
        <v>-25</v>
      </c>
      <c r="W15" s="36" t="n">
        <f aca="false">V15+U15</f>
        <v>-25</v>
      </c>
    </row>
    <row r="16" customFormat="false" ht="15" hidden="false" customHeight="false" outlineLevel="0" collapsed="false">
      <c r="B16" s="4" t="n">
        <v>6</v>
      </c>
      <c r="C16" s="64" t="n">
        <f aca="false">-D4+D6</f>
        <v>-150</v>
      </c>
      <c r="D16" s="36" t="n">
        <f aca="false">D15</f>
        <v>95</v>
      </c>
      <c r="E16" s="27" t="n">
        <f aca="false">C16+D16</f>
        <v>-55</v>
      </c>
      <c r="F16" s="174" t="n">
        <f aca="false">(C16+D16)/(1+R$3)^$B16</f>
        <v>-31.0460661529577</v>
      </c>
      <c r="H16" s="36"/>
      <c r="I16" s="36" t="n">
        <f aca="false">I15+K6</f>
        <v>120</v>
      </c>
      <c r="J16" s="27" t="n">
        <f aca="false">H16+I16</f>
        <v>120</v>
      </c>
      <c r="K16" s="174" t="n">
        <f aca="false">(H16+I16)/(1+R$3)^$B16</f>
        <v>67.7368716064533</v>
      </c>
      <c r="L16" s="36"/>
      <c r="M16" s="56" t="n">
        <f aca="false">H16-C16</f>
        <v>150</v>
      </c>
      <c r="N16" s="56" t="n">
        <f aca="false">I16-D16</f>
        <v>25</v>
      </c>
      <c r="O16" s="36" t="n">
        <f aca="false">N16+M16</f>
        <v>175</v>
      </c>
      <c r="Q16" s="21" t="n">
        <f aca="false">M16/(1+$R$3)^$B16</f>
        <v>84.6710895080666</v>
      </c>
      <c r="R16" s="21" t="n">
        <f aca="false">N16/(1+$R$3)^$B16</f>
        <v>14.1118482513444</v>
      </c>
      <c r="U16" s="0" t="n">
        <f aca="false">C16-H16</f>
        <v>-150</v>
      </c>
      <c r="V16" s="0" t="n">
        <f aca="false">D16-I16</f>
        <v>-25</v>
      </c>
      <c r="W16" s="36" t="n">
        <f aca="false">V16+U16</f>
        <v>-175</v>
      </c>
    </row>
    <row r="17" customFormat="false" ht="15" hidden="false" customHeight="false" outlineLevel="0" collapsed="false">
      <c r="B17" s="4" t="n">
        <v>7</v>
      </c>
      <c r="C17" s="36" t="n">
        <f aca="false">C15</f>
        <v>0</v>
      </c>
      <c r="D17" s="36" t="n">
        <f aca="false">D15</f>
        <v>95</v>
      </c>
      <c r="E17" s="27" t="n">
        <f aca="false">C17+D17</f>
        <v>95</v>
      </c>
      <c r="F17" s="174" t="n">
        <f aca="false">(C17+D17)/(1+R$3)^$B17</f>
        <v>48.7500212319171</v>
      </c>
      <c r="H17" s="36"/>
      <c r="I17" s="36" t="n">
        <f aca="false">I15</f>
        <v>120</v>
      </c>
      <c r="J17" s="27" t="n">
        <f aca="false">H17+I17</f>
        <v>120</v>
      </c>
      <c r="K17" s="174" t="n">
        <f aca="false">(H17+I17)/(1+R$3)^$B17</f>
        <v>61.5789741876848</v>
      </c>
      <c r="L17" s="36"/>
      <c r="M17" s="0" t="n">
        <f aca="false">H17-C17</f>
        <v>0</v>
      </c>
      <c r="N17" s="0" t="n">
        <f aca="false">I17-D17</f>
        <v>25</v>
      </c>
      <c r="O17" s="36" t="n">
        <f aca="false">N17+M17</f>
        <v>25</v>
      </c>
      <c r="Q17" s="21" t="n">
        <f aca="false">M17/(1+$R$3)^$B17</f>
        <v>0</v>
      </c>
      <c r="R17" s="21" t="n">
        <f aca="false">N17/(1+$R$3)^$B17</f>
        <v>12.8289529557677</v>
      </c>
      <c r="U17" s="0" t="n">
        <f aca="false">C17-H17</f>
        <v>0</v>
      </c>
      <c r="V17" s="0" t="n">
        <f aca="false">D17-I17</f>
        <v>-25</v>
      </c>
      <c r="W17" s="36" t="n">
        <f aca="false">V17+U17</f>
        <v>-25</v>
      </c>
    </row>
    <row r="18" customFormat="false" ht="15" hidden="false" customHeight="false" outlineLevel="0" collapsed="false">
      <c r="B18" s="4" t="n">
        <v>8</v>
      </c>
      <c r="C18" s="36" t="n">
        <f aca="false">C17</f>
        <v>0</v>
      </c>
      <c r="D18" s="36" t="n">
        <f aca="false">D17</f>
        <v>95</v>
      </c>
      <c r="E18" s="27" t="n">
        <f aca="false">C18+D18</f>
        <v>95</v>
      </c>
      <c r="F18" s="174" t="n">
        <f aca="false">(C18+D18)/(1+R$3)^$B18</f>
        <v>44.3182011199246</v>
      </c>
      <c r="H18" s="36"/>
      <c r="I18" s="36" t="n">
        <f aca="false">I17</f>
        <v>120</v>
      </c>
      <c r="J18" s="27" t="n">
        <f aca="false">H18+I18</f>
        <v>120</v>
      </c>
      <c r="K18" s="174" t="n">
        <f aca="false">(H18+I18)/(1+R$3)^$B18</f>
        <v>55.980885625168</v>
      </c>
      <c r="L18" s="36"/>
      <c r="M18" s="0" t="n">
        <f aca="false">H18-C18</f>
        <v>0</v>
      </c>
      <c r="N18" s="0" t="n">
        <f aca="false">I18-D18</f>
        <v>25</v>
      </c>
      <c r="O18" s="36" t="n">
        <f aca="false">N18+M18</f>
        <v>25</v>
      </c>
      <c r="Q18" s="21" t="n">
        <f aca="false">M18/(1+$R$3)^$B18</f>
        <v>0</v>
      </c>
      <c r="R18" s="21" t="n">
        <f aca="false">N18/(1+$R$3)^$B18</f>
        <v>11.6626845052433</v>
      </c>
      <c r="U18" s="0" t="n">
        <f aca="false">C18-H18</f>
        <v>0</v>
      </c>
      <c r="V18" s="0" t="n">
        <f aca="false">D18-I18</f>
        <v>-25</v>
      </c>
      <c r="W18" s="36" t="n">
        <f aca="false">V18+U18</f>
        <v>-25</v>
      </c>
    </row>
    <row r="19" customFormat="false" ht="15" hidden="false" customHeight="false" outlineLevel="0" collapsed="false">
      <c r="B19" s="4" t="n">
        <v>9</v>
      </c>
      <c r="C19" s="36" t="n">
        <f aca="false">C18</f>
        <v>0</v>
      </c>
      <c r="D19" s="36" t="n">
        <f aca="false">D18</f>
        <v>95</v>
      </c>
      <c r="E19" s="27" t="n">
        <f aca="false">C19+D19</f>
        <v>95</v>
      </c>
      <c r="F19" s="174" t="n">
        <f aca="false">(C19+D19)/(1+R$3)^$B19</f>
        <v>40.289273745386</v>
      </c>
      <c r="H19" s="36"/>
      <c r="I19" s="36" t="n">
        <f aca="false">I18</f>
        <v>120</v>
      </c>
      <c r="J19" s="27" t="n">
        <f aca="false">H19+I19</f>
        <v>120</v>
      </c>
      <c r="K19" s="174" t="n">
        <f aca="false">(H19+I19)/(1+R$3)^$B19</f>
        <v>50.8917142046982</v>
      </c>
      <c r="L19" s="36"/>
      <c r="M19" s="0" t="n">
        <f aca="false">H19-C19</f>
        <v>0</v>
      </c>
      <c r="N19" s="0" t="n">
        <f aca="false">I19-D19</f>
        <v>25</v>
      </c>
      <c r="O19" s="36" t="n">
        <f aca="false">N19+M19</f>
        <v>25</v>
      </c>
      <c r="Q19" s="21" t="n">
        <f aca="false">M19/(1+$R$3)^$B19</f>
        <v>0</v>
      </c>
      <c r="R19" s="21" t="n">
        <f aca="false">N19/(1+$R$3)^$B19</f>
        <v>10.6024404593121</v>
      </c>
      <c r="U19" s="0" t="n">
        <f aca="false">C19-H19</f>
        <v>0</v>
      </c>
      <c r="V19" s="0" t="n">
        <f aca="false">D19-I19</f>
        <v>-25</v>
      </c>
      <c r="W19" s="36" t="n">
        <f aca="false">V19+U19</f>
        <v>-25</v>
      </c>
    </row>
    <row r="20" customFormat="false" ht="15" hidden="false" customHeight="false" outlineLevel="0" collapsed="false">
      <c r="B20" s="4" t="n">
        <v>10</v>
      </c>
      <c r="C20" s="36" t="n">
        <f aca="false">C19</f>
        <v>0</v>
      </c>
      <c r="D20" s="36" t="n">
        <f aca="false">D19</f>
        <v>95</v>
      </c>
      <c r="E20" s="27" t="n">
        <f aca="false">C20+D20</f>
        <v>95</v>
      </c>
      <c r="F20" s="174" t="n">
        <f aca="false">(C20+D20)/(1+R$3)^$B20</f>
        <v>36.6266124958055</v>
      </c>
      <c r="H20" s="36"/>
      <c r="I20" s="36" t="n">
        <f aca="false">I19</f>
        <v>120</v>
      </c>
      <c r="J20" s="27" t="n">
        <f aca="false">H20+I20</f>
        <v>120</v>
      </c>
      <c r="K20" s="174" t="n">
        <f aca="false">(H20+I20)/(1+R$3)^$B20</f>
        <v>46.2651947315438</v>
      </c>
      <c r="L20" s="36"/>
      <c r="M20" s="0" t="n">
        <f aca="false">H20-C20</f>
        <v>0</v>
      </c>
      <c r="N20" s="0" t="n">
        <f aca="false">I20-D20</f>
        <v>25</v>
      </c>
      <c r="O20" s="36" t="n">
        <f aca="false">N20+M20</f>
        <v>25</v>
      </c>
      <c r="Q20" s="21" t="n">
        <f aca="false">M20/(1+$R$3)^$B20</f>
        <v>0</v>
      </c>
      <c r="R20" s="21" t="n">
        <f aca="false">N20/(1+$R$3)^$B20</f>
        <v>9.63858223573829</v>
      </c>
      <c r="U20" s="0" t="n">
        <f aca="false">C20-H20</f>
        <v>0</v>
      </c>
      <c r="V20" s="0" t="n">
        <f aca="false">D20-I20</f>
        <v>-25</v>
      </c>
      <c r="W20" s="36" t="n">
        <f aca="false">V20+U20</f>
        <v>-25</v>
      </c>
    </row>
    <row r="21" customFormat="false" ht="15" hidden="false" customHeight="false" outlineLevel="0" collapsed="false">
      <c r="B21" s="4" t="n">
        <v>11</v>
      </c>
      <c r="C21" s="36" t="n">
        <f aca="false">C20</f>
        <v>0</v>
      </c>
      <c r="D21" s="36" t="n">
        <f aca="false">D20</f>
        <v>95</v>
      </c>
      <c r="E21" s="27" t="n">
        <f aca="false">C21+D21</f>
        <v>95</v>
      </c>
      <c r="F21" s="174" t="n">
        <f aca="false">(C21+D21)/(1+R$3)^$B21</f>
        <v>33.2969204507323</v>
      </c>
      <c r="H21" s="36"/>
      <c r="I21" s="36" t="n">
        <f aca="false">I20</f>
        <v>120</v>
      </c>
      <c r="J21" s="27" t="n">
        <f aca="false">H21+I21</f>
        <v>120</v>
      </c>
      <c r="K21" s="174" t="n">
        <f aca="false">(H21+I21)/(1+R$3)^$B21</f>
        <v>42.0592679377671</v>
      </c>
      <c r="L21" s="36"/>
      <c r="M21" s="0" t="n">
        <f aca="false">H21-C21</f>
        <v>0</v>
      </c>
      <c r="N21" s="0" t="n">
        <f aca="false">I21-D21</f>
        <v>25</v>
      </c>
      <c r="O21" s="36" t="n">
        <f aca="false">N21+M21</f>
        <v>25</v>
      </c>
      <c r="Q21" s="21" t="n">
        <f aca="false">M21/(1+$R$3)^$B21</f>
        <v>0</v>
      </c>
      <c r="R21" s="21" t="n">
        <f aca="false">N21/(1+$R$3)^$B21</f>
        <v>8.76234748703481</v>
      </c>
      <c r="U21" s="0" t="n">
        <f aca="false">C21-H21</f>
        <v>0</v>
      </c>
      <c r="V21" s="0" t="n">
        <f aca="false">D21-I21</f>
        <v>-25</v>
      </c>
      <c r="W21" s="36" t="n">
        <f aca="false">V21+U21</f>
        <v>-25</v>
      </c>
    </row>
    <row r="22" customFormat="false" ht="15" hidden="false" customHeight="false" outlineLevel="0" collapsed="false">
      <c r="B22" s="4" t="n">
        <v>12</v>
      </c>
      <c r="C22" s="64" t="n">
        <v>50</v>
      </c>
      <c r="D22" s="36" t="n">
        <f aca="false">D21</f>
        <v>95</v>
      </c>
      <c r="E22" s="27" t="n">
        <f aca="false">C22+D22</f>
        <v>145</v>
      </c>
      <c r="F22" s="174" t="n">
        <f aca="false">(C22+D22)/(1+R$3)^$B22</f>
        <v>46.2014685680017</v>
      </c>
      <c r="H22" s="36" t="n">
        <f aca="false">H6</f>
        <v>150</v>
      </c>
      <c r="I22" s="36" t="n">
        <f aca="false">I21+K6</f>
        <v>120</v>
      </c>
      <c r="J22" s="27" t="n">
        <f aca="false">H22+I22</f>
        <v>270</v>
      </c>
      <c r="K22" s="174" t="n">
        <f aca="false">(H22+I22)/(1+R$3)^$B22</f>
        <v>86.0303207817963</v>
      </c>
      <c r="L22" s="36"/>
      <c r="M22" s="56" t="n">
        <f aca="false">H22-C22</f>
        <v>100</v>
      </c>
      <c r="N22" s="56" t="n">
        <f aca="false">I22-D22</f>
        <v>25</v>
      </c>
      <c r="O22" s="36" t="n">
        <f aca="false">N22+M22</f>
        <v>125</v>
      </c>
      <c r="Q22" s="21" t="n">
        <f aca="false">M22/(1+$R$3)^$B22</f>
        <v>31.8630817710357</v>
      </c>
      <c r="R22" s="21" t="n">
        <f aca="false">N22/(1+$R$3)^$B22</f>
        <v>7.96577044275891</v>
      </c>
      <c r="U22" s="0" t="n">
        <f aca="false">C22-H22</f>
        <v>-100</v>
      </c>
      <c r="V22" s="0" t="n">
        <f aca="false">D22-I22</f>
        <v>-25</v>
      </c>
      <c r="W22" s="36" t="n">
        <f aca="false">V22+U22</f>
        <v>-125</v>
      </c>
    </row>
    <row r="23" customFormat="false" ht="15" hidden="false" customHeight="false" outlineLevel="0" collapsed="false">
      <c r="C23" s="1"/>
      <c r="D23" s="1"/>
      <c r="E23" s="27"/>
      <c r="F23" s="175"/>
      <c r="H23" s="1"/>
      <c r="I23" s="1"/>
      <c r="J23" s="1"/>
      <c r="K23" s="175"/>
    </row>
    <row r="24" customFormat="false" ht="18.75" hidden="false" customHeight="false" outlineLevel="0" collapsed="false">
      <c r="B24" s="61" t="s">
        <v>58</v>
      </c>
      <c r="C24" s="61"/>
      <c r="D24" s="176" t="n">
        <f aca="false">SUM(D10:D22)</f>
        <v>1140</v>
      </c>
      <c r="E24" s="176"/>
      <c r="F24" s="177" t="n">
        <f aca="false">SUM(F10:F22)</f>
        <v>378.561174552612</v>
      </c>
      <c r="G24" s="178"/>
      <c r="H24" s="61"/>
      <c r="I24" s="176" t="n">
        <f aca="false">SUM(I10:I22)</f>
        <v>1440</v>
      </c>
      <c r="J24" s="176"/>
      <c r="K24" s="177" t="n">
        <f aca="false">SUM(K10:K22)</f>
        <v>165.437641404125</v>
      </c>
      <c r="L24" s="176"/>
      <c r="M24" s="176" t="n">
        <f aca="false">SUM(M10:M22)</f>
        <v>-250</v>
      </c>
      <c r="N24" s="176" t="n">
        <f aca="false">SUM(N10:N22)</f>
        <v>300</v>
      </c>
      <c r="O24" s="179" t="n">
        <f aca="false">SUM(O10:O22)</f>
        <v>50</v>
      </c>
      <c r="Q24" s="24" t="n">
        <f aca="false">SUM(Q10:Q22)</f>
        <v>-383.465828720898</v>
      </c>
      <c r="R24" s="24" t="n">
        <f aca="false">SUM(R10:R22)</f>
        <v>170.342295572411</v>
      </c>
      <c r="S24" s="24" t="n">
        <f aca="false">Q24+R24</f>
        <v>-213.123533148487</v>
      </c>
      <c r="U24" s="176" t="n">
        <f aca="false">SUM(U10:U22)</f>
        <v>250</v>
      </c>
      <c r="V24" s="176" t="n">
        <f aca="false">SUM(V10:V22)</f>
        <v>-300</v>
      </c>
      <c r="W24" s="179" t="n">
        <f aca="false">SUM(W10:W22)</f>
        <v>-50</v>
      </c>
    </row>
    <row r="25" customFormat="false" ht="15" hidden="true" customHeight="false" outlineLevel="0" collapsed="false">
      <c r="B25" s="0" t="s">
        <v>469</v>
      </c>
      <c r="F25" s="180" t="n">
        <f aca="false">F11/-F10</f>
        <v>0.431818181818182</v>
      </c>
      <c r="K25" s="180" t="n">
        <f aca="false">K11/-K10</f>
        <v>0.155844155844156</v>
      </c>
      <c r="L25" s="180"/>
      <c r="M25" s="180"/>
    </row>
    <row r="27" customFormat="false" ht="18.75" hidden="false" customHeight="false" outlineLevel="0" collapsed="false">
      <c r="B27" s="79" t="s">
        <v>446</v>
      </c>
      <c r="C27" s="55"/>
      <c r="D27" s="55"/>
      <c r="E27" s="55" t="n">
        <f aca="false">IRR(E10:E22)</f>
        <v>0.432554079111988</v>
      </c>
      <c r="F27" s="55"/>
      <c r="H27" s="55"/>
      <c r="J27" s="55" t="n">
        <f aca="false">IRR(J10:J22)</f>
        <v>0.143173333108279</v>
      </c>
      <c r="O27" s="181" t="n">
        <f aca="false">IRR(O10:O22)</f>
        <v>0.0131605978339067</v>
      </c>
      <c r="T27" s="0" t="s">
        <v>470</v>
      </c>
      <c r="W27" s="181" t="n">
        <f aca="false">IRR(W10:W22)</f>
        <v>0.0131605978339067</v>
      </c>
    </row>
    <row r="29" customFormat="false" ht="15" hidden="false" customHeight="false" outlineLevel="0" collapsed="false">
      <c r="C29" s="0" t="s">
        <v>471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8" activeCellId="0" sqref="E2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3.15"/>
    <col collapsed="false" customWidth="true" hidden="false" outlineLevel="0" max="3" min="3" style="0" width="18.14"/>
    <col collapsed="false" customWidth="true" hidden="false" outlineLevel="0" max="4" min="4" style="0" width="9.57"/>
    <col collapsed="false" customWidth="true" hidden="false" outlineLevel="0" max="5" min="5" style="0" width="10.14"/>
    <col collapsed="false" customWidth="true" hidden="false" outlineLevel="0" max="8" min="6" style="0" width="11.57"/>
    <col collapsed="false" customWidth="true" hidden="false" outlineLevel="0" max="9" min="9" style="0" width="4.57"/>
    <col collapsed="false" customWidth="true" hidden="false" outlineLevel="0" max="10" min="10" style="0" width="15.57"/>
    <col collapsed="false" customWidth="true" hidden="false" outlineLevel="0" max="11" min="11" style="0" width="10.29"/>
    <col collapsed="false" customWidth="true" hidden="false" outlineLevel="0" max="12" min="12" style="0" width="10.14"/>
    <col collapsed="false" customWidth="true" hidden="false" outlineLevel="0" max="13" min="13" style="0" width="9.57"/>
    <col collapsed="false" customWidth="true" hidden="false" outlineLevel="0" max="15" min="14" style="0" width="10.14"/>
    <col collapsed="false" customWidth="true" hidden="false" outlineLevel="0" max="16" min="16" style="0" width="4.57"/>
    <col collapsed="false" customWidth="true" hidden="false" outlineLevel="0" max="17" min="17" style="0" width="15.42"/>
    <col collapsed="false" customWidth="true" hidden="false" outlineLevel="0" max="18" min="18" style="0" width="10.57"/>
    <col collapsed="false" customWidth="true" hidden="false" outlineLevel="0" max="19" min="19" style="0" width="9.86"/>
    <col collapsed="false" customWidth="true" hidden="false" outlineLevel="0" max="20" min="20" style="0" width="10"/>
    <col collapsed="false" customWidth="true" hidden="false" outlineLevel="0" max="21" min="21" style="0" width="9.42"/>
    <col collapsed="false" customWidth="true" hidden="false" outlineLevel="0" max="22" min="22" style="0" width="9"/>
    <col collapsed="false" customWidth="true" hidden="false" outlineLevel="0" max="24" min="23" style="0" width="4"/>
    <col collapsed="false" customWidth="true" hidden="false" outlineLevel="0" max="25" min="25" style="0" width="3.29"/>
  </cols>
  <sheetData>
    <row r="1" customFormat="false" ht="15" hidden="false" customHeight="false" outlineLevel="0" collapsed="false">
      <c r="A1" s="29" t="s">
        <v>472</v>
      </c>
    </row>
    <row r="2" customFormat="false" ht="15" hidden="false" customHeight="false" outlineLevel="0" collapsed="false">
      <c r="B2" s="84" t="s">
        <v>473</v>
      </c>
      <c r="C2" s="5" t="s">
        <v>474</v>
      </c>
      <c r="D2" s="5"/>
      <c r="E2" s="5"/>
      <c r="F2" s="5"/>
      <c r="G2" s="5"/>
      <c r="H2" s="5"/>
      <c r="J2" s="5" t="s">
        <v>475</v>
      </c>
      <c r="K2" s="5"/>
      <c r="L2" s="5"/>
      <c r="M2" s="5"/>
      <c r="N2" s="5"/>
      <c r="O2" s="5"/>
      <c r="P2" s="27"/>
      <c r="Q2" s="5" t="s">
        <v>476</v>
      </c>
      <c r="R2" s="5"/>
      <c r="S2" s="5"/>
      <c r="T2" s="5"/>
      <c r="U2" s="5"/>
      <c r="V2" s="5"/>
      <c r="W2" s="27"/>
      <c r="X2" s="27"/>
    </row>
    <row r="4" customFormat="false" ht="15" hidden="false" customHeight="false" outlineLevel="0" collapsed="false">
      <c r="B4" s="84" t="s">
        <v>477</v>
      </c>
      <c r="C4" s="13" t="n">
        <v>100000</v>
      </c>
      <c r="J4" s="13" t="n">
        <v>175000</v>
      </c>
      <c r="Q4" s="13" t="n">
        <v>300000</v>
      </c>
    </row>
    <row r="5" customFormat="false" ht="15" hidden="false" customHeight="false" outlineLevel="0" collapsed="false">
      <c r="B5" s="84" t="s">
        <v>478</v>
      </c>
      <c r="C5" s="8" t="n">
        <v>4</v>
      </c>
      <c r="J5" s="8" t="n">
        <v>10</v>
      </c>
      <c r="Q5" s="8" t="n">
        <v>25</v>
      </c>
    </row>
    <row r="7" customFormat="false" ht="15" hidden="false" customHeight="false" outlineLevel="0" collapsed="false">
      <c r="B7" s="84" t="s">
        <v>0</v>
      </c>
      <c r="D7" s="9" t="n">
        <v>0.005</v>
      </c>
      <c r="E7" s="34" t="n">
        <v>0.05</v>
      </c>
      <c r="F7" s="34" t="n">
        <v>0.1</v>
      </c>
      <c r="G7" s="34" t="n">
        <v>0.15</v>
      </c>
      <c r="H7" s="34" t="n">
        <v>0.2</v>
      </c>
      <c r="J7" s="0" t="s">
        <v>0</v>
      </c>
      <c r="K7" s="9" t="n">
        <v>0.005</v>
      </c>
      <c r="L7" s="34" t="n">
        <v>0.05</v>
      </c>
      <c r="M7" s="34" t="n">
        <v>0.1</v>
      </c>
      <c r="N7" s="34" t="n">
        <v>0.15</v>
      </c>
      <c r="O7" s="34" t="n">
        <v>0.2</v>
      </c>
      <c r="P7" s="34"/>
      <c r="Q7" s="0" t="s">
        <v>0</v>
      </c>
      <c r="R7" s="9" t="n">
        <v>0.005</v>
      </c>
      <c r="S7" s="34" t="n">
        <v>0.05</v>
      </c>
      <c r="T7" s="34" t="n">
        <v>0.1</v>
      </c>
      <c r="U7" s="34" t="n">
        <v>0.15</v>
      </c>
      <c r="V7" s="34" t="n">
        <v>0.2</v>
      </c>
      <c r="W7" s="34"/>
      <c r="X7" s="34"/>
    </row>
    <row r="8" customFormat="false" ht="15" hidden="false" customHeight="false" outlineLevel="0" collapsed="false">
      <c r="B8" s="84"/>
      <c r="D8" s="9"/>
      <c r="E8" s="34"/>
      <c r="F8" s="34"/>
      <c r="G8" s="34"/>
      <c r="H8" s="34"/>
      <c r="K8" s="34"/>
      <c r="L8" s="34"/>
      <c r="M8" s="34"/>
      <c r="N8" s="34"/>
      <c r="O8" s="34"/>
      <c r="P8" s="34"/>
      <c r="R8" s="34"/>
      <c r="S8" s="34"/>
    </row>
    <row r="9" customFormat="false" ht="15" hidden="false" customHeight="false" outlineLevel="0" collapsed="false">
      <c r="B9" s="84" t="s">
        <v>306</v>
      </c>
      <c r="D9" s="21" t="n">
        <f aca="false">$C4*((D7*(1+D7)^$C5)/((1+D7)^$C5-1))</f>
        <v>25313.2792978694</v>
      </c>
      <c r="E9" s="21" t="n">
        <f aca="false">$C4*((E7*(1+E7)^$C5)/((1+E7)^$C5-1))</f>
        <v>28201.1832603463</v>
      </c>
      <c r="F9" s="21" t="n">
        <f aca="false">$C4*((F7*(1+F7)^$C5)/((1+F7)^$C5-1))</f>
        <v>31547.0803706098</v>
      </c>
      <c r="G9" s="21" t="n">
        <f aca="false">$C4*((G7*(1+G7)^$C5)/((1+G7)^$C5-1))</f>
        <v>35026.5351590858</v>
      </c>
      <c r="H9" s="21" t="n">
        <f aca="false">$C4*((H7*(1+H7)^$C5)/((1+H7)^$C5-1))</f>
        <v>38628.912071535</v>
      </c>
      <c r="K9" s="21" t="n">
        <f aca="false">$J4*((K7*(1+K7)^$J5)/((1+K7)^$J5-1))</f>
        <v>17984.8502307758</v>
      </c>
      <c r="L9" s="21" t="n">
        <f aca="false">$J4*((L7*(1+L7)^$J5)/((1+L7)^$J5-1))</f>
        <v>22663.3006189549</v>
      </c>
      <c r="M9" s="21" t="n">
        <f aca="false">$J4*((M7*(1+M7)^$J5)/((1+M7)^$J5-1))</f>
        <v>28480.4441044395</v>
      </c>
      <c r="N9" s="21" t="n">
        <f aca="false">$J4*((N7*(1+N7)^$J5)/((1+N7)^$J5-1))</f>
        <v>34869.1109405774</v>
      </c>
      <c r="O9" s="21" t="n">
        <f aca="false">$J4*((O7*(1+O7)^$J5)/((1+O7)^$J5-1))</f>
        <v>41741.4824545004</v>
      </c>
      <c r="R9" s="21" t="n">
        <f aca="false">$Q4*((R7*(1+R7)^$Q5)/((1+R7)^$Q5-1))</f>
        <v>12795.5570923497</v>
      </c>
      <c r="S9" s="21" t="n">
        <f aca="false">$Q4*((S7*(1+S7)^$Q5)/((1+S7)^$Q5-1))</f>
        <v>21285.7371897689</v>
      </c>
      <c r="T9" s="21" t="n">
        <f aca="false">$Q4*((T7*(1+T7)^$Q5)/((1+T7)^$Q5-1))</f>
        <v>33050.4216570063</v>
      </c>
      <c r="U9" s="21" t="n">
        <f aca="false">$Q4*((U7*(1+U7)^$Q5)/((1+U7)^$Q5-1))</f>
        <v>46409.8206960619</v>
      </c>
      <c r="V9" s="21" t="n">
        <f aca="false">$Q4*((V7*(1+V7)^$Q5)/((1+V7)^$Q5-1))</f>
        <v>60635.6186946161</v>
      </c>
    </row>
    <row r="11" customFormat="false" ht="15" hidden="false" customHeight="false" outlineLevel="0" collapsed="false">
      <c r="B11" s="182"/>
    </row>
    <row r="16" customFormat="false" ht="15" hidden="false" customHeight="false" outlineLevel="0" collapsed="false">
      <c r="B16" s="29" t="s">
        <v>479</v>
      </c>
    </row>
    <row r="17" customFormat="false" ht="15" hidden="false" customHeight="false" outlineLevel="0" collapsed="false">
      <c r="B17" s="29"/>
      <c r="D17" s="0" t="s">
        <v>480</v>
      </c>
    </row>
    <row r="18" customFormat="false" ht="15" hidden="false" customHeight="false" outlineLevel="0" collapsed="false">
      <c r="C18" s="81" t="s">
        <v>473</v>
      </c>
      <c r="D18" s="183" t="n">
        <f aca="false">D7</f>
        <v>0.005</v>
      </c>
      <c r="E18" s="184" t="n">
        <f aca="false">E7</f>
        <v>0.05</v>
      </c>
      <c r="F18" s="184" t="n">
        <f aca="false">F7</f>
        <v>0.1</v>
      </c>
      <c r="G18" s="184" t="n">
        <f aca="false">G7</f>
        <v>0.15</v>
      </c>
      <c r="H18" s="184" t="n">
        <f aca="false">H7</f>
        <v>0.2</v>
      </c>
    </row>
    <row r="19" customFormat="false" ht="15" hidden="false" customHeight="false" outlineLevel="0" collapsed="false">
      <c r="C19" s="84" t="s">
        <v>474</v>
      </c>
      <c r="D19" s="56" t="n">
        <f aca="false">D9</f>
        <v>25313.2792978694</v>
      </c>
      <c r="E19" s="56" t="n">
        <f aca="false">E9</f>
        <v>28201.1832603463</v>
      </c>
      <c r="F19" s="161" t="n">
        <f aca="false">F9</f>
        <v>31547.0803706098</v>
      </c>
      <c r="G19" s="56" t="n">
        <f aca="false">G9</f>
        <v>35026.5351590858</v>
      </c>
      <c r="H19" s="185" t="n">
        <f aca="false">H9</f>
        <v>38628.912071535</v>
      </c>
    </row>
    <row r="20" customFormat="false" ht="15" hidden="false" customHeight="false" outlineLevel="0" collapsed="false">
      <c r="C20" s="84" t="s">
        <v>475</v>
      </c>
      <c r="D20" s="56" t="n">
        <f aca="false">K9</f>
        <v>17984.8502307758</v>
      </c>
      <c r="E20" s="56" t="n">
        <f aca="false">L9</f>
        <v>22663.3006189549</v>
      </c>
      <c r="F20" s="185" t="n">
        <f aca="false">M9</f>
        <v>28480.4441044395</v>
      </c>
      <c r="G20" s="185" t="n">
        <f aca="false">N9</f>
        <v>34869.1109405774</v>
      </c>
      <c r="H20" s="56" t="n">
        <f aca="false">O9</f>
        <v>41741.4824545004</v>
      </c>
    </row>
    <row r="21" customFormat="false" ht="15" hidden="false" customHeight="false" outlineLevel="0" collapsed="false">
      <c r="C21" s="84" t="s">
        <v>476</v>
      </c>
      <c r="D21" s="185" t="n">
        <f aca="false">R9</f>
        <v>12795.5570923497</v>
      </c>
      <c r="E21" s="185" t="n">
        <f aca="false">S9</f>
        <v>21285.7371897689</v>
      </c>
      <c r="F21" s="161" t="n">
        <f aca="false">T9</f>
        <v>33050.4216570063</v>
      </c>
      <c r="G21" s="161" t="n">
        <f aca="false">U9</f>
        <v>46409.8206960619</v>
      </c>
      <c r="H21" s="161" t="n">
        <f aca="false">V9</f>
        <v>60635.6186946161</v>
      </c>
    </row>
    <row r="23" customFormat="false" ht="15" hidden="false" customHeight="false" outlineLevel="0" collapsed="false">
      <c r="C23" s="186" t="s">
        <v>481</v>
      </c>
      <c r="D23" s="186"/>
      <c r="E23" s="186"/>
    </row>
    <row r="25" customFormat="false" ht="15" hidden="false" customHeight="false" outlineLevel="0" collapsed="false">
      <c r="C25" s="0" t="s">
        <v>482</v>
      </c>
    </row>
    <row r="26" customFormat="false" ht="15" hidden="false" customHeight="false" outlineLevel="0" collapsed="false">
      <c r="C26" s="0" t="s">
        <v>483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18.14"/>
    <col collapsed="false" customWidth="true" hidden="false" outlineLevel="0" max="3" min="3" style="0" width="14.71"/>
    <col collapsed="false" customWidth="true" hidden="false" outlineLevel="0" max="4" min="4" style="0" width="10.14"/>
    <col collapsed="false" customWidth="true" hidden="false" outlineLevel="0" max="6" min="5" style="0" width="10.57"/>
    <col collapsed="false" customWidth="true" hidden="false" outlineLevel="0" max="7" min="7" style="0" width="13.86"/>
    <col collapsed="false" customWidth="true" hidden="false" outlineLevel="0" max="8" min="8" style="0" width="4.57"/>
    <col collapsed="false" customWidth="true" hidden="false" outlineLevel="0" max="10" min="9" style="0" width="15.71"/>
    <col collapsed="false" customWidth="true" hidden="false" outlineLevel="0" max="11" min="11" style="0" width="6"/>
  </cols>
  <sheetData>
    <row r="1" customFormat="false" ht="15" hidden="false" customHeight="false" outlineLevel="0" collapsed="false">
      <c r="A1" s="29" t="s">
        <v>61</v>
      </c>
    </row>
    <row r="3" customFormat="false" ht="15" hidden="false" customHeight="false" outlineLevel="0" collapsed="false">
      <c r="A3" s="0" t="s">
        <v>0</v>
      </c>
      <c r="E3" s="18" t="n">
        <v>0.01</v>
      </c>
    </row>
    <row r="4" customFormat="false" ht="15" hidden="false" customHeight="false" outlineLevel="0" collapsed="false">
      <c r="A4" s="0" t="s">
        <v>39</v>
      </c>
      <c r="E4" s="22" t="n">
        <f aca="false">-PMT(E3,60,C7)</f>
        <v>140.000102838943</v>
      </c>
      <c r="F4" s="30"/>
    </row>
    <row r="6" customFormat="false" ht="30" hidden="false" customHeight="false" outlineLevel="0" collapsed="false">
      <c r="B6" s="5" t="s">
        <v>22</v>
      </c>
      <c r="C6" s="3" t="s">
        <v>38</v>
      </c>
      <c r="D6" s="3" t="s">
        <v>24</v>
      </c>
      <c r="E6" s="3" t="s">
        <v>25</v>
      </c>
      <c r="F6" s="3" t="s">
        <v>62</v>
      </c>
      <c r="G6" s="3" t="s">
        <v>26</v>
      </c>
      <c r="H6" s="5"/>
      <c r="I6" s="3" t="s">
        <v>27</v>
      </c>
      <c r="J6" s="3" t="s">
        <v>28</v>
      </c>
    </row>
    <row r="7" customFormat="false" ht="15" hidden="false" customHeight="false" outlineLevel="0" collapsed="false">
      <c r="B7" s="0" t="n">
        <v>1</v>
      </c>
      <c r="C7" s="20" t="n">
        <v>6293.71</v>
      </c>
      <c r="D7" s="31" t="n">
        <f aca="false">C7*E$3</f>
        <v>62.9371</v>
      </c>
      <c r="E7" s="30" t="n">
        <f aca="false">E$4-D7</f>
        <v>77.0630028389431</v>
      </c>
      <c r="F7" s="21" t="n">
        <v>0</v>
      </c>
      <c r="G7" s="24" t="n">
        <f aca="false">C7-E7-F7</f>
        <v>6216.64699716106</v>
      </c>
      <c r="I7" s="25" t="n">
        <f aca="false">E7</f>
        <v>77.0630028389431</v>
      </c>
      <c r="J7" s="24" t="n">
        <f aca="false">D7</f>
        <v>62.9371</v>
      </c>
      <c r="L7" s="30" t="n">
        <f aca="false">IPMT(E$3,B7,60,$C7)</f>
        <v>-62.9371</v>
      </c>
      <c r="M7" s="30" t="n">
        <f aca="false">PPMT(E$3,B7,60,$C7)</f>
        <v>-77.0630028389432</v>
      </c>
      <c r="N7" s="25"/>
    </row>
    <row r="8" customFormat="false" ht="15" hidden="false" customHeight="false" outlineLevel="0" collapsed="false">
      <c r="B8" s="0" t="n">
        <v>2</v>
      </c>
      <c r="C8" s="21" t="n">
        <f aca="false">G7</f>
        <v>6216.64699716106</v>
      </c>
      <c r="D8" s="31" t="n">
        <f aca="false">C8*E$3</f>
        <v>62.1664699716106</v>
      </c>
      <c r="E8" s="30" t="n">
        <f aca="false">E$4-D8</f>
        <v>77.8336328673326</v>
      </c>
      <c r="F8" s="12" t="n">
        <v>0</v>
      </c>
      <c r="G8" s="24" t="n">
        <f aca="false">C8-E8-F8</f>
        <v>6138.81336429373</v>
      </c>
      <c r="I8" s="25" t="n">
        <f aca="false">I7+E8</f>
        <v>154.896635706276</v>
      </c>
      <c r="J8" s="24" t="n">
        <f aca="false">J7+D8</f>
        <v>125.103569971611</v>
      </c>
      <c r="L8" s="30" t="n">
        <f aca="false">IPMT(E$3,B8,60,$C8)</f>
        <v>-61.4052758822882</v>
      </c>
      <c r="M8" s="30" t="n">
        <f aca="false">PPMT(E$3,B8,60,$C8)</f>
        <v>-76.8806030215627</v>
      </c>
    </row>
    <row r="9" customFormat="false" ht="15" hidden="false" customHeight="false" outlineLevel="0" collapsed="false">
      <c r="B9" s="0" t="n">
        <v>3</v>
      </c>
      <c r="C9" s="21" t="n">
        <f aca="false">G8</f>
        <v>6138.81336429373</v>
      </c>
      <c r="D9" s="31" t="n">
        <f aca="false">C9*E$3</f>
        <v>61.3881336429373</v>
      </c>
      <c r="E9" s="30" t="n">
        <f aca="false">E$4-D9</f>
        <v>78.6119691960059</v>
      </c>
      <c r="F9" s="12" t="n">
        <v>0</v>
      </c>
      <c r="G9" s="24" t="n">
        <f aca="false">C9-E9-F9</f>
        <v>6060.20139509772</v>
      </c>
      <c r="I9" s="25" t="n">
        <f aca="false">I8+E9</f>
        <v>233.508604902282</v>
      </c>
      <c r="J9" s="24" t="n">
        <f aca="false">J8+D9</f>
        <v>186.491703614548</v>
      </c>
      <c r="L9" s="30" t="n">
        <f aca="false">IPMT(E$3,B9,60,$C9)</f>
        <v>-59.8772894232992</v>
      </c>
      <c r="M9" s="30" t="n">
        <f aca="false">PPMT(E$3,B9,60,$C9)</f>
        <v>-76.6772233061084</v>
      </c>
    </row>
    <row r="10" customFormat="false" ht="15" hidden="false" customHeight="false" outlineLevel="0" collapsed="false">
      <c r="B10" s="0" t="n">
        <v>4</v>
      </c>
      <c r="C10" s="21" t="n">
        <f aca="false">G9</f>
        <v>6060.20139509772</v>
      </c>
      <c r="D10" s="31" t="n">
        <f aca="false">C10*E$3</f>
        <v>60.6020139509772</v>
      </c>
      <c r="E10" s="30" t="n">
        <f aca="false">E$4-D10</f>
        <v>79.3980888879659</v>
      </c>
      <c r="F10" s="12" t="n">
        <v>0</v>
      </c>
      <c r="G10" s="24" t="n">
        <f aca="false">C10-E10-F10</f>
        <v>5980.80330620975</v>
      </c>
      <c r="I10" s="25" t="n">
        <f aca="false">I9+E10</f>
        <v>312.906693790247</v>
      </c>
      <c r="J10" s="24" t="n">
        <f aca="false">J9+D10</f>
        <v>247.093717565525</v>
      </c>
      <c r="L10" s="30" t="n">
        <f aca="false">IPMT(E$3,B10,60,$C10)</f>
        <v>-58.3535640332083</v>
      </c>
      <c r="M10" s="30" t="n">
        <f aca="false">PPMT(E$3,B10,60,$C10)</f>
        <v>-76.4522688600117</v>
      </c>
    </row>
    <row r="11" customFormat="false" ht="15" hidden="false" customHeight="false" outlineLevel="0" collapsed="false">
      <c r="B11" s="0" t="n">
        <v>5</v>
      </c>
      <c r="C11" s="21" t="n">
        <f aca="false">G10</f>
        <v>5980.80330620975</v>
      </c>
      <c r="D11" s="31" t="n">
        <f aca="false">C11*E$3</f>
        <v>59.8080330620975</v>
      </c>
      <c r="E11" s="30" t="n">
        <f aca="false">E$4-D11</f>
        <v>80.1920697768456</v>
      </c>
      <c r="F11" s="12" t="n">
        <v>0</v>
      </c>
      <c r="G11" s="24" t="n">
        <f aca="false">C11-E11-F11</f>
        <v>5900.61123643291</v>
      </c>
      <c r="I11" s="25" t="n">
        <f aca="false">I10+E11</f>
        <v>393.098763567093</v>
      </c>
      <c r="J11" s="24" t="n">
        <f aca="false">J10+D11</f>
        <v>306.901750627623</v>
      </c>
      <c r="L11" s="30" t="n">
        <f aca="false">IPMT(E$3,B11,60,$C11)</f>
        <v>-56.8345350954675</v>
      </c>
      <c r="M11" s="30" t="n">
        <f aca="false">PPMT(E$3,B11,60,$C11)</f>
        <v>-76.2051311632029</v>
      </c>
    </row>
    <row r="12" customFormat="false" ht="15" hidden="false" customHeight="false" outlineLevel="0" collapsed="false">
      <c r="B12" s="0" t="n">
        <v>6</v>
      </c>
      <c r="C12" s="21" t="n">
        <f aca="false">G11</f>
        <v>5900.61123643291</v>
      </c>
      <c r="D12" s="31" t="n">
        <f aca="false">C12*E$3</f>
        <v>59.0061123643291</v>
      </c>
      <c r="E12" s="30" t="n">
        <f aca="false">E$4-D12</f>
        <v>80.993990474614</v>
      </c>
      <c r="F12" s="12" t="n">
        <v>0</v>
      </c>
      <c r="G12" s="24" t="n">
        <f aca="false">C12-E12-F12</f>
        <v>5819.61724595829</v>
      </c>
      <c r="I12" s="25" t="n">
        <f aca="false">I11+E12</f>
        <v>474.092754041707</v>
      </c>
      <c r="J12" s="24" t="n">
        <f aca="false">J11+D12</f>
        <v>365.907862991952</v>
      </c>
      <c r="L12" s="30" t="n">
        <f aca="false">IPMT(E$3,B12,60,$C12)</f>
        <v>-55.3206502420961</v>
      </c>
      <c r="M12" s="30" t="n">
        <f aca="false">PPMT(E$3,B12,60,$C12)</f>
        <v>-75.9351877156793</v>
      </c>
    </row>
    <row r="13" customFormat="false" ht="15" hidden="false" customHeight="false" outlineLevel="0" collapsed="false">
      <c r="B13" s="0" t="n">
        <v>7</v>
      </c>
      <c r="C13" s="21" t="n">
        <f aca="false">G12</f>
        <v>5819.61724595829</v>
      </c>
      <c r="D13" s="31" t="n">
        <f aca="false">C13*E$3</f>
        <v>58.1961724595829</v>
      </c>
      <c r="E13" s="30" t="n">
        <f aca="false">E$4-D13</f>
        <v>81.8039303793602</v>
      </c>
      <c r="F13" s="12" t="n">
        <v>0</v>
      </c>
      <c r="G13" s="24" t="n">
        <f aca="false">C13-E13-F13</f>
        <v>5737.81331557893</v>
      </c>
      <c r="I13" s="25" t="n">
        <f aca="false">I12+E13</f>
        <v>555.896684421067</v>
      </c>
      <c r="J13" s="24" t="n">
        <f aca="false">J12+D13</f>
        <v>424.104035451535</v>
      </c>
      <c r="L13" s="30" t="n">
        <f aca="false">IPMT(E$3,B13,60,$C13)</f>
        <v>-53.81236963485</v>
      </c>
      <c r="M13" s="30" t="n">
        <f aca="false">PPMT(E$3,B13,60,$C13)</f>
        <v>-75.6418017390214</v>
      </c>
    </row>
    <row r="14" customFormat="false" ht="15" hidden="false" customHeight="false" outlineLevel="0" collapsed="false">
      <c r="B14" s="0" t="n">
        <v>8</v>
      </c>
      <c r="C14" s="21" t="n">
        <f aca="false">G13</f>
        <v>5737.81331557893</v>
      </c>
      <c r="D14" s="31" t="n">
        <f aca="false">C14*E$3</f>
        <v>57.3781331557893</v>
      </c>
      <c r="E14" s="30" t="n">
        <f aca="false">E$4-D14</f>
        <v>82.6219696831538</v>
      </c>
      <c r="F14" s="12" t="n">
        <v>0</v>
      </c>
      <c r="G14" s="24" t="n">
        <f aca="false">C14-E14-F14</f>
        <v>5655.19134589578</v>
      </c>
      <c r="I14" s="25" t="n">
        <f aca="false">I13+E14</f>
        <v>638.518654104221</v>
      </c>
      <c r="J14" s="24" t="n">
        <f aca="false">J13+D14</f>
        <v>481.482168607324</v>
      </c>
      <c r="L14" s="30" t="n">
        <f aca="false">IPMT(E$3,B14,60,$C14)</f>
        <v>-52.3101662523931</v>
      </c>
      <c r="M14" s="30" t="n">
        <f aca="false">PPMT(E$3,B14,60,$C14)</f>
        <v>-75.3243218717353</v>
      </c>
    </row>
    <row r="15" customFormat="false" ht="15" hidden="false" customHeight="false" outlineLevel="0" collapsed="false">
      <c r="B15" s="0" t="n">
        <v>9</v>
      </c>
      <c r="C15" s="21" t="n">
        <f aca="false">G14</f>
        <v>5655.19134589578</v>
      </c>
      <c r="D15" s="31" t="n">
        <f aca="false">C15*E$3</f>
        <v>56.5519134589578</v>
      </c>
      <c r="E15" s="30" t="n">
        <f aca="false">E$4-D15</f>
        <v>83.4481893799853</v>
      </c>
      <c r="F15" s="12" t="n">
        <v>0</v>
      </c>
      <c r="G15" s="24" t="n">
        <f aca="false">C15-E15-F15</f>
        <v>5571.74315651579</v>
      </c>
      <c r="I15" s="25" t="n">
        <f aca="false">I14+E15</f>
        <v>721.966843484206</v>
      </c>
      <c r="J15" s="24" t="n">
        <f aca="false">J14+D15</f>
        <v>538.034082066282</v>
      </c>
      <c r="L15" s="30" t="n">
        <f aca="false">IPMT(E$3,B15,60,$C15)</f>
        <v>-50.8145261835936</v>
      </c>
      <c r="M15" s="30" t="n">
        <f aca="false">PPMT(E$3,B15,60,$C15)</f>
        <v>-74.9820818582943</v>
      </c>
    </row>
    <row r="16" customFormat="false" ht="15" hidden="false" customHeight="false" outlineLevel="0" collapsed="false">
      <c r="B16" s="0" t="n">
        <v>10</v>
      </c>
      <c r="C16" s="21" t="n">
        <f aca="false">G15</f>
        <v>5571.74315651579</v>
      </c>
      <c r="D16" s="31" t="n">
        <f aca="false">C16*E$3</f>
        <v>55.7174315651579</v>
      </c>
      <c r="E16" s="30" t="n">
        <f aca="false">E$4-D16</f>
        <v>84.2826712737852</v>
      </c>
      <c r="F16" s="12" t="n">
        <v>0</v>
      </c>
      <c r="G16" s="24" t="n">
        <f aca="false">C16-E16-F16</f>
        <v>5487.46048524201</v>
      </c>
      <c r="I16" s="25" t="n">
        <f aca="false">I15+E16</f>
        <v>806.249514757992</v>
      </c>
      <c r="J16" s="24" t="n">
        <f aca="false">J15+D16</f>
        <v>593.75151363144</v>
      </c>
      <c r="L16" s="30" t="n">
        <f aca="false">IPMT(E$3,B16,60,$C16)</f>
        <v>-49.3259489270726</v>
      </c>
      <c r="M16" s="30" t="n">
        <f aca="false">PPMT(E$3,B16,60,$C16)</f>
        <v>-74.6144002317525</v>
      </c>
    </row>
    <row r="17" customFormat="false" ht="15" hidden="false" customHeight="false" outlineLevel="0" collapsed="false">
      <c r="B17" s="0" t="n">
        <v>11</v>
      </c>
      <c r="C17" s="21" t="n">
        <f aca="false">G16</f>
        <v>5487.46048524201</v>
      </c>
      <c r="D17" s="31" t="n">
        <f aca="false">C17*E$3</f>
        <v>54.8746048524201</v>
      </c>
      <c r="E17" s="30" t="n">
        <f aca="false">E$4-D17</f>
        <v>85.125497986523</v>
      </c>
      <c r="F17" s="12" t="n">
        <v>0</v>
      </c>
      <c r="G17" s="24" t="n">
        <f aca="false">C17-E17-F17</f>
        <v>5402.33498725548</v>
      </c>
      <c r="I17" s="25" t="n">
        <f aca="false">I16+E17</f>
        <v>891.375012744515</v>
      </c>
      <c r="J17" s="24" t="n">
        <f aca="false">J16+D17</f>
        <v>648.62611848386</v>
      </c>
      <c r="L17" s="30" t="n">
        <f aca="false">IPMT(E$3,B17,60,$C17)</f>
        <v>-47.8449476971333</v>
      </c>
      <c r="M17" s="30" t="n">
        <f aca="false">PPMT(E$3,B17,60,$C17)</f>
        <v>-74.2205799897983</v>
      </c>
    </row>
    <row r="18" customFormat="false" ht="15" hidden="false" customHeight="false" outlineLevel="0" collapsed="false">
      <c r="B18" s="0" t="n">
        <v>12</v>
      </c>
      <c r="C18" s="21" t="n">
        <f aca="false">G17</f>
        <v>5402.33498725548</v>
      </c>
      <c r="D18" s="31" t="n">
        <f aca="false">C18*E$3</f>
        <v>54.0233498725548</v>
      </c>
      <c r="E18" s="30" t="n">
        <f aca="false">E$4-D18</f>
        <v>85.9767529663883</v>
      </c>
      <c r="F18" s="12" t="n">
        <v>0</v>
      </c>
      <c r="G18" s="24" t="n">
        <f aca="false">C18-E18-F18</f>
        <v>5316.3582342891</v>
      </c>
      <c r="I18" s="25" t="n">
        <f aca="false">I17+E18</f>
        <v>977.351765710903</v>
      </c>
      <c r="J18" s="24" t="n">
        <f aca="false">J17+D18</f>
        <v>702.649468356414</v>
      </c>
      <c r="L18" s="30" t="n">
        <f aca="false">IPMT(E$3,B18,60,$C18)</f>
        <v>-46.3720497362044</v>
      </c>
      <c r="M18" s="30" t="n">
        <f aca="false">PPMT(E$3,B18,60,$C18)</f>
        <v>-73.7999082641147</v>
      </c>
    </row>
    <row r="19" customFormat="false" ht="15" hidden="false" customHeight="false" outlineLevel="1" collapsed="false">
      <c r="B19" s="0" t="n">
        <v>13</v>
      </c>
      <c r="C19" s="21" t="n">
        <f aca="false">G18</f>
        <v>5316.3582342891</v>
      </c>
      <c r="D19" s="31" t="n">
        <f aca="false">C19*E$3</f>
        <v>53.163582342891</v>
      </c>
      <c r="E19" s="30" t="n">
        <f aca="false">E$4-D19</f>
        <v>86.8365204960522</v>
      </c>
      <c r="F19" s="12" t="n">
        <v>0</v>
      </c>
      <c r="G19" s="24" t="n">
        <f aca="false">C19-E19-F19</f>
        <v>5229.52171379304</v>
      </c>
      <c r="I19" s="25" t="n">
        <f aca="false">I18+E19</f>
        <v>1064.18828620696</v>
      </c>
      <c r="J19" s="24" t="n">
        <f aca="false">J18+D19</f>
        <v>755.813050699305</v>
      </c>
      <c r="L19" s="30" t="n">
        <f aca="false">IPMT(E$3,B19,60,$C19)</f>
        <v>-44.9077966339305</v>
      </c>
      <c r="M19" s="30" t="n">
        <f aca="false">PPMT(E$3,B19,60,$C19)</f>
        <v>-73.3516559829101</v>
      </c>
    </row>
    <row r="20" customFormat="false" ht="15" hidden="false" customHeight="false" outlineLevel="1" collapsed="false">
      <c r="B20" s="0" t="n">
        <v>14</v>
      </c>
      <c r="C20" s="21" t="n">
        <f aca="false">G19</f>
        <v>5229.52171379304</v>
      </c>
      <c r="D20" s="31" t="n">
        <f aca="false">C20*E$3</f>
        <v>52.2952171379304</v>
      </c>
      <c r="E20" s="30" t="n">
        <f aca="false">E$4-D20</f>
        <v>87.7048857010127</v>
      </c>
      <c r="F20" s="12" t="n">
        <v>0</v>
      </c>
      <c r="G20" s="24" t="n">
        <f aca="false">C20-E20-F20</f>
        <v>5141.81682809203</v>
      </c>
      <c r="I20" s="25" t="n">
        <f aca="false">I19+E20</f>
        <v>1151.89317190797</v>
      </c>
      <c r="J20" s="24" t="n">
        <f aca="false">J19+D20</f>
        <v>808.108267837236</v>
      </c>
      <c r="L20" s="30" t="n">
        <f aca="false">IPMT(E$3,B20,60,$C20)</f>
        <v>-43.4527446530472</v>
      </c>
      <c r="M20" s="30" t="n">
        <f aca="false">PPMT(E$3,B20,60,$C20)</f>
        <v>-72.8750775264801</v>
      </c>
    </row>
    <row r="21" customFormat="false" ht="15" hidden="false" customHeight="false" outlineLevel="1" collapsed="false">
      <c r="B21" s="0" t="n">
        <v>15</v>
      </c>
      <c r="C21" s="21" t="n">
        <f aca="false">G20</f>
        <v>5141.81682809203</v>
      </c>
      <c r="D21" s="31" t="n">
        <f aca="false">C21*E$3</f>
        <v>51.4181682809203</v>
      </c>
      <c r="E21" s="30" t="n">
        <f aca="false">E$4-D21</f>
        <v>88.5819345580228</v>
      </c>
      <c r="F21" s="12" t="n">
        <v>0</v>
      </c>
      <c r="G21" s="24" t="n">
        <f aca="false">C21-E21-F21</f>
        <v>5053.23489353401</v>
      </c>
      <c r="I21" s="25" t="n">
        <f aca="false">I20+E21</f>
        <v>1240.47510646599</v>
      </c>
      <c r="J21" s="24" t="n">
        <f aca="false">J20+D21</f>
        <v>859.526436118156</v>
      </c>
      <c r="L21" s="30" t="n">
        <f aca="false">IPMT(E$3,B21,60,$C21)</f>
        <v>-42.0074650621818</v>
      </c>
      <c r="M21" s="30" t="n">
        <f aca="false">PPMT(E$3,B21,60,$C21)</f>
        <v>-72.369410375659</v>
      </c>
    </row>
    <row r="22" customFormat="false" ht="15" hidden="false" customHeight="false" outlineLevel="1" collapsed="false">
      <c r="B22" s="0" t="n">
        <v>16</v>
      </c>
      <c r="C22" s="21" t="n">
        <f aca="false">G21</f>
        <v>5053.23489353401</v>
      </c>
      <c r="D22" s="31" t="n">
        <f aca="false">C22*E$3</f>
        <v>50.5323489353401</v>
      </c>
      <c r="E22" s="30" t="n">
        <f aca="false">E$4-D22</f>
        <v>89.467753903603</v>
      </c>
      <c r="F22" s="12" t="n">
        <v>0</v>
      </c>
      <c r="G22" s="24" t="n">
        <f aca="false">C22-E22-F22</f>
        <v>4963.76713963041</v>
      </c>
      <c r="I22" s="25" t="n">
        <f aca="false">I21+E22</f>
        <v>1329.94286036959</v>
      </c>
      <c r="J22" s="24" t="n">
        <f aca="false">J21+D22</f>
        <v>910.058785053496</v>
      </c>
      <c r="L22" s="30" t="n">
        <f aca="false">IPMT(E$3,B22,60,$C22)</f>
        <v>-40.5725444757221</v>
      </c>
      <c r="M22" s="30" t="n">
        <f aca="false">PPMT(E$3,B22,60,$C22)</f>
        <v>-71.8338747530154</v>
      </c>
    </row>
    <row r="23" customFormat="false" ht="15" hidden="false" customHeight="false" outlineLevel="1" collapsed="false">
      <c r="B23" s="0" t="n">
        <v>17</v>
      </c>
      <c r="C23" s="21" t="n">
        <f aca="false">G22</f>
        <v>4963.76713963041</v>
      </c>
      <c r="D23" s="31" t="n">
        <f aca="false">C23*E$3</f>
        <v>49.6376713963041</v>
      </c>
      <c r="E23" s="30" t="n">
        <f aca="false">E$4-D23</f>
        <v>90.3624314426391</v>
      </c>
      <c r="F23" s="12" t="n">
        <v>0</v>
      </c>
      <c r="G23" s="24" t="n">
        <f aca="false">C23-E23-F23</f>
        <v>4873.40470818777</v>
      </c>
      <c r="I23" s="25" t="n">
        <f aca="false">I22+E23</f>
        <v>1420.30529181223</v>
      </c>
      <c r="J23" s="24" t="n">
        <f aca="false">J22+D23</f>
        <v>959.6964564498</v>
      </c>
      <c r="L23" s="30" t="n">
        <f aca="false">IPMT(E$3,B23,60,$C23)</f>
        <v>-39.1485852008984</v>
      </c>
      <c r="M23" s="30" t="n">
        <f aca="false">PPMT(E$3,B23,60,$C23)</f>
        <v>-71.2676732566447</v>
      </c>
    </row>
    <row r="24" customFormat="false" ht="15" hidden="false" customHeight="false" outlineLevel="1" collapsed="false">
      <c r="B24" s="0" t="n">
        <v>18</v>
      </c>
      <c r="C24" s="21" t="n">
        <f aca="false">G23</f>
        <v>4873.40470818777</v>
      </c>
      <c r="D24" s="31" t="n">
        <f aca="false">C24*E$3</f>
        <v>48.7340470818777</v>
      </c>
      <c r="E24" s="30" t="n">
        <f aca="false">E$4-D24</f>
        <v>91.2660557570655</v>
      </c>
      <c r="F24" s="12" t="n">
        <v>0</v>
      </c>
      <c r="G24" s="24" t="n">
        <f aca="false">C24-E24-F24</f>
        <v>4782.1386524307</v>
      </c>
      <c r="I24" s="25" t="n">
        <f aca="false">I23+E24</f>
        <v>1511.5713475693</v>
      </c>
      <c r="J24" s="24" t="n">
        <f aca="false">J23+D24</f>
        <v>1008.43050353168</v>
      </c>
      <c r="L24" s="30" t="n">
        <f aca="false">IPMT(E$3,B24,60,$C24)</f>
        <v>-37.7362055922289</v>
      </c>
      <c r="M24" s="30" t="n">
        <f aca="false">PPMT(E$3,B24,60,$C24)</f>
        <v>-70.6699904864079</v>
      </c>
    </row>
    <row r="25" customFormat="false" ht="15" hidden="false" customHeight="false" outlineLevel="1" collapsed="false">
      <c r="B25" s="0" t="n">
        <v>19</v>
      </c>
      <c r="C25" s="21" t="n">
        <f aca="false">G24</f>
        <v>4782.1386524307</v>
      </c>
      <c r="D25" s="31" t="n">
        <f aca="false">C25*E$3</f>
        <v>47.821386524307</v>
      </c>
      <c r="E25" s="30" t="n">
        <f aca="false">E$4-D25</f>
        <v>92.1787163146361</v>
      </c>
      <c r="F25" s="12" t="n">
        <v>0</v>
      </c>
      <c r="G25" s="24" t="n">
        <f aca="false">C25-E25-F25</f>
        <v>4689.95993611607</v>
      </c>
      <c r="I25" s="25" t="n">
        <f aca="false">I24+E25</f>
        <v>1603.75006388393</v>
      </c>
      <c r="J25" s="24" t="n">
        <f aca="false">J24+D25</f>
        <v>1056.25189005598</v>
      </c>
      <c r="L25" s="30" t="n">
        <f aca="false">IPMT(E$3,B25,60,$C25)</f>
        <v>-36.3360404134791</v>
      </c>
      <c r="M25" s="30" t="n">
        <f aca="false">PPMT(E$3,B25,60,$C25)</f>
        <v>-70.0399926624624</v>
      </c>
    </row>
    <row r="26" customFormat="false" ht="15" hidden="false" customHeight="false" outlineLevel="1" collapsed="false">
      <c r="B26" s="0" t="n">
        <v>20</v>
      </c>
      <c r="C26" s="21" t="n">
        <f aca="false">G25</f>
        <v>4689.95993611607</v>
      </c>
      <c r="D26" s="31" t="n">
        <f aca="false">C26*E$3</f>
        <v>46.8995993611607</v>
      </c>
      <c r="E26" s="30" t="n">
        <f aca="false">E$4-D26</f>
        <v>93.1005034777825</v>
      </c>
      <c r="F26" s="12" t="n">
        <v>0</v>
      </c>
      <c r="G26" s="24" t="n">
        <f aca="false">C26-E26-F26</f>
        <v>4596.85943263828</v>
      </c>
      <c r="I26" s="25" t="n">
        <f aca="false">I25+E26</f>
        <v>1696.85056736172</v>
      </c>
      <c r="J26" s="24" t="n">
        <f aca="false">J25+D26</f>
        <v>1103.15148941715</v>
      </c>
      <c r="L26" s="30" t="n">
        <f aca="false">IPMT(E$3,B26,60,$C26)</f>
        <v>-34.9487412072908</v>
      </c>
      <c r="M26" s="30" t="n">
        <f aca="false">PPMT(E$3,B26,60,$C26)</f>
        <v>-69.3768272359283</v>
      </c>
    </row>
    <row r="27" customFormat="false" ht="15" hidden="false" customHeight="false" outlineLevel="1" collapsed="false">
      <c r="B27" s="0" t="n">
        <v>21</v>
      </c>
      <c r="C27" s="21" t="n">
        <f aca="false">G26</f>
        <v>4596.85943263828</v>
      </c>
      <c r="D27" s="31" t="n">
        <f aca="false">C27*E$3</f>
        <v>45.9685943263828</v>
      </c>
      <c r="E27" s="30" t="n">
        <f aca="false">E$4-D27</f>
        <v>94.0315085125603</v>
      </c>
      <c r="F27" s="12" t="n">
        <v>0</v>
      </c>
      <c r="G27" s="24" t="n">
        <f aca="false">C27-E27-F27</f>
        <v>4502.82792412572</v>
      </c>
      <c r="I27" s="25" t="n">
        <f aca="false">I26+E27</f>
        <v>1790.88207587428</v>
      </c>
      <c r="J27" s="24" t="n">
        <f aca="false">J26+D27</f>
        <v>1149.12008374353</v>
      </c>
      <c r="L27" s="30" t="n">
        <f aca="false">IPMT(E$3,B27,60,$C27)</f>
        <v>-33.5749766726391</v>
      </c>
      <c r="M27" s="30" t="n">
        <f aca="false">PPMT(E$3,B27,60,$C27)</f>
        <v>-68.6796224915304</v>
      </c>
    </row>
    <row r="28" customFormat="false" ht="15" hidden="false" customHeight="false" outlineLevel="1" collapsed="false">
      <c r="B28" s="0" t="n">
        <v>22</v>
      </c>
      <c r="C28" s="21" t="n">
        <f aca="false">G27</f>
        <v>4502.82792412572</v>
      </c>
      <c r="D28" s="31" t="n">
        <f aca="false">C28*E$3</f>
        <v>45.0282792412572</v>
      </c>
      <c r="E28" s="30" t="n">
        <f aca="false">E$4-D28</f>
        <v>94.9718235976859</v>
      </c>
      <c r="F28" s="12" t="n">
        <v>0</v>
      </c>
      <c r="G28" s="24" t="n">
        <f aca="false">C28-E28-F28</f>
        <v>4407.85610052804</v>
      </c>
      <c r="I28" s="25" t="n">
        <f aca="false">I27+E28</f>
        <v>1885.85389947196</v>
      </c>
      <c r="J28" s="24" t="n">
        <f aca="false">J27+D28</f>
        <v>1194.14836298479</v>
      </c>
      <c r="L28" s="30" t="n">
        <f aca="false">IPMT(E$3,B28,60,$C28)</f>
        <v>-32.2154330502777</v>
      </c>
      <c r="M28" s="30" t="n">
        <f aca="false">PPMT(E$3,B28,60,$C28)</f>
        <v>-67.9474871420518</v>
      </c>
    </row>
    <row r="29" customFormat="false" ht="15" hidden="false" customHeight="false" outlineLevel="1" collapsed="false">
      <c r="B29" s="0" t="n">
        <v>23</v>
      </c>
      <c r="C29" s="21" t="n">
        <f aca="false">G28</f>
        <v>4407.85610052804</v>
      </c>
      <c r="D29" s="31" t="n">
        <f aca="false">C29*E$3</f>
        <v>44.0785610052804</v>
      </c>
      <c r="E29" s="30" t="n">
        <f aca="false">E$4-D29</f>
        <v>95.9215418336628</v>
      </c>
      <c r="F29" s="12" t="n">
        <v>0</v>
      </c>
      <c r="G29" s="24" t="n">
        <f aca="false">C29-E29-F29</f>
        <v>4311.93455869437</v>
      </c>
      <c r="I29" s="25" t="n">
        <f aca="false">I28+E29</f>
        <v>1981.77544130563</v>
      </c>
      <c r="J29" s="24" t="n">
        <f aca="false">J28+D29</f>
        <v>1238.22692399007</v>
      </c>
      <c r="L29" s="30" t="n">
        <f aca="false">IPMT(E$3,B29,60,$C29)</f>
        <v>-30.8708145163381</v>
      </c>
      <c r="M29" s="30" t="n">
        <f aca="false">PPMT(E$3,B29,60,$C29)</f>
        <v>-67.1795099144329</v>
      </c>
    </row>
    <row r="30" customFormat="false" ht="15" hidden="false" customHeight="false" outlineLevel="1" collapsed="false">
      <c r="B30" s="0" t="n">
        <v>24</v>
      </c>
      <c r="C30" s="21" t="n">
        <f aca="false">G29</f>
        <v>4311.93455869437</v>
      </c>
      <c r="D30" s="31" t="n">
        <f aca="false">C30*E$3</f>
        <v>43.1193455869437</v>
      </c>
      <c r="E30" s="30" t="n">
        <f aca="false">E$4-D30</f>
        <v>96.8807572519994</v>
      </c>
      <c r="F30" s="12" t="n">
        <v>0</v>
      </c>
      <c r="G30" s="24" t="n">
        <f aca="false">C30-E30-F30</f>
        <v>4215.05380144238</v>
      </c>
      <c r="I30" s="25" t="n">
        <f aca="false">I29+E30</f>
        <v>2078.65619855763</v>
      </c>
      <c r="J30" s="24" t="n">
        <f aca="false">J29+D30</f>
        <v>1281.34626957701</v>
      </c>
      <c r="L30" s="30" t="n">
        <f aca="false">IPMT(E$3,B30,60,$C30)</f>
        <v>-29.5418435842497</v>
      </c>
      <c r="M30" s="30" t="n">
        <f aca="false">PPMT(E$3,B30,60,$C30)</f>
        <v>-66.3747591273473</v>
      </c>
    </row>
    <row r="31" customFormat="false" ht="15" hidden="false" customHeight="false" outlineLevel="1" collapsed="false">
      <c r="B31" s="0" t="n">
        <v>25</v>
      </c>
      <c r="C31" s="21" t="n">
        <f aca="false">G30</f>
        <v>4215.05380144238</v>
      </c>
      <c r="D31" s="31" t="n">
        <f aca="false">C31*E$3</f>
        <v>42.1505380144237</v>
      </c>
      <c r="E31" s="30" t="n">
        <f aca="false">E$4-D31</f>
        <v>97.8495648245194</v>
      </c>
      <c r="F31" s="12" t="n">
        <v>0</v>
      </c>
      <c r="G31" s="24" t="n">
        <f aca="false">C31-E31-F31</f>
        <v>4117.20423661786</v>
      </c>
      <c r="I31" s="25" t="n">
        <f aca="false">I30+E31</f>
        <v>2176.50576338215</v>
      </c>
      <c r="J31" s="24" t="n">
        <f aca="false">J30+D31</f>
        <v>1323.49680759143</v>
      </c>
      <c r="L31" s="30" t="n">
        <f aca="false">IPMT(E$3,B31,60,$C31)</f>
        <v>-28.2292615151537</v>
      </c>
      <c r="M31" s="30" t="n">
        <f aca="false">PPMT(E$3,B31,60,$C31)</f>
        <v>-65.5322822600776</v>
      </c>
    </row>
    <row r="32" customFormat="false" ht="15" hidden="false" customHeight="false" outlineLevel="1" collapsed="false">
      <c r="B32" s="0" t="n">
        <v>26</v>
      </c>
      <c r="C32" s="21" t="n">
        <f aca="false">G31</f>
        <v>4117.20423661786</v>
      </c>
      <c r="D32" s="31" t="n">
        <f aca="false">C32*E$3</f>
        <v>41.1720423661786</v>
      </c>
      <c r="E32" s="30" t="n">
        <f aca="false">E$4-D32</f>
        <v>98.8280604727646</v>
      </c>
      <c r="F32" s="12" t="n">
        <v>0</v>
      </c>
      <c r="G32" s="24" t="n">
        <f aca="false">C32-E32-F32</f>
        <v>4018.37617614509</v>
      </c>
      <c r="I32" s="25" t="n">
        <f aca="false">I31+E32</f>
        <v>2275.33382385491</v>
      </c>
      <c r="J32" s="24" t="n">
        <f aca="false">J31+D32</f>
        <v>1364.66884995761</v>
      </c>
      <c r="L32" s="30" t="n">
        <f aca="false">IPMT(E$3,B32,60,$C32)</f>
        <v>-26.9338287369834</v>
      </c>
      <c r="M32" s="30" t="n">
        <f aca="false">PPMT(E$3,B32,60,$C32)</f>
        <v>-64.6511055125184</v>
      </c>
    </row>
    <row r="33" customFormat="false" ht="15" hidden="false" customHeight="false" outlineLevel="1" collapsed="false">
      <c r="B33" s="0" t="n">
        <v>27</v>
      </c>
      <c r="C33" s="21" t="n">
        <f aca="false">G32</f>
        <v>4018.37617614509</v>
      </c>
      <c r="D33" s="31" t="n">
        <f aca="false">C33*E$3</f>
        <v>40.1837617614509</v>
      </c>
      <c r="E33" s="30" t="n">
        <f aca="false">E$4-D33</f>
        <v>99.8163410774922</v>
      </c>
      <c r="F33" s="12" t="n">
        <v>0</v>
      </c>
      <c r="G33" s="24" t="n">
        <f aca="false">C33-E33-F33</f>
        <v>3918.5598350676</v>
      </c>
      <c r="I33" s="25" t="n">
        <f aca="false">I32+E33</f>
        <v>2375.1501649324</v>
      </c>
      <c r="J33" s="24" t="n">
        <f aca="false">J32+D33</f>
        <v>1404.85261171906</v>
      </c>
      <c r="L33" s="30" t="n">
        <f aca="false">IPMT(E$3,B33,60,$C33)</f>
        <v>-25.6563252723917</v>
      </c>
      <c r="M33" s="30" t="n">
        <f aca="false">PPMT(E$3,B33,60,$C33)</f>
        <v>-63.7302333561234</v>
      </c>
    </row>
    <row r="34" customFormat="false" ht="15" hidden="false" customHeight="false" outlineLevel="1" collapsed="false">
      <c r="B34" s="0" t="n">
        <v>28</v>
      </c>
      <c r="C34" s="21" t="n">
        <f aca="false">G33</f>
        <v>3918.5598350676</v>
      </c>
      <c r="D34" s="31" t="n">
        <f aca="false">C34*E$3</f>
        <v>39.185598350676</v>
      </c>
      <c r="E34" s="30" t="n">
        <f aca="false">E$4-D34</f>
        <v>100.814504488267</v>
      </c>
      <c r="F34" s="12" t="n">
        <v>0</v>
      </c>
      <c r="G34" s="24" t="n">
        <f aca="false">C34-E34-F34</f>
        <v>3817.74533057933</v>
      </c>
      <c r="I34" s="25" t="n">
        <f aca="false">I33+E34</f>
        <v>2475.96466942067</v>
      </c>
      <c r="J34" s="24" t="n">
        <f aca="false">J33+D34</f>
        <v>1444.03821006974</v>
      </c>
      <c r="L34" s="30" t="n">
        <f aca="false">IPMT(E$3,B34,60,$C34)</f>
        <v>-24.3975511757056</v>
      </c>
      <c r="M34" s="30" t="n">
        <f aca="false">PPMT(E$3,B34,60,$C34)</f>
        <v>-62.768648075613</v>
      </c>
    </row>
    <row r="35" customFormat="false" ht="15" hidden="false" customHeight="false" outlineLevel="1" collapsed="false">
      <c r="B35" s="0" t="n">
        <v>29</v>
      </c>
      <c r="C35" s="21" t="n">
        <f aca="false">G34</f>
        <v>3817.74533057933</v>
      </c>
      <c r="D35" s="31" t="n">
        <f aca="false">C35*E$3</f>
        <v>38.1774533057933</v>
      </c>
      <c r="E35" s="30" t="n">
        <f aca="false">E$4-D35</f>
        <v>101.82264953315</v>
      </c>
      <c r="F35" s="12" t="n">
        <v>0</v>
      </c>
      <c r="G35" s="24" t="n">
        <f aca="false">C35-E35-F35</f>
        <v>3715.92268104618</v>
      </c>
      <c r="I35" s="25" t="n">
        <f aca="false">I34+E35</f>
        <v>2577.78731895382</v>
      </c>
      <c r="J35" s="24" t="n">
        <f aca="false">J34+D35</f>
        <v>1482.21566337553</v>
      </c>
      <c r="L35" s="30" t="n">
        <f aca="false">IPMT(E$3,B35,60,$C35)</f>
        <v>-23.1583269790954</v>
      </c>
      <c r="M35" s="30" t="n">
        <f aca="false">PPMT(E$3,B35,60,$C35)</f>
        <v>-61.7653093012545</v>
      </c>
    </row>
    <row r="36" customFormat="false" ht="15" hidden="false" customHeight="false" outlineLevel="1" collapsed="false">
      <c r="B36" s="0" t="n">
        <v>30</v>
      </c>
      <c r="C36" s="21" t="n">
        <f aca="false">G35</f>
        <v>3715.92268104618</v>
      </c>
      <c r="D36" s="31" t="n">
        <f aca="false">C36*E$3</f>
        <v>37.1592268104618</v>
      </c>
      <c r="E36" s="30" t="n">
        <f aca="false">E$4-D36</f>
        <v>102.840876028481</v>
      </c>
      <c r="F36" s="12" t="n">
        <v>0</v>
      </c>
      <c r="G36" s="24" t="n">
        <f aca="false">C36-E36-F36</f>
        <v>3613.0818050177</v>
      </c>
      <c r="I36" s="25" t="n">
        <f aca="false">I35+E36</f>
        <v>2680.6281949823</v>
      </c>
      <c r="J36" s="24" t="n">
        <f aca="false">J35+D36</f>
        <v>1519.37489018599</v>
      </c>
      <c r="L36" s="30" t="n">
        <f aca="false">IPMT(E$3,B36,60,$C36)</f>
        <v>-21.939494148147</v>
      </c>
      <c r="M36" s="30" t="n">
        <f aca="false">PPMT(E$3,B36,60,$C36)</f>
        <v>-60.7191535315247</v>
      </c>
    </row>
    <row r="37" customFormat="false" ht="15" hidden="false" customHeight="false" outlineLevel="1" collapsed="false">
      <c r="B37" s="0" t="n">
        <v>31</v>
      </c>
      <c r="C37" s="21" t="n">
        <f aca="false">G36</f>
        <v>3613.0818050177</v>
      </c>
      <c r="D37" s="31" t="n">
        <f aca="false">C37*E$3</f>
        <v>36.130818050177</v>
      </c>
      <c r="E37" s="30" t="n">
        <f aca="false">E$4-D37</f>
        <v>103.869284788766</v>
      </c>
      <c r="F37" s="12" t="n">
        <v>0</v>
      </c>
      <c r="G37" s="24" t="n">
        <f aca="false">C37-E37-F37</f>
        <v>3509.21252022893</v>
      </c>
      <c r="I37" s="25" t="n">
        <f aca="false">I36+E37</f>
        <v>2784.49747977107</v>
      </c>
      <c r="J37" s="24" t="n">
        <f aca="false">J36+D37</f>
        <v>1555.50570823617</v>
      </c>
      <c r="L37" s="30" t="n">
        <f aca="false">IPMT(E$3,B37,60,$C37)</f>
        <v>-20.7419155470302</v>
      </c>
      <c r="M37" s="30" t="n">
        <f aca="false">PPMT(E$3,B37,60,$C37)</f>
        <v>-59.6290936459565</v>
      </c>
    </row>
    <row r="38" customFormat="false" ht="15" hidden="false" customHeight="false" outlineLevel="1" collapsed="false">
      <c r="B38" s="0" t="n">
        <v>32</v>
      </c>
      <c r="C38" s="21" t="n">
        <f aca="false">G37</f>
        <v>3509.21252022893</v>
      </c>
      <c r="D38" s="31" t="n">
        <f aca="false">C38*E$3</f>
        <v>35.0921252022893</v>
      </c>
      <c r="E38" s="30" t="n">
        <f aca="false">E$4-D38</f>
        <v>104.907977636654</v>
      </c>
      <c r="F38" s="12" t="n">
        <v>0</v>
      </c>
      <c r="G38" s="24" t="n">
        <f aca="false">C38-E38-F38</f>
        <v>3404.30454259228</v>
      </c>
      <c r="I38" s="25" t="n">
        <f aca="false">I37+E38</f>
        <v>2889.40545740772</v>
      </c>
      <c r="J38" s="24" t="n">
        <f aca="false">J37+D38</f>
        <v>1590.59783343846</v>
      </c>
      <c r="L38" s="30" t="n">
        <f aca="false">IPMT(E$3,B38,60,$C38)</f>
        <v>-19.566475913462</v>
      </c>
      <c r="M38" s="30" t="n">
        <f aca="false">PPMT(E$3,B38,60,$C38)</f>
        <v>-58.4940184079728</v>
      </c>
    </row>
    <row r="39" customFormat="false" ht="15" hidden="false" customHeight="false" outlineLevel="1" collapsed="false">
      <c r="B39" s="0" t="n">
        <v>33</v>
      </c>
      <c r="C39" s="21" t="n">
        <f aca="false">G38</f>
        <v>3404.30454259228</v>
      </c>
      <c r="D39" s="31" t="n">
        <f aca="false">C39*E$3</f>
        <v>34.0430454259228</v>
      </c>
      <c r="E39" s="30" t="n">
        <f aca="false">E$4-D39</f>
        <v>105.95705741302</v>
      </c>
      <c r="F39" s="12" t="n">
        <v>0</v>
      </c>
      <c r="G39" s="24" t="n">
        <f aca="false">C39-E39-F39</f>
        <v>3298.34748517926</v>
      </c>
      <c r="I39" s="25" t="n">
        <f aca="false">I38+E39</f>
        <v>2995.36251482074</v>
      </c>
      <c r="J39" s="24" t="n">
        <f aca="false">J38+D39</f>
        <v>1624.64087886438</v>
      </c>
      <c r="L39" s="30" t="n">
        <f aca="false">IPMT(E$3,B39,60,$C39)</f>
        <v>-18.4140823436644</v>
      </c>
      <c r="M39" s="30" t="n">
        <f aca="false">PPMT(E$3,B39,60,$C39)</f>
        <v>-57.312791957503</v>
      </c>
    </row>
    <row r="40" customFormat="false" ht="15" hidden="false" customHeight="false" outlineLevel="1" collapsed="false">
      <c r="B40" s="0" t="n">
        <v>34</v>
      </c>
      <c r="C40" s="21" t="n">
        <f aca="false">G39</f>
        <v>3298.34748517926</v>
      </c>
      <c r="D40" s="31" t="n">
        <f aca="false">C40*E$3</f>
        <v>32.9834748517926</v>
      </c>
      <c r="E40" s="30" t="n">
        <f aca="false">E$4-D40</f>
        <v>107.016627987151</v>
      </c>
      <c r="F40" s="12" t="n">
        <v>0</v>
      </c>
      <c r="G40" s="24" t="n">
        <f aca="false">C40-E40-F40</f>
        <v>3191.33085719211</v>
      </c>
      <c r="I40" s="25" t="n">
        <f aca="false">I39+E40</f>
        <v>3102.37914280789</v>
      </c>
      <c r="J40" s="24" t="n">
        <f aca="false">J39+D40</f>
        <v>1657.62435371618</v>
      </c>
      <c r="L40" s="30" t="n">
        <f aca="false">IPMT(E$3,B40,60,$C40)</f>
        <v>-17.2856647875233</v>
      </c>
      <c r="M40" s="30" t="n">
        <f aca="false">PPMT(E$3,B40,60,$C40)</f>
        <v>-56.084253293174</v>
      </c>
    </row>
    <row r="41" customFormat="false" ht="15" hidden="false" customHeight="false" outlineLevel="1" collapsed="false">
      <c r="B41" s="0" t="n">
        <v>35</v>
      </c>
      <c r="C41" s="21" t="n">
        <f aca="false">G40</f>
        <v>3191.33085719211</v>
      </c>
      <c r="D41" s="31" t="n">
        <f aca="false">C41*E$3</f>
        <v>31.9133085719211</v>
      </c>
      <c r="E41" s="30" t="n">
        <f aca="false">E$4-D41</f>
        <v>108.086794267022</v>
      </c>
      <c r="F41" s="12" t="n">
        <v>0</v>
      </c>
      <c r="G41" s="24" t="n">
        <f aca="false">C41-E41-F41</f>
        <v>3083.24406292509</v>
      </c>
      <c r="I41" s="25" t="n">
        <f aca="false">I40+E41</f>
        <v>3210.46593707491</v>
      </c>
      <c r="J41" s="24" t="n">
        <f aca="false">J40+D41</f>
        <v>1689.5376622881</v>
      </c>
      <c r="L41" s="30" t="n">
        <f aca="false">IPMT(E$3,B41,60,$C41)</f>
        <v>-16.1821765541573</v>
      </c>
      <c r="M41" s="30" t="n">
        <f aca="false">PPMT(E$3,B41,60,$C41)</f>
        <v>-54.8072157438653</v>
      </c>
    </row>
    <row r="42" customFormat="false" ht="15" hidden="false" customHeight="false" outlineLevel="1" collapsed="false">
      <c r="B42" s="0" t="n">
        <v>36</v>
      </c>
      <c r="C42" s="21" t="n">
        <f aca="false">G41</f>
        <v>3083.24406292509</v>
      </c>
      <c r="D42" s="31" t="n">
        <f aca="false">C42*E$3</f>
        <v>30.8324406292509</v>
      </c>
      <c r="E42" s="30" t="n">
        <f aca="false">E$4-D42</f>
        <v>109.167662209692</v>
      </c>
      <c r="F42" s="12" t="n">
        <v>0</v>
      </c>
      <c r="G42" s="24" t="n">
        <f aca="false">C42-E42-F42</f>
        <v>2974.0764007154</v>
      </c>
      <c r="I42" s="25" t="n">
        <f aca="false">I41+E42</f>
        <v>3319.63359928461</v>
      </c>
      <c r="J42" s="24" t="n">
        <f aca="false">J41+D42</f>
        <v>1720.37010291735</v>
      </c>
      <c r="L42" s="30" t="n">
        <f aca="false">IPMT(E$3,B42,60,$C42)</f>
        <v>-15.1045948281106</v>
      </c>
      <c r="M42" s="30" t="n">
        <f aca="false">PPMT(E$3,B42,60,$C42)</f>
        <v>-53.4804664294105</v>
      </c>
    </row>
    <row r="43" customFormat="false" ht="15" hidden="false" customHeight="false" outlineLevel="1" collapsed="false">
      <c r="B43" s="0" t="n">
        <v>37</v>
      </c>
      <c r="C43" s="21" t="n">
        <f aca="false">G42</f>
        <v>2974.0764007154</v>
      </c>
      <c r="D43" s="31" t="n">
        <f aca="false">C43*E$3</f>
        <v>29.740764007154</v>
      </c>
      <c r="E43" s="30" t="n">
        <f aca="false">E$4-D43</f>
        <v>110.259338831789</v>
      </c>
      <c r="F43" s="12" t="n">
        <v>0</v>
      </c>
      <c r="G43" s="24" t="n">
        <f aca="false">C43-E43-F43</f>
        <v>2863.81706188361</v>
      </c>
      <c r="I43" s="25" t="n">
        <f aca="false">I42+E43</f>
        <v>3429.89293811639</v>
      </c>
      <c r="J43" s="24" t="n">
        <f aca="false">J42+D43</f>
        <v>1750.1108669245</v>
      </c>
      <c r="L43" s="30" t="n">
        <f aca="false">IPMT(E$3,B43,60,$C43)</f>
        <v>-14.0539211963885</v>
      </c>
      <c r="M43" s="30" t="n">
        <f aca="false">PPMT(E$3,B43,60,$C43)</f>
        <v>-52.1027657102261</v>
      </c>
    </row>
    <row r="44" customFormat="false" ht="15" hidden="false" customHeight="false" outlineLevel="1" collapsed="false">
      <c r="B44" s="0" t="n">
        <v>38</v>
      </c>
      <c r="C44" s="21" t="n">
        <f aca="false">G43</f>
        <v>2863.81706188361</v>
      </c>
      <c r="D44" s="31" t="n">
        <f aca="false">C44*E$3</f>
        <v>28.6381706188361</v>
      </c>
      <c r="E44" s="30" t="n">
        <f aca="false">E$4-D44</f>
        <v>111.361932220107</v>
      </c>
      <c r="F44" s="12" t="n">
        <v>0</v>
      </c>
      <c r="G44" s="24" t="n">
        <f aca="false">C44-E44-F44</f>
        <v>2752.4551296635</v>
      </c>
      <c r="I44" s="25" t="n">
        <f aca="false">I43+E44</f>
        <v>3541.2548703365</v>
      </c>
      <c r="J44" s="24" t="n">
        <f aca="false">J43+D44</f>
        <v>1778.74903754334</v>
      </c>
      <c r="L44" s="30" t="n">
        <f aca="false">IPMT(E$3,B44,60,$C44)</f>
        <v>-13.0311821865571</v>
      </c>
      <c r="M44" s="30" t="n">
        <f aca="false">PPMT(E$3,B44,60,$C44)</f>
        <v>-50.6728466256419</v>
      </c>
    </row>
    <row r="45" customFormat="false" ht="15" hidden="false" customHeight="false" outlineLevel="1" collapsed="false">
      <c r="B45" s="0" t="n">
        <v>39</v>
      </c>
      <c r="C45" s="21" t="n">
        <f aca="false">G44</f>
        <v>2752.4551296635</v>
      </c>
      <c r="D45" s="31" t="n">
        <f aca="false">C45*E$3</f>
        <v>27.524551296635</v>
      </c>
      <c r="E45" s="30" t="n">
        <f aca="false">E$4-D45</f>
        <v>112.475551542308</v>
      </c>
      <c r="F45" s="12" t="n">
        <v>0</v>
      </c>
      <c r="G45" s="24" t="n">
        <f aca="false">C45-E45-F45</f>
        <v>2639.97957812119</v>
      </c>
      <c r="I45" s="25" t="n">
        <f aca="false">I44+E45</f>
        <v>3653.73042187881</v>
      </c>
      <c r="J45" s="24" t="n">
        <f aca="false">J44+D45</f>
        <v>1806.27358883997</v>
      </c>
      <c r="L45" s="30" t="n">
        <f aca="false">IPMT(E$3,B45,60,$C45)</f>
        <v>-12.0374298161353</v>
      </c>
      <c r="M45" s="30" t="n">
        <f aca="false">PPMT(E$3,B45,60,$C45)</f>
        <v>-49.1894143207039</v>
      </c>
    </row>
    <row r="46" customFormat="false" ht="15" hidden="false" customHeight="false" outlineLevel="1" collapsed="false">
      <c r="B46" s="0" t="n">
        <v>40</v>
      </c>
      <c r="C46" s="21" t="n">
        <f aca="false">G45</f>
        <v>2639.97957812119</v>
      </c>
      <c r="D46" s="31" t="n">
        <f aca="false">C46*E$3</f>
        <v>26.3997957812119</v>
      </c>
      <c r="E46" s="30" t="n">
        <f aca="false">E$4-D46</f>
        <v>113.600307057731</v>
      </c>
      <c r="F46" s="12" t="n">
        <v>0</v>
      </c>
      <c r="G46" s="24" t="n">
        <f aca="false">C46-E46-F46</f>
        <v>2526.37927106346</v>
      </c>
      <c r="I46" s="25" t="n">
        <f aca="false">I45+E46</f>
        <v>3767.33072893654</v>
      </c>
      <c r="J46" s="24" t="n">
        <f aca="false">J45+D46</f>
        <v>1832.67338462118</v>
      </c>
      <c r="L46" s="30" t="n">
        <f aca="false">IPMT(E$3,B46,60,$C46)</f>
        <v>-11.0737421535103</v>
      </c>
      <c r="M46" s="30" t="n">
        <f aca="false">PPMT(E$3,B46,60,$C46)</f>
        <v>-47.6511454612156</v>
      </c>
    </row>
    <row r="47" customFormat="false" ht="15" hidden="false" customHeight="false" outlineLevel="1" collapsed="false">
      <c r="B47" s="0" t="n">
        <v>41</v>
      </c>
      <c r="C47" s="21" t="n">
        <f aca="false">G46</f>
        <v>2526.37927106346</v>
      </c>
      <c r="D47" s="31" t="n">
        <f aca="false">C47*E$3</f>
        <v>25.2637927106346</v>
      </c>
      <c r="E47" s="30" t="n">
        <f aca="false">E$4-D47</f>
        <v>114.736310128309</v>
      </c>
      <c r="F47" s="12" t="n">
        <v>0</v>
      </c>
      <c r="G47" s="24" t="n">
        <f aca="false">C47-E47-F47</f>
        <v>2411.64296093515</v>
      </c>
      <c r="I47" s="25" t="n">
        <f aca="false">I46+E47</f>
        <v>3882.06703906485</v>
      </c>
      <c r="J47" s="24" t="n">
        <f aca="false">J46+D47</f>
        <v>1857.93717733182</v>
      </c>
      <c r="L47" s="30" t="n">
        <f aca="false">IPMT(E$3,B47,60,$C47)</f>
        <v>-10.1412238906132</v>
      </c>
      <c r="M47" s="30" t="n">
        <f aca="false">PPMT(E$3,B47,60,$C47)</f>
        <v>-46.0566876367782</v>
      </c>
    </row>
    <row r="48" customFormat="false" ht="15" hidden="false" customHeight="false" outlineLevel="1" collapsed="false">
      <c r="B48" s="0" t="n">
        <v>42</v>
      </c>
      <c r="C48" s="21" t="n">
        <f aca="false">G47</f>
        <v>2411.64296093515</v>
      </c>
      <c r="D48" s="31" t="n">
        <f aca="false">C48*E$3</f>
        <v>24.1164296093515</v>
      </c>
      <c r="E48" s="30" t="n">
        <f aca="false">E$4-D48</f>
        <v>115.883673229592</v>
      </c>
      <c r="F48" s="12" t="n">
        <v>0</v>
      </c>
      <c r="G48" s="24" t="n">
        <f aca="false">C48-E48-F48</f>
        <v>2295.75928770556</v>
      </c>
      <c r="I48" s="25" t="n">
        <f aca="false">I47+E48</f>
        <v>3997.95071229444</v>
      </c>
      <c r="J48" s="24" t="n">
        <f aca="false">J47+D48</f>
        <v>1882.05360694117</v>
      </c>
      <c r="L48" s="30" t="n">
        <f aca="false">IPMT(E$3,B48,60,$C48)</f>
        <v>-9.24100692759604</v>
      </c>
      <c r="M48" s="30" t="n">
        <f aca="false">PPMT(E$3,B48,60,$C48)</f>
        <v>-44.4046587515875</v>
      </c>
    </row>
    <row r="49" customFormat="false" ht="15" hidden="false" customHeight="false" outlineLevel="1" collapsed="false">
      <c r="B49" s="0" t="n">
        <v>43</v>
      </c>
      <c r="C49" s="21" t="n">
        <f aca="false">G48</f>
        <v>2295.75928770556</v>
      </c>
      <c r="D49" s="31" t="n">
        <f aca="false">C49*E$3</f>
        <v>22.9575928770556</v>
      </c>
      <c r="E49" s="30" t="n">
        <f aca="false">E$4-D49</f>
        <v>117.042509961888</v>
      </c>
      <c r="F49" s="12" t="n">
        <v>0</v>
      </c>
      <c r="G49" s="24" t="n">
        <f aca="false">C49-E49-F49</f>
        <v>2178.71677774367</v>
      </c>
      <c r="I49" s="25" t="n">
        <f aca="false">I48+E49</f>
        <v>4114.99322225633</v>
      </c>
      <c r="J49" s="24" t="n">
        <f aca="false">J48+D49</f>
        <v>1905.01119981823</v>
      </c>
      <c r="L49" s="30" t="n">
        <f aca="false">IPMT(E$3,B49,60,$C49)</f>
        <v>-8.37425096975604</v>
      </c>
      <c r="M49" s="30" t="n">
        <f aca="false">PPMT(E$3,B49,60,$C49)</f>
        <v>-42.6936464027376</v>
      </c>
    </row>
    <row r="50" customFormat="false" ht="15" hidden="false" customHeight="false" outlineLevel="1" collapsed="false">
      <c r="B50" s="0" t="n">
        <v>44</v>
      </c>
      <c r="C50" s="21" t="n">
        <f aca="false">G49</f>
        <v>2178.71677774367</v>
      </c>
      <c r="D50" s="31" t="n">
        <f aca="false">C50*E$3</f>
        <v>21.7871677774367</v>
      </c>
      <c r="E50" s="30" t="n">
        <f aca="false">E$4-D50</f>
        <v>118.212935061506</v>
      </c>
      <c r="F50" s="12" t="n">
        <v>0</v>
      </c>
      <c r="G50" s="24" t="n">
        <f aca="false">C50-E50-F50</f>
        <v>2060.50384268217</v>
      </c>
      <c r="I50" s="25" t="n">
        <f aca="false">I49+E50</f>
        <v>4233.20615731783</v>
      </c>
      <c r="J50" s="24" t="n">
        <f aca="false">J49+D50</f>
        <v>1926.79836759566</v>
      </c>
      <c r="L50" s="30" t="n">
        <f aca="false">IPMT(E$3,B50,60,$C50)</f>
        <v>-7.54214413695858</v>
      </c>
      <c r="M50" s="30" t="n">
        <f aca="false">PPMT(E$3,B50,60,$C50)</f>
        <v>-40.9222072457783</v>
      </c>
    </row>
    <row r="51" customFormat="false" ht="15" hidden="false" customHeight="false" outlineLevel="1" collapsed="false">
      <c r="B51" s="0" t="n">
        <v>45</v>
      </c>
      <c r="C51" s="21" t="n">
        <f aca="false">G50</f>
        <v>2060.50384268217</v>
      </c>
      <c r="D51" s="31" t="n">
        <f aca="false">C51*E$3</f>
        <v>20.6050384268217</v>
      </c>
      <c r="E51" s="30" t="n">
        <f aca="false">E$4-D51</f>
        <v>119.395064412121</v>
      </c>
      <c r="F51" s="12" t="n">
        <v>0</v>
      </c>
      <c r="G51" s="24" t="n">
        <f aca="false">C51-E51-F51</f>
        <v>1941.10877827004</v>
      </c>
      <c r="I51" s="25" t="n">
        <f aca="false">I50+E51</f>
        <v>4352.60122172996</v>
      </c>
      <c r="J51" s="24" t="n">
        <f aca="false">J50+D51</f>
        <v>1947.40340602248</v>
      </c>
      <c r="L51" s="30" t="n">
        <f aca="false">IPMT(E$3,B51,60,$C51)</f>
        <v>-6.74590358581497</v>
      </c>
      <c r="M51" s="30" t="n">
        <f aca="false">PPMT(E$3,B51,60,$C51)</f>
        <v>-39.0888663472675</v>
      </c>
    </row>
    <row r="52" customFormat="false" ht="15" hidden="false" customHeight="false" outlineLevel="1" collapsed="false">
      <c r="B52" s="0" t="n">
        <v>46</v>
      </c>
      <c r="C52" s="21" t="n">
        <f aca="false">G51</f>
        <v>1941.10877827004</v>
      </c>
      <c r="D52" s="31" t="n">
        <f aca="false">C52*E$3</f>
        <v>19.4110877827004</v>
      </c>
      <c r="E52" s="30" t="n">
        <f aca="false">E$4-D52</f>
        <v>120.589015056243</v>
      </c>
      <c r="F52" s="12" t="n">
        <v>0</v>
      </c>
      <c r="G52" s="24" t="n">
        <f aca="false">C52-E52-F52</f>
        <v>1820.5197632138</v>
      </c>
      <c r="I52" s="25" t="n">
        <f aca="false">I51+E52</f>
        <v>4473.1902367862</v>
      </c>
      <c r="J52" s="24" t="n">
        <f aca="false">J51+D52</f>
        <v>1966.81449380519</v>
      </c>
      <c r="L52" s="30" t="n">
        <f aca="false">IPMT(E$3,B52,60,$C52)</f>
        <v>-5.98677614487641</v>
      </c>
      <c r="M52" s="30" t="n">
        <f aca="false">PPMT(E$3,B52,60,$C52)</f>
        <v>-37.1921165240552</v>
      </c>
    </row>
    <row r="53" customFormat="false" ht="15" hidden="false" customHeight="false" outlineLevel="1" collapsed="false">
      <c r="B53" s="0" t="n">
        <v>47</v>
      </c>
      <c r="C53" s="21" t="n">
        <f aca="false">G52</f>
        <v>1820.5197632138</v>
      </c>
      <c r="D53" s="31" t="n">
        <f aca="false">C53*E$3</f>
        <v>18.205197632138</v>
      </c>
      <c r="E53" s="30" t="n">
        <f aca="false">E$4-D53</f>
        <v>121.794905206805</v>
      </c>
      <c r="F53" s="12" t="n">
        <v>0</v>
      </c>
      <c r="G53" s="24" t="n">
        <f aca="false">C53-E53-F53</f>
        <v>1698.724858007</v>
      </c>
      <c r="I53" s="25" t="n">
        <f aca="false">I52+E53</f>
        <v>4594.985141993</v>
      </c>
      <c r="J53" s="24" t="n">
        <f aca="false">J52+D53</f>
        <v>1985.01969143732</v>
      </c>
      <c r="L53" s="30" t="n">
        <f aca="false">IPMT(E$3,B53,60,$C53)</f>
        <v>-5.26603896311083</v>
      </c>
      <c r="M53" s="30" t="n">
        <f aca="false">PPMT(E$3,B53,60,$C53)</f>
        <v>-35.2304176690283</v>
      </c>
    </row>
    <row r="54" customFormat="false" ht="15" hidden="false" customHeight="false" outlineLevel="1" collapsed="false">
      <c r="B54" s="0" t="n">
        <v>48</v>
      </c>
      <c r="C54" s="21" t="n">
        <f aca="false">G53</f>
        <v>1698.724858007</v>
      </c>
      <c r="D54" s="31" t="n">
        <f aca="false">C54*E$3</f>
        <v>16.98724858007</v>
      </c>
      <c r="E54" s="30" t="n">
        <f aca="false">E$4-D54</f>
        <v>123.012854258873</v>
      </c>
      <c r="F54" s="12" t="n">
        <v>0</v>
      </c>
      <c r="G54" s="24" t="n">
        <f aca="false">C54-E54-F54</f>
        <v>1575.71200374812</v>
      </c>
      <c r="I54" s="25" t="n">
        <f aca="false">I53+E54</f>
        <v>4717.99799625188</v>
      </c>
      <c r="J54" s="24" t="n">
        <f aca="false">J53+D54</f>
        <v>2002.00694001739</v>
      </c>
      <c r="L54" s="30" t="n">
        <f aca="false">IPMT(E$3,B54,60,$C54)</f>
        <v>-4.58500017193496</v>
      </c>
      <c r="M54" s="30" t="n">
        <f aca="false">PPMT(E$3,B54,60,$C54)</f>
        <v>-33.2021960630439</v>
      </c>
    </row>
    <row r="55" customFormat="false" ht="15" hidden="false" customHeight="false" outlineLevel="1" collapsed="false">
      <c r="B55" s="0" t="n">
        <v>49</v>
      </c>
      <c r="C55" s="21" t="n">
        <f aca="false">G54</f>
        <v>1575.71200374812</v>
      </c>
      <c r="D55" s="31" t="n">
        <f aca="false">C55*E$3</f>
        <v>15.7571200374812</v>
      </c>
      <c r="E55" s="30" t="n">
        <f aca="false">E$4-D55</f>
        <v>124.242982801462</v>
      </c>
      <c r="F55" s="12" t="n">
        <v>0</v>
      </c>
      <c r="G55" s="24" t="n">
        <f aca="false">C55-E55-F55</f>
        <v>1451.46902094666</v>
      </c>
      <c r="I55" s="25" t="n">
        <f aca="false">I54+E55</f>
        <v>4842.24097905334</v>
      </c>
      <c r="J55" s="24" t="n">
        <f aca="false">J54+D55</f>
        <v>2017.76406005487</v>
      </c>
      <c r="L55" s="30" t="n">
        <f aca="false">IPMT(E$3,B55,60,$C55)</f>
        <v>-3.9449995610791</v>
      </c>
      <c r="M55" s="30" t="n">
        <f aca="false">PPMT(E$3,B55,60,$C55)</f>
        <v>-31.1058436727678</v>
      </c>
    </row>
    <row r="56" customFormat="false" ht="15" hidden="false" customHeight="false" outlineLevel="1" collapsed="false">
      <c r="B56" s="0" t="n">
        <v>50</v>
      </c>
      <c r="C56" s="21" t="n">
        <f aca="false">G55</f>
        <v>1451.46902094666</v>
      </c>
      <c r="D56" s="31" t="n">
        <f aca="false">C56*E$3</f>
        <v>14.5146902094666</v>
      </c>
      <c r="E56" s="30" t="n">
        <f aca="false">E$4-D56</f>
        <v>125.485412629477</v>
      </c>
      <c r="F56" s="12" t="n">
        <v>0</v>
      </c>
      <c r="G56" s="24" t="n">
        <f aca="false">C56-E56-F56</f>
        <v>1325.98360831718</v>
      </c>
      <c r="I56" s="25" t="n">
        <f aca="false">I55+E56</f>
        <v>4967.72639168282</v>
      </c>
      <c r="J56" s="24" t="n">
        <f aca="false">J55+D56</f>
        <v>2032.27875026434</v>
      </c>
      <c r="L56" s="30" t="n">
        <f aca="false">IPMT(E$3,B56,60,$C56)</f>
        <v>-3.34740926856791</v>
      </c>
      <c r="M56" s="30" t="n">
        <f aca="false">PPMT(E$3,B56,60,$C56)</f>
        <v>-28.9397174341357</v>
      </c>
    </row>
    <row r="57" customFormat="false" ht="15" hidden="false" customHeight="false" outlineLevel="1" collapsed="false">
      <c r="B57" s="0" t="n">
        <v>51</v>
      </c>
      <c r="C57" s="21" t="n">
        <f aca="false">G56</f>
        <v>1325.98360831718</v>
      </c>
      <c r="D57" s="31" t="n">
        <f aca="false">C57*E$3</f>
        <v>13.2598360831718</v>
      </c>
      <c r="E57" s="30" t="n">
        <f aca="false">E$4-D57</f>
        <v>126.740266755771</v>
      </c>
      <c r="F57" s="12" t="n">
        <v>0</v>
      </c>
      <c r="G57" s="24" t="n">
        <f aca="false">C57-E57-F57</f>
        <v>1199.24334156141</v>
      </c>
      <c r="I57" s="25" t="n">
        <f aca="false">I56+E57</f>
        <v>5094.46665843859</v>
      </c>
      <c r="J57" s="24" t="n">
        <f aca="false">J56+D57</f>
        <v>2045.53858634751</v>
      </c>
      <c r="L57" s="30" t="n">
        <f aca="false">IPMT(E$3,B57,60,$C57)</f>
        <v>-2.79363448510632</v>
      </c>
      <c r="M57" s="30" t="n">
        <f aca="false">PPMT(E$3,B57,60,$C57)</f>
        <v>-26.7021385211426</v>
      </c>
    </row>
    <row r="58" customFormat="false" ht="15" hidden="false" customHeight="false" outlineLevel="1" collapsed="false">
      <c r="B58" s="0" t="n">
        <v>52</v>
      </c>
      <c r="C58" s="21" t="n">
        <f aca="false">G57</f>
        <v>1199.24334156141</v>
      </c>
      <c r="D58" s="31" t="n">
        <f aca="false">C58*E$3</f>
        <v>11.9924334156141</v>
      </c>
      <c r="E58" s="30" t="n">
        <f aca="false">E$4-D58</f>
        <v>128.007669423329</v>
      </c>
      <c r="F58" s="12" t="n">
        <v>0</v>
      </c>
      <c r="G58" s="24" t="n">
        <f aca="false">C58-E58-F58</f>
        <v>1071.23567213808</v>
      </c>
      <c r="I58" s="25" t="n">
        <f aca="false">I57+E58</f>
        <v>5222.47432786192</v>
      </c>
      <c r="J58" s="24" t="n">
        <f aca="false">J57+D58</f>
        <v>2057.53101976313</v>
      </c>
      <c r="L58" s="30" t="n">
        <f aca="false">IPMT(E$3,B58,60,$C58)</f>
        <v>-2.28511417316555</v>
      </c>
      <c r="M58" s="30" t="n">
        <f aca="false">PPMT(E$3,B58,60,$C58)</f>
        <v>-24.3913915996641</v>
      </c>
    </row>
    <row r="59" customFormat="false" ht="15" hidden="false" customHeight="false" outlineLevel="1" collapsed="false">
      <c r="B59" s="0" t="n">
        <v>53</v>
      </c>
      <c r="C59" s="21" t="n">
        <f aca="false">G58</f>
        <v>1071.23567213808</v>
      </c>
      <c r="D59" s="31" t="n">
        <f aca="false">C59*E$3</f>
        <v>10.7123567213808</v>
      </c>
      <c r="E59" s="30" t="n">
        <f aca="false">E$4-D59</f>
        <v>129.287746117562</v>
      </c>
      <c r="F59" s="12" t="n">
        <v>0</v>
      </c>
      <c r="G59" s="24" t="n">
        <f aca="false">C59-E59-F59</f>
        <v>941.947926020522</v>
      </c>
      <c r="I59" s="25" t="n">
        <f aca="false">I58+E59</f>
        <v>5351.76207397948</v>
      </c>
      <c r="J59" s="24" t="n">
        <f aca="false">J58+D59</f>
        <v>2068.24337648451</v>
      </c>
      <c r="L59" s="30" t="n">
        <f aca="false">IPMT(E$3,B59,60,$C59)</f>
        <v>-1.82332180106984</v>
      </c>
      <c r="M59" s="30" t="n">
        <f aca="false">PPMT(E$3,B59,60,$C59)</f>
        <v>-22.0057240660064</v>
      </c>
    </row>
    <row r="60" customFormat="false" ht="15" hidden="false" customHeight="false" outlineLevel="1" collapsed="false">
      <c r="B60" s="0" t="n">
        <v>54</v>
      </c>
      <c r="C60" s="21" t="n">
        <f aca="false">G59</f>
        <v>941.947926020522</v>
      </c>
      <c r="D60" s="31" t="n">
        <f aca="false">C60*E$3</f>
        <v>9.41947926020522</v>
      </c>
      <c r="E60" s="30" t="n">
        <f aca="false">E$4-D60</f>
        <v>130.580623578738</v>
      </c>
      <c r="F60" s="12" t="n">
        <v>0</v>
      </c>
      <c r="G60" s="24" t="n">
        <f aca="false">C60-E60-F60</f>
        <v>811.367302441784</v>
      </c>
      <c r="I60" s="25" t="n">
        <f aca="false">I59+E60</f>
        <v>5482.34269755822</v>
      </c>
      <c r="J60" s="24" t="n">
        <f aca="false">J59+D60</f>
        <v>2077.66285574471</v>
      </c>
      <c r="L60" s="30" t="n">
        <f aca="false">IPMT(E$3,B60,60,$C60)</f>
        <v>-1.40976609239122</v>
      </c>
      <c r="M60" s="30" t="n">
        <f aca="false">PPMT(E$3,B60,60,$C60)</f>
        <v>-19.543345269874</v>
      </c>
    </row>
    <row r="61" customFormat="false" ht="15" hidden="false" customHeight="false" outlineLevel="1" collapsed="false">
      <c r="B61" s="0" t="n">
        <v>55</v>
      </c>
      <c r="C61" s="21" t="n">
        <f aca="false">G60</f>
        <v>811.367302441784</v>
      </c>
      <c r="D61" s="31" t="n">
        <f aca="false">C61*E$3</f>
        <v>8.11367302441784</v>
      </c>
      <c r="E61" s="30" t="n">
        <f aca="false">E$4-D61</f>
        <v>131.886429814525</v>
      </c>
      <c r="F61" s="12" t="n">
        <v>0</v>
      </c>
      <c r="G61" s="24" t="n">
        <f aca="false">C61-E61-F61</f>
        <v>679.480872627259</v>
      </c>
      <c r="I61" s="25" t="n">
        <f aca="false">I60+E61</f>
        <v>5614.22912737274</v>
      </c>
      <c r="J61" s="24" t="n">
        <f aca="false">J60+D61</f>
        <v>2085.77652876913</v>
      </c>
      <c r="L61" s="30" t="n">
        <f aca="false">IPMT(E$3,B61,60,$C61)</f>
        <v>-1.04599179096535</v>
      </c>
      <c r="M61" s="30" t="n">
        <f aca="false">PPMT(E$3,B61,60,$C61)</f>
        <v>-17.0024257214408</v>
      </c>
    </row>
    <row r="62" customFormat="false" ht="15" hidden="false" customHeight="false" outlineLevel="1" collapsed="false">
      <c r="B62" s="0" t="n">
        <v>56</v>
      </c>
      <c r="C62" s="21" t="n">
        <f aca="false">G61</f>
        <v>679.480872627259</v>
      </c>
      <c r="D62" s="31" t="n">
        <f aca="false">C62*E$3</f>
        <v>6.79480872627259</v>
      </c>
      <c r="E62" s="30" t="n">
        <f aca="false">E$4-D62</f>
        <v>133.205294112671</v>
      </c>
      <c r="F62" s="12" t="n">
        <v>0</v>
      </c>
      <c r="G62" s="24" t="n">
        <f aca="false">C62-E62-F62</f>
        <v>546.275578514588</v>
      </c>
      <c r="I62" s="25" t="n">
        <f aca="false">I61+E62</f>
        <v>5747.43442148541</v>
      </c>
      <c r="J62" s="24" t="n">
        <f aca="false">J61+D62</f>
        <v>2092.5713374954</v>
      </c>
      <c r="L62" s="30" t="n">
        <f aca="false">IPMT(E$3,B62,60,$C62)</f>
        <v>-0.733580441847964</v>
      </c>
      <c r="M62" s="30" t="n">
        <f aca="false">PPMT(E$3,B62,60,$C62)</f>
        <v>-14.3810962822005</v>
      </c>
    </row>
    <row r="63" customFormat="false" ht="15" hidden="false" customHeight="false" outlineLevel="1" collapsed="false">
      <c r="B63" s="0" t="n">
        <v>57</v>
      </c>
      <c r="C63" s="21" t="n">
        <f aca="false">G62</f>
        <v>546.275578514588</v>
      </c>
      <c r="D63" s="31" t="n">
        <f aca="false">C63*E$3</f>
        <v>5.46275578514588</v>
      </c>
      <c r="E63" s="30" t="n">
        <f aca="false">E$4-D63</f>
        <v>134.537347053797</v>
      </c>
      <c r="F63" s="12" t="n">
        <v>0</v>
      </c>
      <c r="G63" s="24" t="n">
        <f aca="false">C63-E63-F63</f>
        <v>411.738231460791</v>
      </c>
      <c r="I63" s="25" t="n">
        <f aca="false">I62+E63</f>
        <v>5881.97176853921</v>
      </c>
      <c r="J63" s="24" t="n">
        <f aca="false">J62+D63</f>
        <v>2098.03409328055</v>
      </c>
      <c r="L63" s="30" t="n">
        <f aca="false">IPMT(E$3,B63,60,$C63)</f>
        <v>-0.474151188538151</v>
      </c>
      <c r="M63" s="30" t="n">
        <f aca="false">PPMT(E$3,B63,60,$C63)</f>
        <v>-11.6774473392691</v>
      </c>
    </row>
    <row r="64" customFormat="false" ht="15" hidden="false" customHeight="false" outlineLevel="1" collapsed="false">
      <c r="B64" s="0" t="n">
        <v>58</v>
      </c>
      <c r="C64" s="21" t="n">
        <f aca="false">G63</f>
        <v>411.738231460791</v>
      </c>
      <c r="D64" s="31" t="n">
        <f aca="false">C64*E$3</f>
        <v>4.11738231460791</v>
      </c>
      <c r="E64" s="30" t="n">
        <f aca="false">E$4-D64</f>
        <v>135.882720524335</v>
      </c>
      <c r="F64" s="12" t="n">
        <v>0</v>
      </c>
      <c r="G64" s="24" t="n">
        <f aca="false">C64-E64-F64</f>
        <v>275.855510936456</v>
      </c>
      <c r="I64" s="25" t="n">
        <f aca="false">I63+E64</f>
        <v>6017.85448906354</v>
      </c>
      <c r="J64" s="24" t="n">
        <f aca="false">J63+D64</f>
        <v>2102.15147559516</v>
      </c>
      <c r="L64" s="30" t="n">
        <f aca="false">IPMT(E$3,B64,60,$C64)</f>
        <v>-0.269361586800879</v>
      </c>
      <c r="M64" s="30" t="n">
        <f aca="false">PPMT(E$3,B64,60,$C64)</f>
        <v>-8.88952796280266</v>
      </c>
    </row>
    <row r="65" customFormat="false" ht="15" hidden="false" customHeight="false" outlineLevel="1" collapsed="false">
      <c r="B65" s="0" t="n">
        <v>59</v>
      </c>
      <c r="C65" s="21" t="n">
        <f aca="false">G64</f>
        <v>275.855510936456</v>
      </c>
      <c r="D65" s="31" t="n">
        <f aca="false">C65*E$3</f>
        <v>2.75855510936456</v>
      </c>
      <c r="E65" s="30" t="n">
        <f aca="false">E$4-D65</f>
        <v>137.241547729579</v>
      </c>
      <c r="F65" s="12" t="n">
        <v>0</v>
      </c>
      <c r="G65" s="24" t="n">
        <f aca="false">C65-E65-F65</f>
        <v>138.613963206877</v>
      </c>
      <c r="I65" s="25" t="n">
        <f aca="false">I64+E65</f>
        <v>6155.09603679312</v>
      </c>
      <c r="J65" s="24" t="n">
        <f aca="false">J64+D65</f>
        <v>2104.91003070452</v>
      </c>
      <c r="L65" s="30" t="n">
        <f aca="false">IPMT(E$3,B65,60,$C65)</f>
        <v>-0.120908435428404</v>
      </c>
      <c r="M65" s="30" t="n">
        <f aca="false">PPMT(E$3,B65,60,$C65)</f>
        <v>-6.01534504618943</v>
      </c>
    </row>
    <row r="66" customFormat="false" ht="15" hidden="false" customHeight="false" outlineLevel="0" collapsed="false">
      <c r="A66" s="0" t="s">
        <v>63</v>
      </c>
      <c r="B66" s="0" t="n">
        <v>60</v>
      </c>
      <c r="C66" s="21" t="n">
        <f aca="false">G65</f>
        <v>138.613963206877</v>
      </c>
      <c r="D66" s="31" t="n">
        <f aca="false">C66*E$3</f>
        <v>1.38613963206877</v>
      </c>
      <c r="E66" s="30" t="n">
        <f aca="false">E$4-D66</f>
        <v>138.613963206874</v>
      </c>
      <c r="F66" s="21" t="n">
        <v>0</v>
      </c>
      <c r="G66" s="24" t="n">
        <f aca="false">C66-E66-F66</f>
        <v>2.58637555816676E-012</v>
      </c>
      <c r="I66" s="25" t="n">
        <f aca="false">I65+E66</f>
        <v>6293.71</v>
      </c>
      <c r="J66" s="24" t="n">
        <f aca="false">J65+D66</f>
        <v>2106.29617033659</v>
      </c>
      <c r="L66" s="30" t="n">
        <f aca="false">IPMT(E$3,B66,60,$C66)</f>
        <v>-0.0305286242866549</v>
      </c>
      <c r="M66" s="30" t="n">
        <f aca="false">PPMT(E$3,B66,60,$C66)</f>
        <v>-3.05286242866562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1" activeCellId="0" sqref="C31"/>
    </sheetView>
  </sheetViews>
  <sheetFormatPr defaultColWidth="8.54296875" defaultRowHeight="15" zeroHeight="false" outlineLevelRow="0" outlineLevelCol="1"/>
  <cols>
    <col collapsed="false" customWidth="true" hidden="false" outlineLevel="0" max="2" min="2" style="0" width="6.85"/>
    <col collapsed="false" customWidth="true" hidden="false" outlineLevel="0" max="3" min="3" style="0" width="18.14"/>
    <col collapsed="false" customWidth="true" hidden="false" outlineLevel="0" max="4" min="4" style="0" width="8"/>
    <col collapsed="false" customWidth="true" hidden="false" outlineLevel="1" max="5" min="5" style="0" width="8.86"/>
    <col collapsed="false" customWidth="true" hidden="false" outlineLevel="1" max="8" min="6" style="0" width="7.71"/>
    <col collapsed="false" customWidth="false" hidden="false" outlineLevel="1" max="9" min="9" style="0" width="8.57"/>
    <col collapsed="false" customWidth="true" hidden="false" outlineLevel="0" max="10" min="10" style="0" width="3.86"/>
    <col collapsed="false" customWidth="true" hidden="false" outlineLevel="0" max="11" min="11" style="0" width="4.14"/>
    <col collapsed="false" customWidth="true" hidden="false" outlineLevel="0" max="12" min="12" style="0" width="8"/>
    <col collapsed="false" customWidth="true" hidden="false" outlineLevel="0" max="13" min="13" style="0" width="8.86"/>
    <col collapsed="false" customWidth="true" hidden="true" outlineLevel="1" max="14" min="14" style="0" width="8.86"/>
    <col collapsed="false" customWidth="true" hidden="true" outlineLevel="1" max="17" min="15" style="0" width="7.71"/>
    <col collapsed="false" customWidth="true" hidden="true" outlineLevel="1" max="18" min="18" style="0" width="8.42"/>
    <col collapsed="false" customWidth="true" hidden="false" outlineLevel="0" max="19" min="19" style="0" width="3.71"/>
    <col collapsed="false" customWidth="true" hidden="false" outlineLevel="0" max="20" min="20" style="0" width="8"/>
    <col collapsed="false" customWidth="true" hidden="false" outlineLevel="0" max="21" min="21" style="0" width="8.86"/>
    <col collapsed="false" customWidth="true" hidden="true" outlineLevel="1" max="22" min="22" style="0" width="8.86"/>
    <col collapsed="false" customWidth="true" hidden="true" outlineLevel="1" max="25" min="23" style="0" width="7.71"/>
    <col collapsed="false" customWidth="true" hidden="true" outlineLevel="1" max="26" min="26" style="0" width="8.15"/>
    <col collapsed="false" customWidth="true" hidden="false" outlineLevel="0" max="27" min="27" style="0" width="3.71"/>
    <col collapsed="false" customWidth="true" hidden="false" outlineLevel="0" max="28" min="28" style="0" width="8"/>
    <col collapsed="false" customWidth="true" hidden="false" outlineLevel="0" max="29" min="29" style="0" width="8.86"/>
    <col collapsed="false" customWidth="true" hidden="true" outlineLevel="1" max="30" min="30" style="0" width="8.86"/>
    <col collapsed="false" customWidth="true" hidden="true" outlineLevel="1" max="33" min="31" style="0" width="7.71"/>
    <col collapsed="false" customWidth="false" hidden="true" outlineLevel="1" max="34" min="34" style="0" width="8.57"/>
    <col collapsed="false" customWidth="true" hidden="false" outlineLevel="0" max="35" min="35" style="0" width="3.42"/>
    <col collapsed="false" customWidth="true" hidden="false" outlineLevel="0" max="36" min="36" style="0" width="8"/>
    <col collapsed="false" customWidth="true" hidden="false" outlineLevel="0" max="37" min="37" style="0" width="8.86"/>
    <col collapsed="false" customWidth="true" hidden="true" outlineLevel="1" max="38" min="38" style="0" width="8.86"/>
    <col collapsed="false" customWidth="true" hidden="true" outlineLevel="1" max="41" min="39" style="0" width="7.71"/>
    <col collapsed="false" customWidth="true" hidden="true" outlineLevel="1" max="42" min="42" style="0" width="7.42"/>
    <col collapsed="false" customWidth="true" hidden="false" outlineLevel="0" max="43" min="43" style="0" width="14"/>
    <col collapsed="false" customWidth="true" hidden="false" outlineLevel="0" max="44" min="44" style="0" width="40.71"/>
    <col collapsed="false" customWidth="true" hidden="false" outlineLevel="0" max="46" min="45" style="0" width="6.85"/>
    <col collapsed="false" customWidth="true" hidden="false" outlineLevel="0" max="47" min="47" style="0" width="8.86"/>
    <col collapsed="false" customWidth="true" hidden="false" outlineLevel="0" max="49" min="49" style="0" width="6.85"/>
    <col collapsed="false" customWidth="true" hidden="false" outlineLevel="0" max="50" min="50" style="0" width="17"/>
    <col collapsed="false" customWidth="true" hidden="false" outlineLevel="0" max="51" min="51" style="0" width="8.71"/>
    <col collapsed="false" customWidth="true" hidden="false" outlineLevel="0" max="52" min="52" style="0" width="7.86"/>
    <col collapsed="false" customWidth="true" hidden="false" outlineLevel="0" max="53" min="53" style="0" width="6.85"/>
    <col collapsed="false" customWidth="true" hidden="false" outlineLevel="0" max="54" min="54" style="0" width="9.14"/>
    <col collapsed="false" customWidth="true" hidden="false" outlineLevel="0" max="55" min="55" style="0" width="7.86"/>
    <col collapsed="false" customWidth="true" hidden="false" outlineLevel="0" max="58" min="56" style="0" width="6.85"/>
  </cols>
  <sheetData>
    <row r="1" customFormat="false" ht="15" hidden="false" customHeight="false" outlineLevel="0" collapsed="false">
      <c r="A1" s="29" t="s">
        <v>484</v>
      </c>
      <c r="B1" s="29" t="s">
        <v>485</v>
      </c>
      <c r="AR1" s="29" t="s">
        <v>486</v>
      </c>
      <c r="AV1" s="29"/>
      <c r="AW1" s="29"/>
      <c r="AX1" s="29"/>
      <c r="AY1" s="29"/>
      <c r="AZ1" s="29"/>
      <c r="BA1" s="29"/>
      <c r="BB1" s="29"/>
      <c r="BC1" s="29"/>
    </row>
    <row r="2" customFormat="false" ht="15" hidden="false" customHeight="false" outlineLevel="0" collapsed="false">
      <c r="C2" s="5" t="s">
        <v>487</v>
      </c>
      <c r="D2" s="5"/>
      <c r="E2" s="5"/>
      <c r="F2" s="5"/>
      <c r="G2" s="5"/>
      <c r="H2" s="5"/>
      <c r="I2" s="5"/>
      <c r="J2" s="27"/>
      <c r="L2" s="5" t="s">
        <v>488</v>
      </c>
      <c r="M2" s="5"/>
      <c r="N2" s="5"/>
      <c r="O2" s="5"/>
      <c r="P2" s="5"/>
      <c r="Q2" s="5"/>
      <c r="R2" s="5"/>
      <c r="S2" s="27"/>
      <c r="T2" s="5" t="s">
        <v>489</v>
      </c>
      <c r="U2" s="5"/>
      <c r="V2" s="5"/>
      <c r="W2" s="5"/>
      <c r="X2" s="5"/>
      <c r="Y2" s="5"/>
      <c r="Z2" s="5"/>
      <c r="AA2" s="27"/>
      <c r="AB2" s="5" t="s">
        <v>490</v>
      </c>
      <c r="AC2" s="5"/>
      <c r="AD2" s="5"/>
      <c r="AE2" s="5"/>
      <c r="AF2" s="5"/>
      <c r="AG2" s="5"/>
      <c r="AH2" s="5"/>
      <c r="AI2" s="27"/>
      <c r="AJ2" s="5" t="s">
        <v>491</v>
      </c>
      <c r="AK2" s="5"/>
      <c r="AL2" s="5"/>
      <c r="AM2" s="5"/>
      <c r="AN2" s="5"/>
      <c r="AO2" s="5"/>
      <c r="AP2" s="5"/>
      <c r="AQ2" s="27"/>
      <c r="AR2" s="27"/>
      <c r="AS2" s="27"/>
      <c r="AT2" s="27"/>
      <c r="AU2" s="2" t="s">
        <v>487</v>
      </c>
      <c r="AV2" s="2" t="s">
        <v>176</v>
      </c>
      <c r="AW2" s="2" t="s">
        <v>184</v>
      </c>
      <c r="AY2" s="187" t="s">
        <v>492</v>
      </c>
      <c r="AZ2" s="5"/>
      <c r="BB2" s="187" t="s">
        <v>493</v>
      </c>
      <c r="BC2" s="5"/>
    </row>
    <row r="3" customFormat="false" ht="15" hidden="false" customHeight="false" outlineLevel="0" collapsed="false">
      <c r="AR3" s="0" t="s">
        <v>494</v>
      </c>
      <c r="AY3" s="0" t="s">
        <v>112</v>
      </c>
      <c r="AZ3" s="188" t="s">
        <v>184</v>
      </c>
      <c r="BB3" s="0" t="s">
        <v>184</v>
      </c>
    </row>
    <row r="4" customFormat="false" ht="15" hidden="false" customHeight="false" outlineLevel="0" collapsed="false">
      <c r="C4" s="0" t="s">
        <v>0</v>
      </c>
      <c r="D4" s="34" t="n">
        <v>0</v>
      </c>
      <c r="E4" s="34" t="n">
        <v>0.02</v>
      </c>
      <c r="F4" s="9" t="n">
        <v>0.05</v>
      </c>
      <c r="G4" s="34" t="n">
        <v>0.1</v>
      </c>
      <c r="H4" s="34" t="n">
        <v>0.15</v>
      </c>
      <c r="I4" s="34" t="n">
        <v>0.2</v>
      </c>
      <c r="J4" s="34"/>
      <c r="L4" s="0" t="s">
        <v>0</v>
      </c>
      <c r="M4" s="34" t="n">
        <v>0</v>
      </c>
      <c r="N4" s="34" t="n">
        <f aca="false">E4</f>
        <v>0.02</v>
      </c>
      <c r="O4" s="9" t="n">
        <f aca="false">F4</f>
        <v>0.05</v>
      </c>
      <c r="P4" s="34" t="n">
        <v>0.1</v>
      </c>
      <c r="Q4" s="34" t="n">
        <v>0.15</v>
      </c>
      <c r="R4" s="42" t="n">
        <v>0.199618688356832</v>
      </c>
      <c r="S4" s="34"/>
      <c r="T4" s="0" t="s">
        <v>0</v>
      </c>
      <c r="U4" s="34" t="n">
        <v>0</v>
      </c>
      <c r="V4" s="34" t="n">
        <f aca="false">E4</f>
        <v>0.02</v>
      </c>
      <c r="W4" s="34" t="n">
        <v>0.05</v>
      </c>
      <c r="X4" s="34" t="n">
        <v>0.1</v>
      </c>
      <c r="Y4" s="34" t="n">
        <v>0.15</v>
      </c>
      <c r="Z4" s="34" t="n">
        <v>0.2</v>
      </c>
      <c r="AA4" s="34"/>
      <c r="AB4" s="0" t="s">
        <v>0</v>
      </c>
      <c r="AC4" s="34" t="n">
        <v>0</v>
      </c>
      <c r="AD4" s="34" t="n">
        <f aca="false">E4</f>
        <v>0.02</v>
      </c>
      <c r="AE4" s="34" t="n">
        <v>0.05</v>
      </c>
      <c r="AF4" s="34" t="n">
        <v>0.1</v>
      </c>
      <c r="AG4" s="34" t="n">
        <v>0.15</v>
      </c>
      <c r="AH4" s="34" t="n">
        <v>0.2</v>
      </c>
      <c r="AI4" s="34"/>
      <c r="AJ4" s="0" t="s">
        <v>0</v>
      </c>
      <c r="AK4" s="34" t="n">
        <v>0</v>
      </c>
      <c r="AL4" s="34" t="n">
        <f aca="false">E4</f>
        <v>0.02</v>
      </c>
      <c r="AM4" s="34" t="n">
        <v>0.05</v>
      </c>
      <c r="AN4" s="34" t="n">
        <v>0.1</v>
      </c>
      <c r="AO4" s="34" t="n">
        <v>0.15</v>
      </c>
      <c r="AP4" s="34" t="n">
        <v>0.2</v>
      </c>
      <c r="AQ4" s="34"/>
      <c r="AR4" s="0" t="s">
        <v>495</v>
      </c>
      <c r="AS4" s="34"/>
      <c r="AT4" s="34"/>
    </row>
    <row r="6" customFormat="false" ht="15" hidden="false" customHeight="false" outlineLevel="0" collapsed="false">
      <c r="B6" s="5" t="s">
        <v>33</v>
      </c>
      <c r="C6" s="81" t="s">
        <v>418</v>
      </c>
      <c r="D6" s="53" t="s">
        <v>393</v>
      </c>
      <c r="E6" s="53"/>
      <c r="F6" s="53"/>
      <c r="G6" s="53"/>
      <c r="H6" s="53"/>
      <c r="I6" s="53"/>
      <c r="J6" s="46"/>
      <c r="L6" s="81" t="s">
        <v>496</v>
      </c>
      <c r="M6" s="53" t="s">
        <v>393</v>
      </c>
      <c r="N6" s="53"/>
      <c r="O6" s="53"/>
      <c r="P6" s="53"/>
      <c r="Q6" s="53"/>
      <c r="R6" s="53"/>
      <c r="S6" s="153"/>
      <c r="T6" s="81" t="s">
        <v>496</v>
      </c>
      <c r="U6" s="53" t="s">
        <v>393</v>
      </c>
      <c r="V6" s="53"/>
      <c r="W6" s="53"/>
      <c r="X6" s="53"/>
      <c r="Y6" s="53"/>
      <c r="Z6" s="53"/>
      <c r="AA6" s="153"/>
      <c r="AB6" s="81" t="s">
        <v>496</v>
      </c>
      <c r="AC6" s="53" t="s">
        <v>393</v>
      </c>
      <c r="AD6" s="53"/>
      <c r="AE6" s="53"/>
      <c r="AF6" s="53"/>
      <c r="AG6" s="53"/>
      <c r="AH6" s="53"/>
      <c r="AI6" s="153"/>
      <c r="AJ6" s="81" t="s">
        <v>496</v>
      </c>
      <c r="AK6" s="53" t="s">
        <v>393</v>
      </c>
      <c r="AL6" s="53"/>
      <c r="AM6" s="53"/>
      <c r="AN6" s="53"/>
      <c r="AO6" s="53"/>
      <c r="AP6" s="53"/>
      <c r="AQ6" s="153"/>
      <c r="AR6" s="153"/>
      <c r="AS6" s="153"/>
      <c r="AT6" s="153"/>
      <c r="AU6" s="81" t="s">
        <v>418</v>
      </c>
      <c r="AV6" s="5"/>
      <c r="AW6" s="5"/>
      <c r="AX6" s="55"/>
      <c r="AY6" s="5"/>
      <c r="AZ6" s="189"/>
      <c r="BA6" s="5"/>
      <c r="BB6" s="5"/>
    </row>
    <row r="7" customFormat="false" ht="15" hidden="false" customHeight="false" outlineLevel="0" collapsed="false">
      <c r="B7" s="4" t="n">
        <v>0</v>
      </c>
      <c r="C7" s="190" t="n">
        <v>-4000</v>
      </c>
      <c r="D7" s="36" t="n">
        <f aca="false">C7/(1+D$4)^$B7</f>
        <v>-4000</v>
      </c>
      <c r="E7" s="36" t="n">
        <f aca="false">C7/(1+E$4)^$B7</f>
        <v>-4000</v>
      </c>
      <c r="F7" s="36" t="n">
        <f aca="false">D7/(1+F$4)^$B7</f>
        <v>-4000</v>
      </c>
      <c r="G7" s="36" t="n">
        <f aca="false">F7/(1+G$4)^$B7</f>
        <v>-4000</v>
      </c>
      <c r="H7" s="36" t="n">
        <f aca="false">G7/(1+H$4)^$B7</f>
        <v>-4000</v>
      </c>
      <c r="I7" s="36" t="n">
        <f aca="false">H7/(1+I$4)^$B7</f>
        <v>-4000</v>
      </c>
      <c r="J7" s="36"/>
      <c r="L7" s="191" t="n">
        <v>-2000</v>
      </c>
      <c r="M7" s="36" t="n">
        <f aca="false">L7/(1+M$4)^$B7</f>
        <v>-2000</v>
      </c>
      <c r="N7" s="36" t="n">
        <f aca="false">L7/(1+N$4)^$B7</f>
        <v>-2000</v>
      </c>
      <c r="O7" s="36" t="n">
        <f aca="false">M7/(1+O$4)^$B7</f>
        <v>-2000</v>
      </c>
      <c r="P7" s="36" t="n">
        <f aca="false">O7/(1+P$4)^$B7</f>
        <v>-2000</v>
      </c>
      <c r="Q7" s="36" t="n">
        <f aca="false">P7/(1+Q$4)^$B7</f>
        <v>-2000</v>
      </c>
      <c r="R7" s="36" t="n">
        <f aca="false">Q7/(1+R$4)^$B7</f>
        <v>-2000</v>
      </c>
      <c r="S7" s="36"/>
      <c r="T7" s="191" t="n">
        <v>-6000</v>
      </c>
      <c r="U7" s="36" t="n">
        <f aca="false">T7/(1+U$4)^$B7</f>
        <v>-6000</v>
      </c>
      <c r="V7" s="36" t="n">
        <f aca="false">T7/(1+V$4)^$B7</f>
        <v>-6000</v>
      </c>
      <c r="W7" s="36" t="n">
        <f aca="false">U7/(1+W$4)^$B7</f>
        <v>-6000</v>
      </c>
      <c r="X7" s="36" t="n">
        <f aca="false">W7/(1+X$4)^$B7</f>
        <v>-6000</v>
      </c>
      <c r="Y7" s="36" t="n">
        <f aca="false">X7/(1+Y$4)^$B7</f>
        <v>-6000</v>
      </c>
      <c r="Z7" s="36" t="n">
        <f aca="false">Y7/(1+Z$4)^$B7</f>
        <v>-6000</v>
      </c>
      <c r="AA7" s="36"/>
      <c r="AB7" s="191" t="n">
        <v>-1000</v>
      </c>
      <c r="AC7" s="36" t="n">
        <f aca="false">AB7/(1+AC$4)^$B7</f>
        <v>-1000</v>
      </c>
      <c r="AD7" s="36" t="n">
        <f aca="false">AB7/(1+AD$4)^$B7</f>
        <v>-1000</v>
      </c>
      <c r="AE7" s="36" t="n">
        <f aca="false">AC7/(1+AE$4)^$B7</f>
        <v>-1000</v>
      </c>
      <c r="AF7" s="36" t="n">
        <f aca="false">AE7/(1+AF$4)^$B7</f>
        <v>-1000</v>
      </c>
      <c r="AG7" s="36" t="n">
        <f aca="false">AF7/(1+AG$4)^$B7</f>
        <v>-1000</v>
      </c>
      <c r="AH7" s="36" t="n">
        <f aca="false">AG7/(1+AH$4)^$B7</f>
        <v>-1000</v>
      </c>
      <c r="AI7" s="36"/>
      <c r="AJ7" s="191" t="n">
        <v>-9000</v>
      </c>
      <c r="AK7" s="36" t="n">
        <f aca="false">AJ7/(1+AK$4)^$B7</f>
        <v>-9000</v>
      </c>
      <c r="AL7" s="36" t="n">
        <f aca="false">AJ7/(1+AL$4)^$B7</f>
        <v>-9000</v>
      </c>
      <c r="AM7" s="36" t="n">
        <f aca="false">AK7/(1+AM$4)^$B7</f>
        <v>-9000</v>
      </c>
      <c r="AN7" s="36" t="n">
        <f aca="false">AM7/(1+AN$4)^$B7</f>
        <v>-9000</v>
      </c>
      <c r="AO7" s="36" t="n">
        <f aca="false">AN7/(1+AO$4)^$B7</f>
        <v>-9000</v>
      </c>
      <c r="AP7" s="36" t="n">
        <f aca="false">AO7/(1+AP$4)^$B7</f>
        <v>-9000</v>
      </c>
      <c r="AQ7" s="36"/>
      <c r="AR7" s="36"/>
      <c r="AS7" s="36"/>
      <c r="AT7" s="36"/>
      <c r="AU7" s="84" t="n">
        <v>-4000</v>
      </c>
      <c r="AV7" s="83" t="n">
        <v>-2000</v>
      </c>
      <c r="AW7" s="83" t="n">
        <v>-6000</v>
      </c>
      <c r="AX7" s="55"/>
      <c r="AY7" s="4" t="n">
        <f aca="false">AU7-$AV7</f>
        <v>-2000</v>
      </c>
      <c r="AZ7" s="192" t="n">
        <f aca="false">AW7-$AV7</f>
        <v>-4000</v>
      </c>
      <c r="BA7" s="4"/>
      <c r="BB7" s="4" t="n">
        <f aca="false">AW7-$AU7</f>
        <v>-2000</v>
      </c>
    </row>
    <row r="8" customFormat="false" ht="15" hidden="false" customHeight="false" outlineLevel="0" collapsed="false">
      <c r="B8" s="4" t="n">
        <v>1</v>
      </c>
      <c r="C8" s="193" t="n">
        <v>639</v>
      </c>
      <c r="D8" s="36" t="n">
        <f aca="false">$C8/(1+D$4)^$B8</f>
        <v>639</v>
      </c>
      <c r="E8" s="36" t="n">
        <f aca="false">C8/(1+E$4)^$B8</f>
        <v>626.470588235294</v>
      </c>
      <c r="F8" s="36" t="n">
        <f aca="false">$C8/(1+F$4)^$B8</f>
        <v>608.571428571429</v>
      </c>
      <c r="G8" s="36" t="n">
        <f aca="false">$C8/(1+G$4)^$B8</f>
        <v>580.909090909091</v>
      </c>
      <c r="H8" s="36" t="n">
        <f aca="false">$C8/(1+H$4)^$B8</f>
        <v>555.652173913044</v>
      </c>
      <c r="I8" s="36" t="n">
        <f aca="false">$C8/(1+I$4)^$B8</f>
        <v>532.5</v>
      </c>
      <c r="J8" s="36"/>
      <c r="L8" s="193" t="n">
        <v>410</v>
      </c>
      <c r="M8" s="36" t="n">
        <f aca="false">$L8/(1+M$4)^$B8</f>
        <v>410</v>
      </c>
      <c r="N8" s="36" t="n">
        <f aca="false">$L8/(1+N$4)^$B8</f>
        <v>401.960784313725</v>
      </c>
      <c r="O8" s="36" t="n">
        <f aca="false">$L8/(1+O$4)^$B8</f>
        <v>390.476190476191</v>
      </c>
      <c r="P8" s="36" t="n">
        <f aca="false">$L8/(1+P$4)^$B8</f>
        <v>372.727272727273</v>
      </c>
      <c r="Q8" s="36" t="n">
        <f aca="false">$L8/(1+Q$4)^$B8</f>
        <v>356.521739130435</v>
      </c>
      <c r="R8" s="36" t="n">
        <f aca="false">$L8/(1+R$4)^$B8</f>
        <v>341.775269074537</v>
      </c>
      <c r="S8" s="36"/>
      <c r="T8" s="193" t="n">
        <v>761</v>
      </c>
      <c r="U8" s="36" t="n">
        <f aca="false">$T8/(1+U$4)^$B8</f>
        <v>761</v>
      </c>
      <c r="V8" s="36" t="n">
        <f aca="false">$T8/(1+V$4)^$B8</f>
        <v>746.078431372549</v>
      </c>
      <c r="W8" s="36" t="n">
        <f aca="false">$T8/(1+W$4)^$B8</f>
        <v>724.761904761905</v>
      </c>
      <c r="X8" s="36" t="n">
        <f aca="false">$T8/(1+X$4)^$B8</f>
        <v>691.818181818182</v>
      </c>
      <c r="Y8" s="36" t="n">
        <f aca="false">$T8/(1+Y$4)^$B8</f>
        <v>661.739130434783</v>
      </c>
      <c r="Z8" s="36" t="n">
        <f aca="false">$T8/(1+Z$4)^$B8</f>
        <v>634.166666666667</v>
      </c>
      <c r="AA8" s="36"/>
      <c r="AB8" s="193" t="n">
        <v>117</v>
      </c>
      <c r="AC8" s="36" t="n">
        <f aca="false">$AB8/(1+AC$4)^$B8</f>
        <v>117</v>
      </c>
      <c r="AD8" s="36" t="n">
        <f aca="false">$AB8/(1+AD$4)^$B8</f>
        <v>114.705882352941</v>
      </c>
      <c r="AE8" s="36" t="n">
        <f aca="false">$AB8/(1+AE$4)^$B8</f>
        <v>111.428571428571</v>
      </c>
      <c r="AF8" s="36" t="n">
        <f aca="false">$AB8/(1+AF$4)^$B8</f>
        <v>106.363636363636</v>
      </c>
      <c r="AG8" s="36" t="n">
        <f aca="false">$AB8/(1+AG$4)^$B8</f>
        <v>101.739130434783</v>
      </c>
      <c r="AH8" s="36" t="n">
        <f aca="false">$AB8/(1+AH$4)^$B8</f>
        <v>97.5</v>
      </c>
      <c r="AI8" s="36"/>
      <c r="AJ8" s="193" t="n">
        <v>785</v>
      </c>
      <c r="AK8" s="36" t="n">
        <f aca="false">$AJ8/(1+AK$4)^$B8</f>
        <v>785</v>
      </c>
      <c r="AL8" s="36" t="n">
        <f aca="false">$AJ8/(1+AL$4)^$B8</f>
        <v>769.607843137255</v>
      </c>
      <c r="AM8" s="36" t="n">
        <f aca="false">$AJ8/(1+AM$4)^$B8</f>
        <v>747.619047619048</v>
      </c>
      <c r="AN8" s="36" t="n">
        <f aca="false">$AJ8/(1+AN$4)^$B8</f>
        <v>713.636363636364</v>
      </c>
      <c r="AO8" s="36" t="n">
        <f aca="false">$AJ8/(1+AO$4)^$B8</f>
        <v>682.608695652174</v>
      </c>
      <c r="AP8" s="36" t="n">
        <f aca="false">$AJ8/(1+AP$4)^$B8</f>
        <v>654.166666666667</v>
      </c>
      <c r="AQ8" s="36"/>
      <c r="AR8" s="36"/>
      <c r="AS8" s="36"/>
      <c r="AT8" s="36"/>
      <c r="AU8" s="194" t="n">
        <v>639</v>
      </c>
      <c r="AV8" s="194" t="n">
        <v>410</v>
      </c>
      <c r="AW8" s="194" t="n">
        <v>761</v>
      </c>
      <c r="AX8" s="55"/>
      <c r="AY8" s="195" t="n">
        <f aca="false">AU8-$AV8</f>
        <v>229</v>
      </c>
      <c r="AZ8" s="192" t="n">
        <f aca="false">AW8-$AV8</f>
        <v>351</v>
      </c>
      <c r="BA8" s="4"/>
      <c r="BB8" s="4" t="n">
        <f aca="false">AW8-$AU8</f>
        <v>122</v>
      </c>
    </row>
    <row r="9" customFormat="false" ht="15" hidden="false" customHeight="false" outlineLevel="0" collapsed="false">
      <c r="B9" s="4" t="n">
        <v>2</v>
      </c>
      <c r="C9" s="194" t="n">
        <f aca="false">C8</f>
        <v>639</v>
      </c>
      <c r="D9" s="36" t="n">
        <f aca="false">$C9/(1+D$4)^$B9</f>
        <v>639</v>
      </c>
      <c r="E9" s="36" t="n">
        <f aca="false">C9/(1+E$4)^$B9</f>
        <v>614.186851211073</v>
      </c>
      <c r="F9" s="36" t="n">
        <f aca="false">$C9/(1+F$4)^$B9</f>
        <v>579.591836734694</v>
      </c>
      <c r="G9" s="36" t="n">
        <f aca="false">$C9/(1+G$4)^$B9</f>
        <v>528.099173553719</v>
      </c>
      <c r="H9" s="36" t="n">
        <f aca="false">$C9/(1+H$4)^$B9</f>
        <v>483.175803402647</v>
      </c>
      <c r="I9" s="36" t="n">
        <f aca="false">$C9/(1+I$4)^$B9</f>
        <v>443.75</v>
      </c>
      <c r="J9" s="36"/>
      <c r="L9" s="194" t="n">
        <f aca="false">L8</f>
        <v>410</v>
      </c>
      <c r="M9" s="36" t="n">
        <f aca="false">$L9/(1+M$4)^$B9</f>
        <v>410</v>
      </c>
      <c r="N9" s="36" t="n">
        <f aca="false">$L9/(1+N$4)^$B9</f>
        <v>394.079200307574</v>
      </c>
      <c r="O9" s="36" t="n">
        <f aca="false">$L9/(1+O$4)^$B9</f>
        <v>371.8820861678</v>
      </c>
      <c r="P9" s="36" t="n">
        <f aca="false">$L9/(1+P$4)^$B9</f>
        <v>338.842975206612</v>
      </c>
      <c r="Q9" s="36" t="n">
        <f aca="false">$L9/(1+Q$4)^$B9</f>
        <v>310.018903591683</v>
      </c>
      <c r="R9" s="36" t="n">
        <f aca="false">$L9/(1+R$4)^$B9</f>
        <v>284.903255002372</v>
      </c>
      <c r="S9" s="36"/>
      <c r="T9" s="194" t="n">
        <f aca="false">T8</f>
        <v>761</v>
      </c>
      <c r="U9" s="36" t="n">
        <f aca="false">$T9/(1+U$4)^$B9</f>
        <v>761</v>
      </c>
      <c r="V9" s="36" t="n">
        <f aca="false">$T9/(1+V$4)^$B9</f>
        <v>731.449442522107</v>
      </c>
      <c r="W9" s="36" t="n">
        <f aca="false">$T9/(1+W$4)^$B9</f>
        <v>690.249433106576</v>
      </c>
      <c r="X9" s="36" t="n">
        <f aca="false">$T9/(1+X$4)^$B9</f>
        <v>628.925619834711</v>
      </c>
      <c r="Y9" s="36" t="n">
        <f aca="false">$T9/(1+Y$4)^$B9</f>
        <v>575.425330812855</v>
      </c>
      <c r="Z9" s="36" t="n">
        <f aca="false">$T9/(1+Z$4)^$B9</f>
        <v>528.472222222222</v>
      </c>
      <c r="AA9" s="36"/>
      <c r="AB9" s="194" t="n">
        <f aca="false">AB8</f>
        <v>117</v>
      </c>
      <c r="AC9" s="36" t="n">
        <f aca="false">$AB9/(1+AC$4)^$B9</f>
        <v>117</v>
      </c>
      <c r="AD9" s="36" t="n">
        <f aca="false">$AB9/(1+AD$4)^$B9</f>
        <v>112.456747404844</v>
      </c>
      <c r="AE9" s="36" t="n">
        <f aca="false">$AB9/(1+AE$4)^$B9</f>
        <v>106.122448979592</v>
      </c>
      <c r="AF9" s="36" t="n">
        <f aca="false">$AB9/(1+AF$4)^$B9</f>
        <v>96.694214876033</v>
      </c>
      <c r="AG9" s="36" t="n">
        <f aca="false">$AB9/(1+AG$4)^$B9</f>
        <v>88.468809073724</v>
      </c>
      <c r="AH9" s="36" t="n">
        <f aca="false">$AB9/(1+AH$4)^$B9</f>
        <v>81.25</v>
      </c>
      <c r="AI9" s="36"/>
      <c r="AJ9" s="194" t="n">
        <f aca="false">AJ8</f>
        <v>785</v>
      </c>
      <c r="AK9" s="36" t="n">
        <f aca="false">$AJ9/(1+AK$4)^$B9</f>
        <v>785</v>
      </c>
      <c r="AL9" s="36" t="n">
        <f aca="false">$AJ9/(1+AL$4)^$B9</f>
        <v>754.517493271819</v>
      </c>
      <c r="AM9" s="36" t="n">
        <f aca="false">$AJ9/(1+AM$4)^$B9</f>
        <v>712.018140589569</v>
      </c>
      <c r="AN9" s="36" t="n">
        <f aca="false">$AJ9/(1+AN$4)^$B9</f>
        <v>648.760330578512</v>
      </c>
      <c r="AO9" s="36" t="n">
        <f aca="false">$AJ9/(1+AO$4)^$B9</f>
        <v>593.572778827978</v>
      </c>
      <c r="AP9" s="36" t="n">
        <f aca="false">$AJ9/(1+AP$4)^$B9</f>
        <v>545.138888888889</v>
      </c>
      <c r="AQ9" s="36"/>
      <c r="AR9" s="36"/>
      <c r="AS9" s="36"/>
      <c r="AT9" s="36"/>
      <c r="AU9" s="194" t="n">
        <f aca="false">AU8</f>
        <v>639</v>
      </c>
      <c r="AV9" s="194" t="n">
        <f aca="false">AV8</f>
        <v>410</v>
      </c>
      <c r="AW9" s="194" t="n">
        <f aca="false">AW8</f>
        <v>761</v>
      </c>
      <c r="AX9" s="55"/>
      <c r="AY9" s="4" t="n">
        <f aca="false">AU9-$AV9</f>
        <v>229</v>
      </c>
      <c r="AZ9" s="192" t="n">
        <f aca="false">AW9-$AV9</f>
        <v>351</v>
      </c>
      <c r="BA9" s="4"/>
      <c r="BB9" s="4" t="n">
        <f aca="false">AW9-$AU9</f>
        <v>122</v>
      </c>
    </row>
    <row r="10" customFormat="false" ht="15" hidden="false" customHeight="false" outlineLevel="0" collapsed="false">
      <c r="B10" s="4" t="n">
        <v>3</v>
      </c>
      <c r="C10" s="194" t="n">
        <f aca="false">C9</f>
        <v>639</v>
      </c>
      <c r="D10" s="36" t="n">
        <f aca="false">$C10/(1+D$4)^$B10</f>
        <v>639</v>
      </c>
      <c r="E10" s="36" t="n">
        <f aca="false">C10/(1+E$4)^$B10</f>
        <v>602.143971775561</v>
      </c>
      <c r="F10" s="36" t="n">
        <f aca="false">$C10/(1+F$4)^$B10</f>
        <v>551.992225461613</v>
      </c>
      <c r="G10" s="36" t="n">
        <f aca="false">$C10/(1+G$4)^$B10</f>
        <v>480.090157776108</v>
      </c>
      <c r="H10" s="36" t="n">
        <f aca="false">$C10/(1+H$4)^$B10</f>
        <v>420.152872524041</v>
      </c>
      <c r="I10" s="36" t="n">
        <f aca="false">$C10/(1+I$4)^$B10</f>
        <v>369.791666666667</v>
      </c>
      <c r="J10" s="36"/>
      <c r="L10" s="194" t="n">
        <f aca="false">L9</f>
        <v>410</v>
      </c>
      <c r="M10" s="36" t="n">
        <f aca="false">$L10/(1+M$4)^$B10</f>
        <v>410</v>
      </c>
      <c r="N10" s="36" t="n">
        <f aca="false">$L10/(1+N$4)^$B10</f>
        <v>386.352157164288</v>
      </c>
      <c r="O10" s="36" t="n">
        <f aca="false">$L10/(1+O$4)^$B10</f>
        <v>354.173415397905</v>
      </c>
      <c r="P10" s="36" t="n">
        <f aca="false">$L10/(1+P$4)^$B10</f>
        <v>308.039068369647</v>
      </c>
      <c r="Q10" s="36" t="n">
        <f aca="false">$L10/(1+Q$4)^$B10</f>
        <v>269.581655297115</v>
      </c>
      <c r="R10" s="36" t="n">
        <f aca="false">$L10/(1+R$4)^$B10</f>
        <v>237.494845460115</v>
      </c>
      <c r="S10" s="36"/>
      <c r="T10" s="194" t="n">
        <f aca="false">T9</f>
        <v>761</v>
      </c>
      <c r="U10" s="36" t="n">
        <f aca="false">$T10/(1+U$4)^$B10</f>
        <v>761</v>
      </c>
      <c r="V10" s="36" t="n">
        <f aca="false">$T10/(1+V$4)^$B10</f>
        <v>717.107296590301</v>
      </c>
      <c r="W10" s="36" t="n">
        <f aca="false">$T10/(1+W$4)^$B10</f>
        <v>657.380412482453</v>
      </c>
      <c r="X10" s="36" t="n">
        <f aca="false">$T10/(1+X$4)^$B10</f>
        <v>571.750563486101</v>
      </c>
      <c r="Y10" s="36" t="n">
        <f aca="false">$T10/(1+Y$4)^$B10</f>
        <v>500.369852880743</v>
      </c>
      <c r="Z10" s="36" t="n">
        <f aca="false">$T10/(1+Z$4)^$B10</f>
        <v>440.393518518519</v>
      </c>
      <c r="AA10" s="36"/>
      <c r="AB10" s="194" t="n">
        <f aca="false">AB9</f>
        <v>117</v>
      </c>
      <c r="AC10" s="36" t="n">
        <f aca="false">$AB10/(1+AC$4)^$B10</f>
        <v>117</v>
      </c>
      <c r="AD10" s="36" t="n">
        <f aca="false">$AB10/(1+AD$4)^$B10</f>
        <v>110.251713142004</v>
      </c>
      <c r="AE10" s="36" t="n">
        <f aca="false">$AB10/(1+AE$4)^$B10</f>
        <v>101.068999028183</v>
      </c>
      <c r="AF10" s="36" t="n">
        <f aca="false">$AB10/(1+AF$4)^$B10</f>
        <v>87.9038317054846</v>
      </c>
      <c r="AG10" s="36" t="n">
        <f aca="false">$AB10/(1+AG$4)^$B10</f>
        <v>76.9293991945426</v>
      </c>
      <c r="AH10" s="36" t="n">
        <f aca="false">$AB10/(1+AH$4)^$B10</f>
        <v>67.7083333333333</v>
      </c>
      <c r="AI10" s="36"/>
      <c r="AJ10" s="194" t="n">
        <f aca="false">AJ9</f>
        <v>785</v>
      </c>
      <c r="AK10" s="36" t="n">
        <f aca="false">$AJ10/(1+AK$4)^$B10</f>
        <v>785</v>
      </c>
      <c r="AL10" s="36" t="n">
        <f aca="false">$AJ10/(1+AL$4)^$B10</f>
        <v>739.72303261943</v>
      </c>
      <c r="AM10" s="36" t="n">
        <f aca="false">$AJ10/(1+AM$4)^$B10</f>
        <v>678.112514847209</v>
      </c>
      <c r="AN10" s="36" t="n">
        <f aca="false">$AJ10/(1+AN$4)^$B10</f>
        <v>589.782118707738</v>
      </c>
      <c r="AO10" s="36" t="n">
        <f aca="false">$AJ10/(1+AO$4)^$B10</f>
        <v>516.150242459111</v>
      </c>
      <c r="AP10" s="36" t="n">
        <f aca="false">$AJ10/(1+AP$4)^$B10</f>
        <v>454.282407407407</v>
      </c>
      <c r="AQ10" s="36"/>
      <c r="AR10" s="36"/>
      <c r="AS10" s="36"/>
      <c r="AT10" s="36"/>
      <c r="AU10" s="194" t="n">
        <f aca="false">AU9</f>
        <v>639</v>
      </c>
      <c r="AV10" s="194" t="n">
        <f aca="false">AV9</f>
        <v>410</v>
      </c>
      <c r="AW10" s="194" t="n">
        <f aca="false">AW9</f>
        <v>761</v>
      </c>
      <c r="AX10" s="55"/>
      <c r="AY10" s="4" t="n">
        <f aca="false">AU10-$AV10</f>
        <v>229</v>
      </c>
      <c r="AZ10" s="192" t="n">
        <f aca="false">AW10-$AV10</f>
        <v>351</v>
      </c>
      <c r="BA10" s="4"/>
      <c r="BB10" s="4" t="n">
        <f aca="false">AW10-$AU10</f>
        <v>122</v>
      </c>
    </row>
    <row r="11" customFormat="false" ht="15" hidden="false" customHeight="false" outlineLevel="0" collapsed="false">
      <c r="B11" s="4" t="n">
        <v>4</v>
      </c>
      <c r="C11" s="194" t="n">
        <f aca="false">C10</f>
        <v>639</v>
      </c>
      <c r="D11" s="36" t="n">
        <f aca="false">$C11/(1+D$4)^$B11</f>
        <v>639</v>
      </c>
      <c r="E11" s="36" t="n">
        <f aca="false">C11/(1+E$4)^$B11</f>
        <v>590.337227230943</v>
      </c>
      <c r="F11" s="36" t="n">
        <f aca="false">$C11/(1+F$4)^$B11</f>
        <v>525.706881392013</v>
      </c>
      <c r="G11" s="36" t="n">
        <f aca="false">$C11/(1+G$4)^$B11</f>
        <v>436.44559797828</v>
      </c>
      <c r="H11" s="36" t="n">
        <f aca="false">$C11/(1+H$4)^$B11</f>
        <v>365.350323933948</v>
      </c>
      <c r="I11" s="36" t="n">
        <f aca="false">$C11/(1+I$4)^$B11</f>
        <v>308.159722222222</v>
      </c>
      <c r="J11" s="36"/>
      <c r="L11" s="194" t="n">
        <f aca="false">L10</f>
        <v>410</v>
      </c>
      <c r="M11" s="36" t="n">
        <f aca="false">$L11/(1+M$4)^$B11</f>
        <v>410</v>
      </c>
      <c r="N11" s="36" t="n">
        <f aca="false">$L11/(1+N$4)^$B11</f>
        <v>378.776624670871</v>
      </c>
      <c r="O11" s="36" t="n">
        <f aca="false">$L11/(1+O$4)^$B11</f>
        <v>337.308014664672</v>
      </c>
      <c r="P11" s="36" t="n">
        <f aca="false">$L11/(1+P$4)^$B11</f>
        <v>280.035516699679</v>
      </c>
      <c r="Q11" s="36" t="n">
        <f aca="false">$L11/(1+Q$4)^$B11</f>
        <v>234.418830693144</v>
      </c>
      <c r="R11" s="36" t="n">
        <f aca="false">$L11/(1+R$4)^$B11</f>
        <v>197.975279782796</v>
      </c>
      <c r="S11" s="36"/>
      <c r="T11" s="194" t="n">
        <f aca="false">T10</f>
        <v>761</v>
      </c>
      <c r="U11" s="36" t="n">
        <f aca="false">$T11/(1+U$4)^$B11</f>
        <v>761</v>
      </c>
      <c r="V11" s="36" t="n">
        <f aca="false">$T11/(1+V$4)^$B11</f>
        <v>703.046369206177</v>
      </c>
      <c r="W11" s="36" t="n">
        <f aca="false">$T11/(1+W$4)^$B11</f>
        <v>626.076583316622</v>
      </c>
      <c r="X11" s="36" t="n">
        <f aca="false">$T11/(1+X$4)^$B11</f>
        <v>519.773239532819</v>
      </c>
      <c r="Y11" s="36" t="n">
        <f aca="false">$T11/(1+Y$4)^$B11</f>
        <v>435.104219896298</v>
      </c>
      <c r="Z11" s="36" t="n">
        <f aca="false">$T11/(1+Z$4)^$B11</f>
        <v>366.994598765432</v>
      </c>
      <c r="AA11" s="36"/>
      <c r="AB11" s="194" t="n">
        <f aca="false">AB10</f>
        <v>117</v>
      </c>
      <c r="AC11" s="36" t="n">
        <f aca="false">$AB11/(1+AC$4)^$B11</f>
        <v>117</v>
      </c>
      <c r="AD11" s="36" t="n">
        <f aca="false">$AB11/(1+AD$4)^$B11</f>
        <v>108.089914845102</v>
      </c>
      <c r="AE11" s="36" t="n">
        <f aca="false">$AB11/(1+AE$4)^$B11</f>
        <v>96.2561895506502</v>
      </c>
      <c r="AF11" s="36" t="n">
        <f aca="false">$AB11/(1+AF$4)^$B11</f>
        <v>79.9125742777133</v>
      </c>
      <c r="AG11" s="36" t="n">
        <f aca="false">$AB11/(1+AG$4)^$B11</f>
        <v>66.8951297343849</v>
      </c>
      <c r="AH11" s="36" t="n">
        <f aca="false">$AB11/(1+AH$4)^$B11</f>
        <v>56.4236111111111</v>
      </c>
      <c r="AI11" s="36"/>
      <c r="AJ11" s="194" t="n">
        <f aca="false">AJ10</f>
        <v>785</v>
      </c>
      <c r="AK11" s="36" t="n">
        <f aca="false">$AJ11/(1+AK$4)^$B11</f>
        <v>785</v>
      </c>
      <c r="AL11" s="36" t="n">
        <f aca="false">$AJ11/(1+AL$4)^$B11</f>
        <v>725.218659430814</v>
      </c>
      <c r="AM11" s="36" t="n">
        <f aca="false">$AJ11/(1+AM$4)^$B11</f>
        <v>645.821442711627</v>
      </c>
      <c r="AN11" s="36" t="n">
        <f aca="false">$AJ11/(1+AN$4)^$B11</f>
        <v>536.16556246158</v>
      </c>
      <c r="AO11" s="36" t="n">
        <f aca="false">$AJ11/(1+AO$4)^$B11</f>
        <v>448.826297790531</v>
      </c>
      <c r="AP11" s="36" t="n">
        <f aca="false">$AJ11/(1+AP$4)^$B11</f>
        <v>378.568672839506</v>
      </c>
      <c r="AQ11" s="36"/>
      <c r="AR11" s="36"/>
      <c r="AS11" s="36"/>
      <c r="AT11" s="36"/>
      <c r="AU11" s="194" t="n">
        <f aca="false">AU10</f>
        <v>639</v>
      </c>
      <c r="AV11" s="194" t="n">
        <f aca="false">AV10</f>
        <v>410</v>
      </c>
      <c r="AW11" s="194" t="n">
        <f aca="false">AW10</f>
        <v>761</v>
      </c>
      <c r="AX11" s="55"/>
      <c r="AY11" s="4" t="n">
        <f aca="false">AU11-$AV11</f>
        <v>229</v>
      </c>
      <c r="AZ11" s="192" t="n">
        <f aca="false">AW11-$AV11</f>
        <v>351</v>
      </c>
      <c r="BA11" s="4"/>
      <c r="BB11" s="4" t="n">
        <f aca="false">AW11-$AU11</f>
        <v>122</v>
      </c>
    </row>
    <row r="12" customFormat="false" ht="15" hidden="false" customHeight="false" outlineLevel="0" collapsed="false">
      <c r="B12" s="4" t="n">
        <v>5</v>
      </c>
      <c r="C12" s="194" t="n">
        <f aca="false">C11</f>
        <v>639</v>
      </c>
      <c r="D12" s="36" t="n">
        <f aca="false">$C12/(1+D$4)^$B12</f>
        <v>639</v>
      </c>
      <c r="E12" s="36" t="n">
        <f aca="false">C12/(1+E$4)^$B12</f>
        <v>578.761987481316</v>
      </c>
      <c r="F12" s="36" t="n">
        <f aca="false">$C12/(1+F$4)^$B12</f>
        <v>500.673220373345</v>
      </c>
      <c r="G12" s="36" t="n">
        <f aca="false">$C12/(1+G$4)^$B12</f>
        <v>396.7687254348</v>
      </c>
      <c r="H12" s="36" t="n">
        <f aca="false">$C12/(1+H$4)^$B12</f>
        <v>317.695933855607</v>
      </c>
      <c r="I12" s="36" t="n">
        <f aca="false">$C12/(1+I$4)^$B12</f>
        <v>256.799768518519</v>
      </c>
      <c r="J12" s="36"/>
      <c r="L12" s="194" t="n">
        <f aca="false">L11</f>
        <v>410</v>
      </c>
      <c r="M12" s="36" t="n">
        <f aca="false">$L12/(1+M$4)^$B12</f>
        <v>410</v>
      </c>
      <c r="N12" s="36" t="n">
        <f aca="false">$L12/(1+N$4)^$B12</f>
        <v>371.349632030266</v>
      </c>
      <c r="O12" s="36" t="n">
        <f aca="false">$L12/(1+O$4)^$B12</f>
        <v>321.245728252068</v>
      </c>
      <c r="P12" s="36" t="n">
        <f aca="false">$L12/(1+P$4)^$B12</f>
        <v>254.577742454254</v>
      </c>
      <c r="Q12" s="36" t="n">
        <f aca="false">$L12/(1+Q$4)^$B12</f>
        <v>203.842461472299</v>
      </c>
      <c r="R12" s="36" t="n">
        <f aca="false">$L12/(1+R$4)^$B12</f>
        <v>165.031840287493</v>
      </c>
      <c r="S12" s="36"/>
      <c r="T12" s="194" t="n">
        <f aca="false">T11</f>
        <v>761</v>
      </c>
      <c r="U12" s="36" t="n">
        <f aca="false">$T12/(1+U$4)^$B12</f>
        <v>761</v>
      </c>
      <c r="V12" s="36" t="n">
        <f aca="false">$T12/(1+V$4)^$B12</f>
        <v>689.261146280566</v>
      </c>
      <c r="W12" s="36" t="n">
        <f aca="false">$T12/(1+W$4)^$B12</f>
        <v>596.263412682497</v>
      </c>
      <c r="X12" s="36" t="n">
        <f aca="false">$T12/(1+X$4)^$B12</f>
        <v>472.521126848017</v>
      </c>
      <c r="Y12" s="36" t="n">
        <f aca="false">$T12/(1+Y$4)^$B12</f>
        <v>378.351495561999</v>
      </c>
      <c r="Z12" s="36" t="n">
        <f aca="false">$T12/(1+Z$4)^$B12</f>
        <v>305.828832304527</v>
      </c>
      <c r="AA12" s="36"/>
      <c r="AB12" s="194" t="n">
        <f aca="false">AB11</f>
        <v>117</v>
      </c>
      <c r="AC12" s="36" t="n">
        <f aca="false">$AB12/(1+AC$4)^$B12</f>
        <v>117</v>
      </c>
      <c r="AD12" s="36" t="n">
        <f aca="false">$AB12/(1+AD$4)^$B12</f>
        <v>105.9705047501</v>
      </c>
      <c r="AE12" s="36" t="n">
        <f aca="false">$AB12/(1+AE$4)^$B12</f>
        <v>91.6725614768097</v>
      </c>
      <c r="AF12" s="36" t="n">
        <f aca="false">$AB12/(1+AF$4)^$B12</f>
        <v>72.6477947979211</v>
      </c>
      <c r="AG12" s="36" t="n">
        <f aca="false">$AB12/(1+AG$4)^$B12</f>
        <v>58.1696780298999</v>
      </c>
      <c r="AH12" s="36" t="n">
        <f aca="false">$AB12/(1+AH$4)^$B12</f>
        <v>47.0196759259259</v>
      </c>
      <c r="AI12" s="36"/>
      <c r="AJ12" s="194" t="n">
        <f aca="false">AJ11</f>
        <v>785</v>
      </c>
      <c r="AK12" s="36" t="n">
        <f aca="false">$AJ12/(1+AK$4)^$B12</f>
        <v>785</v>
      </c>
      <c r="AL12" s="36" t="n">
        <f aca="false">$AJ12/(1+AL$4)^$B12</f>
        <v>710.998685716484</v>
      </c>
      <c r="AM12" s="36" t="n">
        <f aca="false">$AJ12/(1+AM$4)^$B12</f>
        <v>615.06804067774</v>
      </c>
      <c r="AN12" s="36" t="n">
        <f aca="false">$AJ12/(1+AN$4)^$B12</f>
        <v>487.423238601437</v>
      </c>
      <c r="AO12" s="36" t="n">
        <f aca="false">$AJ12/(1+AO$4)^$B12</f>
        <v>390.283737209158</v>
      </c>
      <c r="AP12" s="36" t="n">
        <f aca="false">$AJ12/(1+AP$4)^$B12</f>
        <v>315.473894032922</v>
      </c>
      <c r="AQ12" s="36"/>
      <c r="AR12" s="36"/>
      <c r="AS12" s="36"/>
      <c r="AT12" s="36"/>
      <c r="AU12" s="194" t="n">
        <f aca="false">AU11</f>
        <v>639</v>
      </c>
      <c r="AV12" s="194" t="n">
        <f aca="false">AV11</f>
        <v>410</v>
      </c>
      <c r="AW12" s="194" t="n">
        <f aca="false">AW11</f>
        <v>761</v>
      </c>
      <c r="AX12" s="55"/>
      <c r="AY12" s="4" t="n">
        <f aca="false">AU12-$AV12</f>
        <v>229</v>
      </c>
      <c r="AZ12" s="192" t="n">
        <f aca="false">AW12-$AV12</f>
        <v>351</v>
      </c>
      <c r="BA12" s="4"/>
      <c r="BB12" s="4" t="n">
        <f aca="false">AW12-$AU12</f>
        <v>122</v>
      </c>
    </row>
    <row r="13" customFormat="false" ht="15" hidden="false" customHeight="false" outlineLevel="0" collapsed="false">
      <c r="B13" s="4" t="n">
        <v>6</v>
      </c>
      <c r="C13" s="194" t="n">
        <f aca="false">C12</f>
        <v>639</v>
      </c>
      <c r="D13" s="36" t="n">
        <f aca="false">$C13/(1+D$4)^$B13</f>
        <v>639</v>
      </c>
      <c r="E13" s="36" t="n">
        <f aca="false">C13/(1+E$4)^$B13</f>
        <v>567.413713216977</v>
      </c>
      <c r="F13" s="36" t="n">
        <f aca="false">$C13/(1+F$4)^$B13</f>
        <v>476.831638450805</v>
      </c>
      <c r="G13" s="36" t="n">
        <f aca="false">$C13/(1+G$4)^$B13</f>
        <v>360.698841304364</v>
      </c>
      <c r="H13" s="36" t="n">
        <f aca="false">$C13/(1+H$4)^$B13</f>
        <v>276.257333787485</v>
      </c>
      <c r="I13" s="36" t="n">
        <f aca="false">$C13/(1+I$4)^$B13</f>
        <v>213.999807098765</v>
      </c>
      <c r="J13" s="36"/>
      <c r="L13" s="194" t="n">
        <f aca="false">L12</f>
        <v>410</v>
      </c>
      <c r="M13" s="36" t="n">
        <f aca="false">$L13/(1+M$4)^$B13</f>
        <v>410</v>
      </c>
      <c r="N13" s="36" t="n">
        <f aca="false">$L13/(1+N$4)^$B13</f>
        <v>364.068266696339</v>
      </c>
      <c r="O13" s="36" t="n">
        <f aca="false">$L13/(1+O$4)^$B13</f>
        <v>305.948312621017</v>
      </c>
      <c r="P13" s="36" t="n">
        <f aca="false">$L13/(1+P$4)^$B13</f>
        <v>231.434311322049</v>
      </c>
      <c r="Q13" s="36" t="n">
        <f aca="false">$L13/(1+Q$4)^$B13</f>
        <v>177.254314323738</v>
      </c>
      <c r="R13" s="36" t="n">
        <f aca="false">$L13/(1+R$4)^$B13</f>
        <v>137.570247853961</v>
      </c>
      <c r="S13" s="36"/>
      <c r="T13" s="194" t="n">
        <f aca="false">T12</f>
        <v>761</v>
      </c>
      <c r="U13" s="36" t="n">
        <f aca="false">$T13/(1+U$4)^$B13</f>
        <v>761</v>
      </c>
      <c r="V13" s="36" t="n">
        <f aca="false">$T13/(1+V$4)^$B13</f>
        <v>675.746221843692</v>
      </c>
      <c r="W13" s="36" t="n">
        <f aca="false">$T13/(1+W$4)^$B13</f>
        <v>567.869916840474</v>
      </c>
      <c r="X13" s="36" t="n">
        <f aca="false">$T13/(1+X$4)^$B13</f>
        <v>429.564660770924</v>
      </c>
      <c r="Y13" s="36" t="n">
        <f aca="false">$T13/(1+Y$4)^$B13</f>
        <v>329.001300488695</v>
      </c>
      <c r="Z13" s="36" t="n">
        <f aca="false">$T13/(1+Z$4)^$B13</f>
        <v>254.857360253772</v>
      </c>
      <c r="AA13" s="36"/>
      <c r="AB13" s="194" t="n">
        <f aca="false">AB12</f>
        <v>117</v>
      </c>
      <c r="AC13" s="36" t="n">
        <f aca="false">$AB13/(1+AC$4)^$B13</f>
        <v>117</v>
      </c>
      <c r="AD13" s="36" t="n">
        <f aca="false">$AB13/(1+AD$4)^$B13</f>
        <v>103.892651715784</v>
      </c>
      <c r="AE13" s="36" t="n">
        <f aca="false">$AB13/(1+AE$4)^$B13</f>
        <v>87.3072014064854</v>
      </c>
      <c r="AF13" s="36" t="n">
        <f aca="false">$AB13/(1+AF$4)^$B13</f>
        <v>66.0434498162919</v>
      </c>
      <c r="AG13" s="36" t="n">
        <f aca="false">$AB13/(1+AG$4)^$B13</f>
        <v>50.5823287216521</v>
      </c>
      <c r="AH13" s="36" t="n">
        <f aca="false">$AB13/(1+AH$4)^$B13</f>
        <v>39.183063271605</v>
      </c>
      <c r="AI13" s="36"/>
      <c r="AJ13" s="194" t="n">
        <f aca="false">AJ12</f>
        <v>785</v>
      </c>
      <c r="AK13" s="36" t="n">
        <f aca="false">$AJ13/(1+AK$4)^$B13</f>
        <v>785</v>
      </c>
      <c r="AL13" s="36" t="n">
        <f aca="false">$AJ13/(1+AL$4)^$B13</f>
        <v>697.057535016161</v>
      </c>
      <c r="AM13" s="36" t="n">
        <f aca="false">$AJ13/(1+AM$4)^$B13</f>
        <v>585.779086359753</v>
      </c>
      <c r="AN13" s="36" t="n">
        <f aca="false">$AJ13/(1+AN$4)^$B13</f>
        <v>443.112035092215</v>
      </c>
      <c r="AO13" s="36" t="n">
        <f aca="false">$AJ13/(1+AO$4)^$B13</f>
        <v>339.377162790572</v>
      </c>
      <c r="AP13" s="36" t="n">
        <f aca="false">$AJ13/(1+AP$4)^$B13</f>
        <v>262.894911694102</v>
      </c>
      <c r="AQ13" s="36"/>
      <c r="AR13" s="36"/>
      <c r="AS13" s="36"/>
      <c r="AT13" s="36"/>
      <c r="AU13" s="194" t="n">
        <f aca="false">AU12</f>
        <v>639</v>
      </c>
      <c r="AV13" s="194" t="n">
        <f aca="false">AV12</f>
        <v>410</v>
      </c>
      <c r="AW13" s="194" t="n">
        <f aca="false">AW12</f>
        <v>761</v>
      </c>
      <c r="AX13" s="55"/>
      <c r="AY13" s="4" t="n">
        <f aca="false">AU13-$AV13</f>
        <v>229</v>
      </c>
      <c r="AZ13" s="192" t="n">
        <f aca="false">AW13-$AV13</f>
        <v>351</v>
      </c>
      <c r="BA13" s="4"/>
      <c r="BB13" s="4" t="n">
        <f aca="false">AW13-$AU13</f>
        <v>122</v>
      </c>
    </row>
    <row r="14" customFormat="false" ht="15" hidden="false" customHeight="false" outlineLevel="0" collapsed="false">
      <c r="B14" s="4" t="n">
        <v>7</v>
      </c>
      <c r="C14" s="194" t="n">
        <f aca="false">C13</f>
        <v>639</v>
      </c>
      <c r="D14" s="36" t="n">
        <f aca="false">$C14/(1+D$4)^$B14</f>
        <v>639</v>
      </c>
      <c r="E14" s="36" t="n">
        <f aca="false">C14/(1+E$4)^$B14</f>
        <v>556.287954134291</v>
      </c>
      <c r="F14" s="36" t="n">
        <f aca="false">$C14/(1+F$4)^$B14</f>
        <v>454.125369953148</v>
      </c>
      <c r="G14" s="36" t="n">
        <f aca="false">$C14/(1+G$4)^$B14</f>
        <v>327.908037549421</v>
      </c>
      <c r="H14" s="36" t="n">
        <f aca="false">$C14/(1+H$4)^$B14</f>
        <v>240.223768510856</v>
      </c>
      <c r="I14" s="36" t="n">
        <f aca="false">$C14/(1+I$4)^$B14</f>
        <v>178.333172582305</v>
      </c>
      <c r="J14" s="36"/>
      <c r="L14" s="194" t="n">
        <f aca="false">L13</f>
        <v>410</v>
      </c>
      <c r="M14" s="36" t="n">
        <f aca="false">$L14/(1+M$4)^$B14</f>
        <v>410</v>
      </c>
      <c r="N14" s="36" t="n">
        <f aca="false">$L14/(1+N$4)^$B14</f>
        <v>356.929673231705</v>
      </c>
      <c r="O14" s="36" t="n">
        <f aca="false">$L14/(1+O$4)^$B14</f>
        <v>291.37934535335</v>
      </c>
      <c r="P14" s="36" t="n">
        <f aca="false">$L14/(1+P$4)^$B14</f>
        <v>210.39482847459</v>
      </c>
      <c r="Q14" s="36" t="n">
        <f aca="false">$L14/(1+Q$4)^$B14</f>
        <v>154.134186368468</v>
      </c>
      <c r="R14" s="36" t="n">
        <f aca="false">$L14/(1+R$4)^$B14</f>
        <v>114.678313358386</v>
      </c>
      <c r="S14" s="36"/>
      <c r="T14" s="194" t="n">
        <f aca="false">T13</f>
        <v>761</v>
      </c>
      <c r="U14" s="36" t="n">
        <f aca="false">$T14/(1+U$4)^$B14</f>
        <v>761</v>
      </c>
      <c r="V14" s="36" t="n">
        <f aca="false">$T14/(1+V$4)^$B14</f>
        <v>662.496295925188</v>
      </c>
      <c r="W14" s="36" t="n">
        <f aca="false">$T14/(1+W$4)^$B14</f>
        <v>540.828492229022</v>
      </c>
      <c r="X14" s="36" t="n">
        <f aca="false">$T14/(1+X$4)^$B14</f>
        <v>390.513327973568</v>
      </c>
      <c r="Y14" s="36" t="n">
        <f aca="false">$T14/(1+Y$4)^$B14</f>
        <v>286.088087381474</v>
      </c>
      <c r="Z14" s="36" t="n">
        <f aca="false">$T14/(1+Z$4)^$B14</f>
        <v>212.38113354481</v>
      </c>
      <c r="AA14" s="36"/>
      <c r="AB14" s="194" t="n">
        <f aca="false">AB13</f>
        <v>117</v>
      </c>
      <c r="AC14" s="36" t="n">
        <f aca="false">$AB14/(1+AC$4)^$B14</f>
        <v>117</v>
      </c>
      <c r="AD14" s="36" t="n">
        <f aca="false">$AB14/(1+AD$4)^$B14</f>
        <v>101.855540897828</v>
      </c>
      <c r="AE14" s="36" t="n">
        <f aca="false">$AB14/(1+AE$4)^$B14</f>
        <v>83.1497156252242</v>
      </c>
      <c r="AF14" s="36" t="n">
        <f aca="false">$AB14/(1+AF$4)^$B14</f>
        <v>60.0394998329927</v>
      </c>
      <c r="AG14" s="36" t="n">
        <f aca="false">$AB14/(1+AG$4)^$B14</f>
        <v>43.9846336710018</v>
      </c>
      <c r="AH14" s="36" t="n">
        <f aca="false">$AB14/(1+AH$4)^$B14</f>
        <v>32.6525527263375</v>
      </c>
      <c r="AI14" s="36"/>
      <c r="AJ14" s="194" t="n">
        <f aca="false">AJ13</f>
        <v>785</v>
      </c>
      <c r="AK14" s="36" t="n">
        <f aca="false">$AJ14/(1+AK$4)^$B14</f>
        <v>785</v>
      </c>
      <c r="AL14" s="36" t="n">
        <f aca="false">$AJ14/(1+AL$4)^$B14</f>
        <v>683.389740211922</v>
      </c>
      <c r="AM14" s="36" t="n">
        <f aca="false">$AJ14/(1+AM$4)^$B14</f>
        <v>557.884844152145</v>
      </c>
      <c r="AN14" s="36" t="n">
        <f aca="false">$AJ14/(1+AN$4)^$B14</f>
        <v>402.829122811105</v>
      </c>
      <c r="AO14" s="36" t="n">
        <f aca="false">$AJ14/(1+AO$4)^$B14</f>
        <v>295.110576339628</v>
      </c>
      <c r="AP14" s="36" t="n">
        <f aca="false">$AJ14/(1+AP$4)^$B14</f>
        <v>219.079093078418</v>
      </c>
      <c r="AQ14" s="36"/>
      <c r="AR14" s="36"/>
      <c r="AS14" s="36"/>
      <c r="AT14" s="36"/>
      <c r="AU14" s="194" t="n">
        <f aca="false">AU13</f>
        <v>639</v>
      </c>
      <c r="AV14" s="194" t="n">
        <f aca="false">AV13</f>
        <v>410</v>
      </c>
      <c r="AW14" s="194" t="n">
        <f aca="false">AW13</f>
        <v>761</v>
      </c>
      <c r="AX14" s="55"/>
      <c r="AY14" s="4" t="n">
        <f aca="false">AU14-$AV14</f>
        <v>229</v>
      </c>
      <c r="AZ14" s="192" t="n">
        <f aca="false">AW14-$AV14</f>
        <v>351</v>
      </c>
      <c r="BA14" s="4"/>
      <c r="BB14" s="4" t="n">
        <f aca="false">AW14-$AU14</f>
        <v>122</v>
      </c>
    </row>
    <row r="15" customFormat="false" ht="15" hidden="false" customHeight="false" outlineLevel="0" collapsed="false">
      <c r="B15" s="4" t="n">
        <v>8</v>
      </c>
      <c r="C15" s="194" t="n">
        <f aca="false">C14</f>
        <v>639</v>
      </c>
      <c r="D15" s="36" t="n">
        <f aca="false">$C15/(1+D$4)^$B15</f>
        <v>639</v>
      </c>
      <c r="E15" s="36" t="n">
        <f aca="false">C15/(1+E$4)^$B15</f>
        <v>545.380347190481</v>
      </c>
      <c r="F15" s="36" t="n">
        <f aca="false">$C15/(1+F$4)^$B15</f>
        <v>432.500352336331</v>
      </c>
      <c r="G15" s="36" t="n">
        <f aca="false">$C15/(1+G$4)^$B15</f>
        <v>298.098215954019</v>
      </c>
      <c r="H15" s="36" t="n">
        <f aca="false">$C15/(1+H$4)^$B15</f>
        <v>208.890233487701</v>
      </c>
      <c r="I15" s="36" t="n">
        <f aca="false">$C15/(1+I$4)^$B15</f>
        <v>148.61097715192</v>
      </c>
      <c r="J15" s="36"/>
      <c r="L15" s="194" t="n">
        <f aca="false">L14</f>
        <v>410</v>
      </c>
      <c r="M15" s="36" t="n">
        <f aca="false">$L15/(1+M$4)^$B15</f>
        <v>410</v>
      </c>
      <c r="N15" s="36" t="n">
        <f aca="false">$L15/(1+N$4)^$B15</f>
        <v>349.931052187946</v>
      </c>
      <c r="O15" s="36" t="n">
        <f aca="false">$L15/(1+O$4)^$B15</f>
        <v>277.504138431762</v>
      </c>
      <c r="P15" s="36" t="n">
        <f aca="false">$L15/(1+P$4)^$B15</f>
        <v>191.268025885991</v>
      </c>
      <c r="Q15" s="36" t="n">
        <f aca="false">$L15/(1+Q$4)^$B15</f>
        <v>134.029727276929</v>
      </c>
      <c r="R15" s="36" t="n">
        <f aca="false">$L15/(1+R$4)^$B15</f>
        <v>95.5956375733572</v>
      </c>
      <c r="S15" s="36"/>
      <c r="T15" s="194" t="n">
        <f aca="false">T14</f>
        <v>761</v>
      </c>
      <c r="U15" s="36" t="n">
        <f aca="false">$T15/(1+U$4)^$B15</f>
        <v>761</v>
      </c>
      <c r="V15" s="36" t="n">
        <f aca="false">$T15/(1+V$4)^$B15</f>
        <v>649.506172475675</v>
      </c>
      <c r="W15" s="36" t="n">
        <f aca="false">$T15/(1+W$4)^$B15</f>
        <v>515.074754503831</v>
      </c>
      <c r="X15" s="36" t="n">
        <f aca="false">$T15/(1+X$4)^$B15</f>
        <v>355.012116339607</v>
      </c>
      <c r="Y15" s="36" t="n">
        <f aca="false">$T15/(1+Y$4)^$B15</f>
        <v>248.772249896934</v>
      </c>
      <c r="Z15" s="36" t="n">
        <f aca="false">$T15/(1+Z$4)^$B15</f>
        <v>176.984277954009</v>
      </c>
      <c r="AA15" s="36"/>
      <c r="AB15" s="194" t="n">
        <f aca="false">AB14</f>
        <v>117</v>
      </c>
      <c r="AC15" s="36" t="n">
        <f aca="false">$AB15/(1+AC$4)^$B15</f>
        <v>117</v>
      </c>
      <c r="AD15" s="36" t="n">
        <f aca="false">$AB15/(1+AD$4)^$B15</f>
        <v>99.858373429243</v>
      </c>
      <c r="AE15" s="36" t="n">
        <f aca="false">$AB15/(1+AE$4)^$B15</f>
        <v>79.1902053573564</v>
      </c>
      <c r="AF15" s="36" t="n">
        <f aca="false">$AB15/(1+AF$4)^$B15</f>
        <v>54.5813634845388</v>
      </c>
      <c r="AG15" s="36" t="n">
        <f aca="false">$AB15/(1+AG$4)^$B15</f>
        <v>38.2475075400016</v>
      </c>
      <c r="AH15" s="36" t="n">
        <f aca="false">$AB15/(1+AH$4)^$B15</f>
        <v>27.2104606052812</v>
      </c>
      <c r="AI15" s="36"/>
      <c r="AJ15" s="194" t="n">
        <f aca="false">AJ14</f>
        <v>785</v>
      </c>
      <c r="AK15" s="36" t="n">
        <f aca="false">$AJ15/(1+AK$4)^$B15</f>
        <v>785</v>
      </c>
      <c r="AL15" s="36" t="n">
        <f aca="false">$AJ15/(1+AL$4)^$B15</f>
        <v>669.989941384238</v>
      </c>
      <c r="AM15" s="36" t="n">
        <f aca="false">$AJ15/(1+AM$4)^$B15</f>
        <v>531.318899192519</v>
      </c>
      <c r="AN15" s="36" t="n">
        <f aca="false">$AJ15/(1+AN$4)^$B15</f>
        <v>366.20829346464</v>
      </c>
      <c r="AO15" s="36" t="n">
        <f aca="false">$AJ15/(1+AO$4)^$B15</f>
        <v>256.617892469242</v>
      </c>
      <c r="AP15" s="36" t="n">
        <f aca="false">$AJ15/(1+AP$4)^$B15</f>
        <v>182.565910898682</v>
      </c>
      <c r="AQ15" s="36"/>
      <c r="AR15" s="36"/>
      <c r="AS15" s="36"/>
      <c r="AT15" s="36"/>
      <c r="AU15" s="194" t="n">
        <f aca="false">AU14</f>
        <v>639</v>
      </c>
      <c r="AV15" s="194" t="n">
        <f aca="false">AV14</f>
        <v>410</v>
      </c>
      <c r="AW15" s="194" t="n">
        <f aca="false">AW14</f>
        <v>761</v>
      </c>
      <c r="AX15" s="55"/>
      <c r="AY15" s="4" t="n">
        <f aca="false">AU15-$AV15</f>
        <v>229</v>
      </c>
      <c r="AZ15" s="192" t="n">
        <f aca="false">AW15-$AV15</f>
        <v>351</v>
      </c>
      <c r="BA15" s="4"/>
      <c r="BB15" s="4" t="n">
        <f aca="false">AW15-$AU15</f>
        <v>122</v>
      </c>
    </row>
    <row r="16" customFormat="false" ht="15" hidden="false" customHeight="false" outlineLevel="0" collapsed="false">
      <c r="B16" s="4" t="n">
        <v>9</v>
      </c>
      <c r="C16" s="194" t="n">
        <f aca="false">C15</f>
        <v>639</v>
      </c>
      <c r="D16" s="36" t="n">
        <f aca="false">$C16/(1+D$4)^$B16</f>
        <v>639</v>
      </c>
      <c r="E16" s="36" t="n">
        <f aca="false">C16/(1+E$4)^$B16</f>
        <v>534.686614892629</v>
      </c>
      <c r="F16" s="36" t="n">
        <f aca="false">$C16/(1+F$4)^$B16</f>
        <v>411.905097463172</v>
      </c>
      <c r="G16" s="36" t="n">
        <f aca="false">$C16/(1+G$4)^$B16</f>
        <v>270.998378140018</v>
      </c>
      <c r="H16" s="36" t="n">
        <f aca="false">$C16/(1+H$4)^$B16</f>
        <v>181.643681293653</v>
      </c>
      <c r="I16" s="36" t="n">
        <f aca="false">$C16/(1+I$4)^$B16</f>
        <v>123.842480959934</v>
      </c>
      <c r="J16" s="36"/>
      <c r="L16" s="194" t="n">
        <f aca="false">L15</f>
        <v>410</v>
      </c>
      <c r="M16" s="36" t="n">
        <f aca="false">$L16/(1+M$4)^$B16</f>
        <v>410</v>
      </c>
      <c r="N16" s="36" t="n">
        <f aca="false">$L16/(1+N$4)^$B16</f>
        <v>343.06965900779</v>
      </c>
      <c r="O16" s="36" t="n">
        <f aca="false">$L16/(1+O$4)^$B16</f>
        <v>264.289655649297</v>
      </c>
      <c r="P16" s="36" t="n">
        <f aca="false">$L16/(1+P$4)^$B16</f>
        <v>173.880023532719</v>
      </c>
      <c r="Q16" s="36" t="n">
        <f aca="false">$L16/(1+Q$4)^$B16</f>
        <v>116.54758893646</v>
      </c>
      <c r="R16" s="36" t="n">
        <f aca="false">$L16/(1+R$4)^$B16</f>
        <v>79.6883530585027</v>
      </c>
      <c r="S16" s="36"/>
      <c r="T16" s="194" t="n">
        <f aca="false">T15</f>
        <v>761</v>
      </c>
      <c r="U16" s="36" t="n">
        <f aca="false">$T16/(1+U$4)^$B16</f>
        <v>761</v>
      </c>
      <c r="V16" s="36" t="n">
        <f aca="false">$T16/(1+V$4)^$B16</f>
        <v>636.770757329093</v>
      </c>
      <c r="W16" s="36" t="n">
        <f aca="false">$T16/(1+W$4)^$B16</f>
        <v>490.547385241744</v>
      </c>
      <c r="X16" s="36" t="n">
        <f aca="false">$T16/(1+X$4)^$B16</f>
        <v>322.738287581461</v>
      </c>
      <c r="Y16" s="36" t="n">
        <f aca="false">$T16/(1+Y$4)^$B16</f>
        <v>216.323695562551</v>
      </c>
      <c r="Z16" s="36" t="n">
        <f aca="false">$T16/(1+Z$4)^$B16</f>
        <v>147.486898295007</v>
      </c>
      <c r="AA16" s="36"/>
      <c r="AB16" s="194" t="n">
        <f aca="false">AB15</f>
        <v>117</v>
      </c>
      <c r="AC16" s="36" t="n">
        <f aca="false">$AB16/(1+AC$4)^$B16</f>
        <v>117</v>
      </c>
      <c r="AD16" s="36" t="n">
        <f aca="false">$AB16/(1+AD$4)^$B16</f>
        <v>97.900366107101</v>
      </c>
      <c r="AE16" s="36" t="n">
        <f aca="false">$AB16/(1+AE$4)^$B16</f>
        <v>75.4192431974823</v>
      </c>
      <c r="AF16" s="36" t="n">
        <f aca="false">$AB16/(1+AF$4)^$B16</f>
        <v>49.6194213495807</v>
      </c>
      <c r="AG16" s="36" t="n">
        <f aca="false">$AB16/(1+AG$4)^$B16</f>
        <v>33.258702208697</v>
      </c>
      <c r="AH16" s="36" t="n">
        <f aca="false">$AB16/(1+AH$4)^$B16</f>
        <v>22.6753838377343</v>
      </c>
      <c r="AI16" s="36"/>
      <c r="AJ16" s="194" t="n">
        <f aca="false">AJ15</f>
        <v>785</v>
      </c>
      <c r="AK16" s="36" t="n">
        <f aca="false">$AJ16/(1+AK$4)^$B16</f>
        <v>785</v>
      </c>
      <c r="AL16" s="36" t="n">
        <f aca="false">$AJ16/(1+AL$4)^$B16</f>
        <v>656.852883710037</v>
      </c>
      <c r="AM16" s="36" t="n">
        <f aca="false">$AJ16/(1+AM$4)^$B16</f>
        <v>506.017999230971</v>
      </c>
      <c r="AN16" s="36" t="n">
        <f aca="false">$AJ16/(1+AN$4)^$B16</f>
        <v>332.9166304224</v>
      </c>
      <c r="AO16" s="36" t="n">
        <f aca="false">$AJ16/(1+AO$4)^$B16</f>
        <v>223.145993451514</v>
      </c>
      <c r="AP16" s="36" t="n">
        <f aca="false">$AJ16/(1+AP$4)^$B16</f>
        <v>152.138259082235</v>
      </c>
      <c r="AQ16" s="36"/>
      <c r="AR16" s="36"/>
      <c r="AS16" s="36"/>
      <c r="AT16" s="36"/>
      <c r="AU16" s="194" t="n">
        <f aca="false">AU15</f>
        <v>639</v>
      </c>
      <c r="AV16" s="194" t="n">
        <f aca="false">AV15</f>
        <v>410</v>
      </c>
      <c r="AW16" s="194" t="n">
        <f aca="false">AW15</f>
        <v>761</v>
      </c>
      <c r="AX16" s="55"/>
      <c r="AY16" s="4" t="n">
        <f aca="false">AU16-$AV16</f>
        <v>229</v>
      </c>
      <c r="AZ16" s="192" t="n">
        <f aca="false">AW16-$AV16</f>
        <v>351</v>
      </c>
      <c r="BA16" s="4"/>
      <c r="BB16" s="4" t="n">
        <f aca="false">AW16-$AU16</f>
        <v>122</v>
      </c>
    </row>
    <row r="17" customFormat="false" ht="15" hidden="false" customHeight="false" outlineLevel="0" collapsed="false">
      <c r="B17" s="4" t="n">
        <v>10</v>
      </c>
      <c r="C17" s="194" t="n">
        <f aca="false">C16</f>
        <v>639</v>
      </c>
      <c r="D17" s="36" t="n">
        <f aca="false">$C17/(1+D$4)^$B17</f>
        <v>639</v>
      </c>
      <c r="E17" s="36" t="n">
        <f aca="false">C17/(1+E$4)^$B17</f>
        <v>524.202563620224</v>
      </c>
      <c r="F17" s="36" t="n">
        <f aca="false">$C17/(1+F$4)^$B17</f>
        <v>392.290569012545</v>
      </c>
      <c r="G17" s="36" t="n">
        <f aca="false">$C17/(1+G$4)^$B17</f>
        <v>246.362161945471</v>
      </c>
      <c r="H17" s="36" t="n">
        <f aca="false">$C17/(1+H$4)^$B17</f>
        <v>157.951027211872</v>
      </c>
      <c r="I17" s="36" t="n">
        <f aca="false">$C17/(1+I$4)^$B17</f>
        <v>103.202067466611</v>
      </c>
      <c r="J17" s="36"/>
      <c r="L17" s="194" t="n">
        <f aca="false">L16</f>
        <v>410</v>
      </c>
      <c r="M17" s="36" t="n">
        <f aca="false">$L17/(1+M$4)^$B17</f>
        <v>410</v>
      </c>
      <c r="N17" s="36" t="n">
        <f aca="false">$L17/(1+N$4)^$B17</f>
        <v>336.342802948814</v>
      </c>
      <c r="O17" s="36" t="n">
        <f aca="false">$L17/(1+O$4)^$B17</f>
        <v>251.704433951711</v>
      </c>
      <c r="P17" s="36" t="n">
        <f aca="false">$L17/(1+P$4)^$B17</f>
        <v>158.072748666108</v>
      </c>
      <c r="Q17" s="36" t="n">
        <f aca="false">$L17/(1+Q$4)^$B17</f>
        <v>101.345729509965</v>
      </c>
      <c r="R17" s="36" t="n">
        <f aca="false">$L17/(1+R$4)^$B17</f>
        <v>66.4280690455524</v>
      </c>
      <c r="S17" s="36"/>
      <c r="T17" s="194" t="n">
        <f aca="false">T16</f>
        <v>761</v>
      </c>
      <c r="U17" s="36" t="n">
        <f aca="false">$T17/(1+U$4)^$B17</f>
        <v>761</v>
      </c>
      <c r="V17" s="36" t="n">
        <f aca="false">$T17/(1+V$4)^$B17</f>
        <v>624.285056204993</v>
      </c>
      <c r="W17" s="36" t="n">
        <f aca="false">$T17/(1+W$4)^$B17</f>
        <v>467.187985944518</v>
      </c>
      <c r="X17" s="36" t="n">
        <f aca="false">$T17/(1+X$4)^$B17</f>
        <v>293.398443255873</v>
      </c>
      <c r="Y17" s="36" t="n">
        <f aca="false">$T17/(1+Y$4)^$B17</f>
        <v>188.10756135874</v>
      </c>
      <c r="Z17" s="36" t="n">
        <f aca="false">$T17/(1+Z$4)^$B17</f>
        <v>122.905748579173</v>
      </c>
      <c r="AA17" s="36"/>
      <c r="AB17" s="194" t="n">
        <f aca="false">AB16</f>
        <v>117</v>
      </c>
      <c r="AC17" s="36" t="n">
        <f aca="false">$AB17/(1+AC$4)^$B17</f>
        <v>117</v>
      </c>
      <c r="AD17" s="36" t="n">
        <f aca="false">$AB17/(1+AD$4)^$B17</f>
        <v>95.9807510853932</v>
      </c>
      <c r="AE17" s="36" t="n">
        <f aca="false">$AB17/(1+AE$4)^$B17</f>
        <v>71.8278506642688</v>
      </c>
      <c r="AF17" s="36" t="n">
        <f aca="false">$AB17/(1+AF$4)^$B17</f>
        <v>45.1085648632552</v>
      </c>
      <c r="AG17" s="36" t="n">
        <f aca="false">$AB17/(1+AG$4)^$B17</f>
        <v>28.9206106162583</v>
      </c>
      <c r="AH17" s="36" t="n">
        <f aca="false">$AB17/(1+AH$4)^$B17</f>
        <v>18.896153198112</v>
      </c>
      <c r="AI17" s="36"/>
      <c r="AJ17" s="194" t="n">
        <f aca="false">AJ16</f>
        <v>785</v>
      </c>
      <c r="AK17" s="36" t="n">
        <f aca="false">$AJ17/(1+AK$4)^$B17</f>
        <v>785</v>
      </c>
      <c r="AL17" s="36" t="n">
        <f aca="false">$AJ17/(1+AL$4)^$B17</f>
        <v>643.973415401997</v>
      </c>
      <c r="AM17" s="36" t="n">
        <f aca="false">$AJ17/(1+AM$4)^$B17</f>
        <v>481.921904029496</v>
      </c>
      <c r="AN17" s="36" t="n">
        <f aca="false">$AJ17/(1+AN$4)^$B17</f>
        <v>302.651482202182</v>
      </c>
      <c r="AO17" s="36" t="n">
        <f aca="false">$AJ17/(1+AO$4)^$B17</f>
        <v>194.039994305665</v>
      </c>
      <c r="AP17" s="36" t="n">
        <f aca="false">$AJ17/(1+AP$4)^$B17</f>
        <v>126.781882568529</v>
      </c>
      <c r="AQ17" s="36"/>
      <c r="AR17" s="36"/>
      <c r="AS17" s="36"/>
      <c r="AT17" s="36"/>
      <c r="AU17" s="194" t="n">
        <f aca="false">AU16</f>
        <v>639</v>
      </c>
      <c r="AV17" s="194" t="n">
        <f aca="false">AV16</f>
        <v>410</v>
      </c>
      <c r="AW17" s="194" t="n">
        <f aca="false">AW16</f>
        <v>761</v>
      </c>
      <c r="AX17" s="55"/>
      <c r="AY17" s="4" t="n">
        <f aca="false">AU17-$AV17</f>
        <v>229</v>
      </c>
      <c r="AZ17" s="192" t="n">
        <f aca="false">AW17-$AV17</f>
        <v>351</v>
      </c>
      <c r="BA17" s="4"/>
      <c r="BB17" s="4" t="n">
        <f aca="false">AW17-$AU17</f>
        <v>122</v>
      </c>
    </row>
    <row r="18" customFormat="false" ht="15" hidden="false" customHeight="false" outlineLevel="0" collapsed="false">
      <c r="B18" s="4" t="n">
        <v>11</v>
      </c>
      <c r="C18" s="194" t="n">
        <f aca="false">C17</f>
        <v>639</v>
      </c>
      <c r="D18" s="36" t="n">
        <f aca="false">$C18/(1+D$4)^$B18</f>
        <v>639</v>
      </c>
      <c r="E18" s="36" t="n">
        <f aca="false">C18/(1+E$4)^$B18</f>
        <v>513.924081980612</v>
      </c>
      <c r="F18" s="36" t="n">
        <f aca="false">$C18/(1+F$4)^$B18</f>
        <v>373.610065726233</v>
      </c>
      <c r="G18" s="36" t="n">
        <f aca="false">$C18/(1+G$4)^$B18</f>
        <v>223.96560176861</v>
      </c>
      <c r="H18" s="36" t="n">
        <f aca="false">$C18/(1+H$4)^$B18</f>
        <v>137.348719314672</v>
      </c>
      <c r="I18" s="36" t="n">
        <f aca="false">$C18/(1+I$4)^$B18</f>
        <v>86.0017228888429</v>
      </c>
      <c r="J18" s="36"/>
      <c r="L18" s="194" t="n">
        <f aca="false">L17</f>
        <v>410</v>
      </c>
      <c r="M18" s="36" t="n">
        <f aca="false">$L18/(1+M$4)^$B18</f>
        <v>410</v>
      </c>
      <c r="N18" s="36" t="n">
        <f aca="false">$L18/(1+N$4)^$B18</f>
        <v>329.747846028249</v>
      </c>
      <c r="O18" s="36" t="n">
        <f aca="false">$L18/(1+O$4)^$B18</f>
        <v>239.718508525439</v>
      </c>
      <c r="P18" s="36" t="n">
        <f aca="false">$L18/(1+P$4)^$B18</f>
        <v>143.702498787371</v>
      </c>
      <c r="Q18" s="36" t="n">
        <f aca="false">$L18/(1+Q$4)^$B18</f>
        <v>88.1267213130131</v>
      </c>
      <c r="R18" s="36" t="n">
        <f aca="false">$L18/(1+R$4)^$B18</f>
        <v>55.3743199320625</v>
      </c>
      <c r="S18" s="36"/>
      <c r="T18" s="194" t="n">
        <f aca="false">T17</f>
        <v>761</v>
      </c>
      <c r="U18" s="36" t="n">
        <f aca="false">$T18/(1+U$4)^$B18</f>
        <v>761</v>
      </c>
      <c r="V18" s="36" t="n">
        <f aca="false">$T18/(1+V$4)^$B18</f>
        <v>612.044172749993</v>
      </c>
      <c r="W18" s="36" t="n">
        <f aca="false">$T18/(1+W$4)^$B18</f>
        <v>444.940938994779</v>
      </c>
      <c r="X18" s="36" t="n">
        <f aca="false">$T18/(1+X$4)^$B18</f>
        <v>266.725857505339</v>
      </c>
      <c r="Y18" s="36" t="n">
        <f aca="false">$T18/(1+Y$4)^$B18</f>
        <v>163.571792485861</v>
      </c>
      <c r="Z18" s="36" t="n">
        <f aca="false">$T18/(1+Z$4)^$B18</f>
        <v>102.421457149311</v>
      </c>
      <c r="AA18" s="36"/>
      <c r="AB18" s="194" t="n">
        <f aca="false">AB17</f>
        <v>117</v>
      </c>
      <c r="AC18" s="36" t="n">
        <f aca="false">$AB18/(1+AC$4)^$B18</f>
        <v>117</v>
      </c>
      <c r="AD18" s="36" t="n">
        <f aca="false">$AB18/(1+AD$4)^$B18</f>
        <v>94.0987755739149</v>
      </c>
      <c r="AE18" s="36" t="n">
        <f aca="false">$AB18/(1+AE$4)^$B18</f>
        <v>68.4074768231132</v>
      </c>
      <c r="AF18" s="36" t="n">
        <f aca="false">$AB18/(1+AF$4)^$B18</f>
        <v>41.0077862393229</v>
      </c>
      <c r="AG18" s="36" t="n">
        <f aca="false">$AB18/(1+AG$4)^$B18</f>
        <v>25.1483570576159</v>
      </c>
      <c r="AH18" s="36" t="n">
        <f aca="false">$AB18/(1+AH$4)^$B18</f>
        <v>15.74679433176</v>
      </c>
      <c r="AI18" s="36"/>
      <c r="AJ18" s="194" t="n">
        <f aca="false">AJ17</f>
        <v>785</v>
      </c>
      <c r="AK18" s="36" t="n">
        <f aca="false">$AJ18/(1+AK$4)^$B18</f>
        <v>785</v>
      </c>
      <c r="AL18" s="36" t="n">
        <f aca="false">$AJ18/(1+AL$4)^$B18</f>
        <v>631.346485688232</v>
      </c>
      <c r="AM18" s="36" t="n">
        <f aca="false">$AJ18/(1+AM$4)^$B18</f>
        <v>458.973241932853</v>
      </c>
      <c r="AN18" s="36" t="n">
        <f aca="false">$AJ18/(1+AN$4)^$B18</f>
        <v>275.137711092893</v>
      </c>
      <c r="AO18" s="36" t="n">
        <f aca="false">$AJ18/(1+AO$4)^$B18</f>
        <v>168.730429831013</v>
      </c>
      <c r="AP18" s="36" t="n">
        <f aca="false">$AJ18/(1+AP$4)^$B18</f>
        <v>105.651568807107</v>
      </c>
      <c r="AQ18" s="36"/>
      <c r="AR18" s="36"/>
      <c r="AS18" s="36"/>
      <c r="AT18" s="36"/>
      <c r="AU18" s="194" t="n">
        <f aca="false">AU17</f>
        <v>639</v>
      </c>
      <c r="AV18" s="194" t="n">
        <f aca="false">AV17</f>
        <v>410</v>
      </c>
      <c r="AW18" s="194" t="n">
        <f aca="false">AW17</f>
        <v>761</v>
      </c>
      <c r="AX18" s="55"/>
      <c r="AY18" s="4" t="n">
        <f aca="false">AU18-$AV18</f>
        <v>229</v>
      </c>
      <c r="AZ18" s="192" t="n">
        <f aca="false">AW18-$AV18</f>
        <v>351</v>
      </c>
      <c r="BA18" s="4"/>
      <c r="BB18" s="4" t="n">
        <f aca="false">AW18-$AU18</f>
        <v>122</v>
      </c>
    </row>
    <row r="19" customFormat="false" ht="15" hidden="false" customHeight="false" outlineLevel="0" collapsed="false">
      <c r="B19" s="4" t="n">
        <v>12</v>
      </c>
      <c r="C19" s="194" t="n">
        <f aca="false">C18</f>
        <v>639</v>
      </c>
      <c r="D19" s="36" t="n">
        <f aca="false">$C19/(1+D$4)^$B19</f>
        <v>639</v>
      </c>
      <c r="E19" s="36" t="n">
        <f aca="false">C19/(1+E$4)^$B19</f>
        <v>503.847139196678</v>
      </c>
      <c r="F19" s="36" t="n">
        <f aca="false">$C19/(1+F$4)^$B19</f>
        <v>355.81911021546</v>
      </c>
      <c r="G19" s="36" t="n">
        <f aca="false">$C19/(1+G$4)^$B19</f>
        <v>203.605092516918</v>
      </c>
      <c r="H19" s="36" t="n">
        <f aca="false">$C19/(1+H$4)^$B19</f>
        <v>119.43366896928</v>
      </c>
      <c r="I19" s="36" t="n">
        <f aca="false">$C19/(1+I$4)^$B19</f>
        <v>71.6681024073691</v>
      </c>
      <c r="J19" s="36"/>
      <c r="L19" s="194" t="n">
        <f aca="false">L18</f>
        <v>410</v>
      </c>
      <c r="M19" s="36" t="n">
        <f aca="false">$L19/(1+M$4)^$B19</f>
        <v>410</v>
      </c>
      <c r="N19" s="36" t="n">
        <f aca="false">$L19/(1+N$4)^$B19</f>
        <v>323.282201988479</v>
      </c>
      <c r="O19" s="36" t="n">
        <f aca="false">$L19/(1+O$4)^$B19</f>
        <v>228.303341452799</v>
      </c>
      <c r="P19" s="36" t="n">
        <f aca="false">$L19/(1+P$4)^$B19</f>
        <v>130.638635261246</v>
      </c>
      <c r="Q19" s="36" t="n">
        <f aca="false">$L19/(1+Q$4)^$B19</f>
        <v>76.6319315765331</v>
      </c>
      <c r="R19" s="36" t="n">
        <f aca="false">$L19/(1+R$4)^$B19</f>
        <v>46.1599343770736</v>
      </c>
      <c r="S19" s="36"/>
      <c r="T19" s="194" t="n">
        <f aca="false">T18</f>
        <v>761</v>
      </c>
      <c r="U19" s="36" t="n">
        <f aca="false">$T19/(1+U$4)^$B19</f>
        <v>761</v>
      </c>
      <c r="V19" s="36" t="n">
        <f aca="false">$T19/(1+V$4)^$B19</f>
        <v>600.04330661764</v>
      </c>
      <c r="W19" s="36" t="n">
        <f aca="false">$T19/(1+W$4)^$B19</f>
        <v>423.753275233123</v>
      </c>
      <c r="X19" s="36" t="n">
        <f aca="false">$T19/(1+X$4)^$B19</f>
        <v>242.478052277581</v>
      </c>
      <c r="Y19" s="36" t="n">
        <f aca="false">$T19/(1+Y$4)^$B19</f>
        <v>142.236341292053</v>
      </c>
      <c r="Z19" s="36" t="n">
        <f aca="false">$T19/(1+Z$4)^$B19</f>
        <v>85.3512142910921</v>
      </c>
      <c r="AA19" s="36"/>
      <c r="AB19" s="194" t="n">
        <f aca="false">AB18</f>
        <v>117</v>
      </c>
      <c r="AC19" s="36" t="n">
        <f aca="false">$AB19/(1+AC$4)^$B19</f>
        <v>117</v>
      </c>
      <c r="AD19" s="36" t="n">
        <f aca="false">$AB19/(1+AD$4)^$B19</f>
        <v>92.2537015430538</v>
      </c>
      <c r="AE19" s="36" t="n">
        <f aca="false">$AB19/(1+AE$4)^$B19</f>
        <v>65.1499779267744</v>
      </c>
      <c r="AF19" s="36" t="n">
        <f aca="false">$AB19/(1+AF$4)^$B19</f>
        <v>37.2798056721117</v>
      </c>
      <c r="AG19" s="36" t="n">
        <f aca="false">$AB19/(1+AG$4)^$B19</f>
        <v>21.8681365718399</v>
      </c>
      <c r="AH19" s="36" t="n">
        <f aca="false">$AB19/(1+AH$4)^$B19</f>
        <v>13.1223286098</v>
      </c>
      <c r="AI19" s="36"/>
      <c r="AJ19" s="194" t="n">
        <f aca="false">AJ18</f>
        <v>785</v>
      </c>
      <c r="AK19" s="36" t="n">
        <f aca="false">$AJ19/(1+AK$4)^$B19</f>
        <v>785</v>
      </c>
      <c r="AL19" s="36" t="n">
        <f aca="false">$AJ19/(1+AL$4)^$B19</f>
        <v>618.9671428316</v>
      </c>
      <c r="AM19" s="36" t="n">
        <f aca="false">$AJ19/(1+AM$4)^$B19</f>
        <v>437.117373269384</v>
      </c>
      <c r="AN19" s="36" t="n">
        <f aca="false">$AJ19/(1+AN$4)^$B19</f>
        <v>250.12519190263</v>
      </c>
      <c r="AO19" s="36" t="n">
        <f aca="false">$AJ19/(1+AO$4)^$B19</f>
        <v>146.722112896533</v>
      </c>
      <c r="AP19" s="36" t="n">
        <f aca="false">$AJ19/(1+AP$4)^$B19</f>
        <v>88.0429740059229</v>
      </c>
      <c r="AQ19" s="36"/>
      <c r="AR19" s="36"/>
      <c r="AS19" s="36"/>
      <c r="AT19" s="36"/>
      <c r="AU19" s="194" t="n">
        <f aca="false">AU18</f>
        <v>639</v>
      </c>
      <c r="AV19" s="194" t="n">
        <f aca="false">AV18</f>
        <v>410</v>
      </c>
      <c r="AW19" s="194" t="n">
        <f aca="false">AW18</f>
        <v>761</v>
      </c>
      <c r="AX19" s="55"/>
      <c r="AY19" s="4" t="n">
        <f aca="false">AU19-$AV19</f>
        <v>229</v>
      </c>
      <c r="AZ19" s="192" t="n">
        <f aca="false">AW19-$AV19</f>
        <v>351</v>
      </c>
      <c r="BA19" s="4"/>
      <c r="BB19" s="4" t="n">
        <f aca="false">AW19-$AU19</f>
        <v>122</v>
      </c>
    </row>
    <row r="20" customFormat="false" ht="15" hidden="false" customHeight="false" outlineLevel="0" collapsed="false">
      <c r="B20" s="4" t="n">
        <v>13</v>
      </c>
      <c r="C20" s="194" t="n">
        <f aca="false">C19</f>
        <v>639</v>
      </c>
      <c r="D20" s="36" t="n">
        <f aca="false">$C20/(1+D$4)^$B20</f>
        <v>639</v>
      </c>
      <c r="E20" s="36" t="n">
        <f aca="false">C20/(1+E$4)^$B20</f>
        <v>493.967783526155</v>
      </c>
      <c r="F20" s="36" t="n">
        <f aca="false">$C20/(1+F$4)^$B20</f>
        <v>338.875343062343</v>
      </c>
      <c r="G20" s="36" t="n">
        <f aca="false">$C20/(1+G$4)^$B20</f>
        <v>185.095538651743</v>
      </c>
      <c r="H20" s="36" t="n">
        <f aca="false">$C20/(1+H$4)^$B20</f>
        <v>103.855364321113</v>
      </c>
      <c r="I20" s="36" t="n">
        <f aca="false">$C20/(1+I$4)^$B20</f>
        <v>59.7234186728076</v>
      </c>
      <c r="J20" s="36"/>
      <c r="L20" s="194" t="n">
        <f aca="false">L19</f>
        <v>410</v>
      </c>
      <c r="M20" s="36" t="n">
        <f aca="false">$L20/(1+M$4)^$B20</f>
        <v>410</v>
      </c>
      <c r="N20" s="36" t="n">
        <f aca="false">$L20/(1+N$4)^$B20</f>
        <v>316.943335282823</v>
      </c>
      <c r="O20" s="36" t="n">
        <f aca="false">$L20/(1+O$4)^$B20</f>
        <v>217.431753764571</v>
      </c>
      <c r="P20" s="36" t="n">
        <f aca="false">$L20/(1+P$4)^$B20</f>
        <v>118.762395692042</v>
      </c>
      <c r="Q20" s="36" t="n">
        <f aca="false">$L20/(1+Q$4)^$B20</f>
        <v>66.6364622404636</v>
      </c>
      <c r="R20" s="36" t="n">
        <f aca="false">$L20/(1+R$4)^$B20</f>
        <v>38.4788390053349</v>
      </c>
      <c r="S20" s="36"/>
      <c r="T20" s="194" t="n">
        <f aca="false">T19</f>
        <v>761</v>
      </c>
      <c r="U20" s="36" t="n">
        <f aca="false">$T20/(1+U$4)^$B20</f>
        <v>761</v>
      </c>
      <c r="V20" s="36" t="n">
        <f aca="false">$T20/(1+V$4)^$B20</f>
        <v>588.277751585922</v>
      </c>
      <c r="W20" s="36" t="n">
        <f aca="false">$T20/(1+W$4)^$B20</f>
        <v>403.574547841069</v>
      </c>
      <c r="X20" s="36" t="n">
        <f aca="false">$T20/(1+X$4)^$B20</f>
        <v>220.434592979619</v>
      </c>
      <c r="Y20" s="36" t="n">
        <f aca="false">$T20/(1+Y$4)^$B20</f>
        <v>123.683775036568</v>
      </c>
      <c r="Z20" s="36" t="n">
        <f aca="false">$T20/(1+Z$4)^$B20</f>
        <v>71.1260119092434</v>
      </c>
      <c r="AA20" s="36"/>
      <c r="AB20" s="194" t="n">
        <f aca="false">AB19</f>
        <v>117</v>
      </c>
      <c r="AC20" s="36" t="n">
        <f aca="false">$AB20/(1+AC$4)^$B20</f>
        <v>117</v>
      </c>
      <c r="AD20" s="36" t="n">
        <f aca="false">$AB20/(1+AD$4)^$B20</f>
        <v>90.4448054343664</v>
      </c>
      <c r="AE20" s="36" t="n">
        <f aca="false">$AB20/(1+AE$4)^$B20</f>
        <v>62.0475980254995</v>
      </c>
      <c r="AF20" s="36" t="n">
        <f aca="false">$AB20/(1+AF$4)^$B20</f>
        <v>33.8907324291925</v>
      </c>
      <c r="AG20" s="36" t="n">
        <f aca="false">$AB20/(1+AG$4)^$B20</f>
        <v>19.0157709320347</v>
      </c>
      <c r="AH20" s="36" t="n">
        <f aca="false">$AB20/(1+AH$4)^$B20</f>
        <v>10.9352738415</v>
      </c>
      <c r="AI20" s="36"/>
      <c r="AJ20" s="194" t="n">
        <f aca="false">AJ19</f>
        <v>785</v>
      </c>
      <c r="AK20" s="36" t="n">
        <f aca="false">$AJ20/(1+AK$4)^$B20</f>
        <v>785</v>
      </c>
      <c r="AL20" s="36" t="n">
        <f aca="false">$AJ20/(1+AL$4)^$B20</f>
        <v>606.830532187843</v>
      </c>
      <c r="AM20" s="36" t="n">
        <f aca="false">$AJ20/(1+AM$4)^$B20</f>
        <v>416.302260256556</v>
      </c>
      <c r="AN20" s="36" t="n">
        <f aca="false">$AJ20/(1+AN$4)^$B20</f>
        <v>227.3865380933</v>
      </c>
      <c r="AO20" s="36" t="n">
        <f aca="false">$AJ20/(1+AO$4)^$B20</f>
        <v>127.584445996985</v>
      </c>
      <c r="AP20" s="36" t="n">
        <f aca="false">$AJ20/(1+AP$4)^$B20</f>
        <v>73.3691450049358</v>
      </c>
      <c r="AQ20" s="36"/>
      <c r="AR20" s="36"/>
      <c r="AS20" s="36"/>
      <c r="AT20" s="36"/>
      <c r="AU20" s="194" t="n">
        <f aca="false">AU19</f>
        <v>639</v>
      </c>
      <c r="AV20" s="194" t="n">
        <f aca="false">AV19</f>
        <v>410</v>
      </c>
      <c r="AW20" s="194" t="n">
        <f aca="false">AW19</f>
        <v>761</v>
      </c>
      <c r="AX20" s="55"/>
      <c r="AY20" s="4" t="n">
        <f aca="false">AU20-$AV20</f>
        <v>229</v>
      </c>
      <c r="AZ20" s="192" t="n">
        <f aca="false">AW20-$AV20</f>
        <v>351</v>
      </c>
      <c r="BA20" s="4"/>
      <c r="BB20" s="4" t="n">
        <f aca="false">AW20-$AU20</f>
        <v>122</v>
      </c>
    </row>
    <row r="21" customFormat="false" ht="15" hidden="false" customHeight="false" outlineLevel="0" collapsed="false">
      <c r="B21" s="4" t="n">
        <v>14</v>
      </c>
      <c r="C21" s="194" t="n">
        <f aca="false">C20</f>
        <v>639</v>
      </c>
      <c r="D21" s="36" t="n">
        <f aca="false">$C21/(1+D$4)^$B21</f>
        <v>639</v>
      </c>
      <c r="E21" s="36" t="n">
        <f aca="false">C21/(1+E$4)^$B21</f>
        <v>484.282140711917</v>
      </c>
      <c r="F21" s="36" t="n">
        <f aca="false">$C21/(1+F$4)^$B21</f>
        <v>322.738421964136</v>
      </c>
      <c r="G21" s="36" t="n">
        <f aca="false">$C21/(1+G$4)^$B21</f>
        <v>168.268671501585</v>
      </c>
      <c r="H21" s="36" t="n">
        <f aca="false">$C21/(1+H$4)^$B21</f>
        <v>90.3090124531415</v>
      </c>
      <c r="I21" s="36" t="n">
        <f aca="false">$C21/(1+I$4)^$B21</f>
        <v>49.769515560673</v>
      </c>
      <c r="J21" s="36"/>
      <c r="L21" s="194" t="n">
        <f aca="false">L20</f>
        <v>410</v>
      </c>
      <c r="M21" s="36" t="n">
        <f aca="false">$L21/(1+M$4)^$B21</f>
        <v>410</v>
      </c>
      <c r="N21" s="36" t="n">
        <f aca="false">$L21/(1+N$4)^$B21</f>
        <v>310.728760081199</v>
      </c>
      <c r="O21" s="36" t="n">
        <f aca="false">$L21/(1+O$4)^$B21</f>
        <v>207.077860728163</v>
      </c>
      <c r="P21" s="36" t="n">
        <f aca="false">$L21/(1+P$4)^$B21</f>
        <v>107.965814265493</v>
      </c>
      <c r="Q21" s="36" t="n">
        <f aca="false">$L21/(1+Q$4)^$B21</f>
        <v>57.9447497743161</v>
      </c>
      <c r="R21" s="36" t="n">
        <f aca="false">$L21/(1+R$4)^$B21</f>
        <v>32.0758915968882</v>
      </c>
      <c r="S21" s="36"/>
      <c r="T21" s="194" t="n">
        <f aca="false">T20</f>
        <v>761</v>
      </c>
      <c r="U21" s="36" t="n">
        <f aca="false">$T21/(1+U$4)^$B21</f>
        <v>761</v>
      </c>
      <c r="V21" s="36" t="n">
        <f aca="false">$T21/(1+V$4)^$B21</f>
        <v>576.742893711688</v>
      </c>
      <c r="W21" s="36" t="n">
        <f aca="false">$T21/(1+W$4)^$B21</f>
        <v>384.35671222959</v>
      </c>
      <c r="X21" s="36" t="n">
        <f aca="false">$T21/(1+X$4)^$B21</f>
        <v>200.395084526927</v>
      </c>
      <c r="Y21" s="36" t="n">
        <f aca="false">$T21/(1+Y$4)^$B21</f>
        <v>107.55110872745</v>
      </c>
      <c r="Z21" s="36" t="n">
        <f aca="false">$T21/(1+Z$4)^$B21</f>
        <v>59.2716765910362</v>
      </c>
      <c r="AA21" s="36"/>
      <c r="AB21" s="194" t="n">
        <f aca="false">AB20</f>
        <v>117</v>
      </c>
      <c r="AC21" s="36" t="n">
        <f aca="false">$AB21/(1+AC$4)^$B21</f>
        <v>117</v>
      </c>
      <c r="AD21" s="36" t="n">
        <f aca="false">$AB21/(1+AD$4)^$B21</f>
        <v>88.6713778768299</v>
      </c>
      <c r="AE21" s="36" t="n">
        <f aca="false">$AB21/(1+AE$4)^$B21</f>
        <v>59.0929505004757</v>
      </c>
      <c r="AF21" s="36" t="n">
        <f aca="false">$AB21/(1+AF$4)^$B21</f>
        <v>30.8097567538113</v>
      </c>
      <c r="AG21" s="36" t="n">
        <f aca="false">$AB21/(1+AG$4)^$B21</f>
        <v>16.535452984378</v>
      </c>
      <c r="AH21" s="36" t="n">
        <f aca="false">$AB21/(1+AH$4)^$B21</f>
        <v>9.11272820124998</v>
      </c>
      <c r="AI21" s="36"/>
      <c r="AJ21" s="194" t="n">
        <f aca="false">AJ20</f>
        <v>785</v>
      </c>
      <c r="AK21" s="36" t="n">
        <f aca="false">$AJ21/(1+AK$4)^$B21</f>
        <v>785</v>
      </c>
      <c r="AL21" s="36" t="n">
        <f aca="false">$AJ21/(1+AL$4)^$B21</f>
        <v>594.931894301807</v>
      </c>
      <c r="AM21" s="36" t="n">
        <f aca="false">$AJ21/(1+AM$4)^$B21</f>
        <v>396.478343101482</v>
      </c>
      <c r="AN21" s="36" t="n">
        <f aca="false">$AJ21/(1+AN$4)^$B21</f>
        <v>206.715034630273</v>
      </c>
      <c r="AO21" s="36" t="n">
        <f aca="false">$AJ21/(1+AO$4)^$B21</f>
        <v>110.942996519118</v>
      </c>
      <c r="AP21" s="36" t="n">
        <f aca="false">$AJ21/(1+AP$4)^$B21</f>
        <v>61.1409541707798</v>
      </c>
      <c r="AQ21" s="36"/>
      <c r="AR21" s="36"/>
      <c r="AS21" s="36"/>
      <c r="AT21" s="36"/>
      <c r="AU21" s="194" t="n">
        <f aca="false">AU20</f>
        <v>639</v>
      </c>
      <c r="AV21" s="194" t="n">
        <f aca="false">AV20</f>
        <v>410</v>
      </c>
      <c r="AW21" s="194" t="n">
        <f aca="false">AW20</f>
        <v>761</v>
      </c>
      <c r="AX21" s="55"/>
      <c r="AY21" s="4" t="n">
        <f aca="false">AU21-$AV21</f>
        <v>229</v>
      </c>
      <c r="AZ21" s="192" t="n">
        <f aca="false">AW21-$AV21</f>
        <v>351</v>
      </c>
      <c r="BA21" s="4"/>
      <c r="BB21" s="4" t="n">
        <f aca="false">AW21-$AU21</f>
        <v>122</v>
      </c>
    </row>
    <row r="22" customFormat="false" ht="15" hidden="false" customHeight="false" outlineLevel="0" collapsed="false">
      <c r="B22" s="4" t="n">
        <v>15</v>
      </c>
      <c r="C22" s="194" t="n">
        <f aca="false">C21</f>
        <v>639</v>
      </c>
      <c r="D22" s="36" t="n">
        <f aca="false">$C22/(1+D$4)^$B22</f>
        <v>639</v>
      </c>
      <c r="E22" s="36" t="n">
        <f aca="false">C22/(1+E$4)^$B22</f>
        <v>474.786412462664</v>
      </c>
      <c r="F22" s="36" t="n">
        <f aca="false">$C22/(1+F$4)^$B22</f>
        <v>307.36992568013</v>
      </c>
      <c r="G22" s="36" t="n">
        <f aca="false">$C22/(1+G$4)^$B22</f>
        <v>152.971519546895</v>
      </c>
      <c r="H22" s="36" t="n">
        <f aca="false">$C22/(1+H$4)^$B22</f>
        <v>78.52957604621</v>
      </c>
      <c r="I22" s="36" t="n">
        <f aca="false">$C22/(1+I$4)^$B22</f>
        <v>41.4745963005608</v>
      </c>
      <c r="J22" s="36"/>
      <c r="L22" s="194" t="n">
        <f aca="false">L21</f>
        <v>410</v>
      </c>
      <c r="M22" s="36" t="n">
        <f aca="false">$L22/(1+M$4)^$B22</f>
        <v>410</v>
      </c>
      <c r="N22" s="36" t="n">
        <f aca="false">$L22/(1+N$4)^$B22</f>
        <v>304.636039295293</v>
      </c>
      <c r="O22" s="36" t="n">
        <f aca="false">$L22/(1+O$4)^$B22</f>
        <v>197.217010217298</v>
      </c>
      <c r="P22" s="36" t="n">
        <f aca="false">$L22/(1+P$4)^$B22</f>
        <v>98.150740241357</v>
      </c>
      <c r="Q22" s="36" t="n">
        <f aca="false">$L22/(1+Q$4)^$B22</f>
        <v>50.386738934188</v>
      </c>
      <c r="R22" s="36" t="n">
        <f aca="false">$L22/(1+R$4)^$B22</f>
        <v>26.7384060520296</v>
      </c>
      <c r="S22" s="36"/>
      <c r="T22" s="194" t="n">
        <f aca="false">T21</f>
        <v>761</v>
      </c>
      <c r="U22" s="36" t="n">
        <f aca="false">$T22/(1+U$4)^$B22</f>
        <v>761</v>
      </c>
      <c r="V22" s="36" t="n">
        <f aca="false">$T22/(1+V$4)^$B22</f>
        <v>565.434209521263</v>
      </c>
      <c r="W22" s="36" t="n">
        <f aca="false">$T22/(1+W$4)^$B22</f>
        <v>366.054011647228</v>
      </c>
      <c r="X22" s="36" t="n">
        <f aca="false">$T22/(1+X$4)^$B22</f>
        <v>182.177349569933</v>
      </c>
      <c r="Y22" s="36" t="n">
        <f aca="false">$T22/(1+Y$4)^$B22</f>
        <v>93.5227032412611</v>
      </c>
      <c r="Z22" s="36" t="n">
        <f aca="false">$T22/(1+Z$4)^$B22</f>
        <v>49.3930638258635</v>
      </c>
      <c r="AA22" s="36"/>
      <c r="AB22" s="194" t="n">
        <f aca="false">AB21</f>
        <v>117</v>
      </c>
      <c r="AC22" s="36" t="n">
        <f aca="false">$AB22/(1+AC$4)^$B22</f>
        <v>117</v>
      </c>
      <c r="AD22" s="36" t="n">
        <f aca="false">$AB22/(1+AD$4)^$B22</f>
        <v>86.9327234086567</v>
      </c>
      <c r="AE22" s="36" t="n">
        <f aca="false">$AB22/(1+AE$4)^$B22</f>
        <v>56.2790004766435</v>
      </c>
      <c r="AF22" s="36" t="n">
        <f aca="false">$AB22/(1+AF$4)^$B22</f>
        <v>28.0088697761921</v>
      </c>
      <c r="AG22" s="36" t="n">
        <f aca="false">$AB22/(1+AG$4)^$B22</f>
        <v>14.3786547690244</v>
      </c>
      <c r="AH22" s="36" t="n">
        <f aca="false">$AB22/(1+AH$4)^$B22</f>
        <v>7.59394016770832</v>
      </c>
      <c r="AI22" s="36"/>
      <c r="AJ22" s="194" t="n">
        <f aca="false">AJ21</f>
        <v>785</v>
      </c>
      <c r="AK22" s="36" t="n">
        <f aca="false">$AJ22/(1+AK$4)^$B22</f>
        <v>785</v>
      </c>
      <c r="AL22" s="36" t="n">
        <f aca="false">$AJ22/(1+AL$4)^$B22</f>
        <v>583.266563040987</v>
      </c>
      <c r="AM22" s="36" t="n">
        <f aca="false">$AJ22/(1+AM$4)^$B22</f>
        <v>377.598422001411</v>
      </c>
      <c r="AN22" s="36" t="n">
        <f aca="false">$AJ22/(1+AN$4)^$B22</f>
        <v>187.922758754793</v>
      </c>
      <c r="AO22" s="36" t="n">
        <f aca="false">$AJ22/(1+AO$4)^$B22</f>
        <v>96.4721708861891</v>
      </c>
      <c r="AP22" s="36" t="n">
        <f aca="false">$AJ22/(1+AP$4)^$B22</f>
        <v>50.9507951423165</v>
      </c>
      <c r="AQ22" s="36"/>
      <c r="AR22" s="36"/>
      <c r="AS22" s="36"/>
      <c r="AT22" s="36"/>
      <c r="AU22" s="194" t="n">
        <f aca="false">AU21</f>
        <v>639</v>
      </c>
      <c r="AV22" s="194" t="n">
        <f aca="false">AV21</f>
        <v>410</v>
      </c>
      <c r="AW22" s="194" t="n">
        <f aca="false">AW21</f>
        <v>761</v>
      </c>
      <c r="AX22" s="55"/>
      <c r="AY22" s="4" t="n">
        <f aca="false">AU22-$AV22</f>
        <v>229</v>
      </c>
      <c r="AZ22" s="192" t="n">
        <f aca="false">AW22-$AV22</f>
        <v>351</v>
      </c>
      <c r="BA22" s="4"/>
      <c r="BB22" s="4" t="n">
        <f aca="false">AW22-$AU22</f>
        <v>122</v>
      </c>
    </row>
    <row r="23" customFormat="false" ht="15" hidden="false" customHeight="false" outlineLevel="0" collapsed="false">
      <c r="B23" s="4" t="n">
        <v>16</v>
      </c>
      <c r="C23" s="194" t="n">
        <f aca="false">C22</f>
        <v>639</v>
      </c>
      <c r="D23" s="36" t="n">
        <f aca="false">$C23/(1+D$4)^$B23</f>
        <v>639</v>
      </c>
      <c r="E23" s="36" t="n">
        <f aca="false">C23/(1+E$4)^$B23</f>
        <v>465.476874963396</v>
      </c>
      <c r="F23" s="36" t="n">
        <f aca="false">$C23/(1+F$4)^$B23</f>
        <v>292.733262552505</v>
      </c>
      <c r="G23" s="36" t="n">
        <f aca="false">$C23/(1+G$4)^$B23</f>
        <v>139.065017769905</v>
      </c>
      <c r="H23" s="36" t="n">
        <f aca="false">$C23/(1+H$4)^$B23</f>
        <v>68.2865878662696</v>
      </c>
      <c r="I23" s="36" t="n">
        <f aca="false">$C23/(1+I$4)^$B23</f>
        <v>34.5621635838007</v>
      </c>
      <c r="J23" s="36"/>
      <c r="L23" s="194" t="n">
        <f aca="false">L22</f>
        <v>410</v>
      </c>
      <c r="M23" s="36" t="n">
        <f aca="false">$L23/(1+M$4)^$B23</f>
        <v>410</v>
      </c>
      <c r="N23" s="36" t="n">
        <f aca="false">$L23/(1+N$4)^$B23</f>
        <v>298.662783622836</v>
      </c>
      <c r="O23" s="36" t="n">
        <f aca="false">$L23/(1+O$4)^$B23</f>
        <v>187.825724016474</v>
      </c>
      <c r="P23" s="36" t="n">
        <f aca="false">$L23/(1+P$4)^$B23</f>
        <v>89.2279456739609</v>
      </c>
      <c r="Q23" s="36" t="n">
        <f aca="false">$L23/(1+Q$4)^$B23</f>
        <v>43.8145555949461</v>
      </c>
      <c r="R23" s="36" t="n">
        <f aca="false">$L23/(1+R$4)^$B23</f>
        <v>22.2890876172114</v>
      </c>
      <c r="S23" s="36"/>
      <c r="T23" s="194" t="n">
        <f aca="false">T22</f>
        <v>761</v>
      </c>
      <c r="U23" s="36" t="n">
        <f aca="false">$T23/(1+U$4)^$B23</f>
        <v>761</v>
      </c>
      <c r="V23" s="36" t="n">
        <f aca="false">$T23/(1+V$4)^$B23</f>
        <v>554.347264236532</v>
      </c>
      <c r="W23" s="36" t="n">
        <f aca="false">$T23/(1+W$4)^$B23</f>
        <v>348.622868235455</v>
      </c>
      <c r="X23" s="36" t="n">
        <f aca="false">$T23/(1+X$4)^$B23</f>
        <v>165.615772336303</v>
      </c>
      <c r="Y23" s="36" t="n">
        <f aca="false">$T23/(1+Y$4)^$B23</f>
        <v>81.3240897750096</v>
      </c>
      <c r="Z23" s="36" t="n">
        <f aca="false">$T23/(1+Z$4)^$B23</f>
        <v>41.1608865215529</v>
      </c>
      <c r="AA23" s="36"/>
      <c r="AB23" s="194" t="n">
        <f aca="false">AB22</f>
        <v>117</v>
      </c>
      <c r="AC23" s="36" t="n">
        <f aca="false">$AB23/(1+AC$4)^$B23</f>
        <v>117</v>
      </c>
      <c r="AD23" s="36" t="n">
        <f aca="false">$AB23/(1+AD$4)^$B23</f>
        <v>85.2281602045654</v>
      </c>
      <c r="AE23" s="36" t="n">
        <f aca="false">$AB23/(1+AE$4)^$B23</f>
        <v>53.5990480729938</v>
      </c>
      <c r="AF23" s="36" t="n">
        <f aca="false">$AB23/(1+AF$4)^$B23</f>
        <v>25.4626088874474</v>
      </c>
      <c r="AG23" s="36" t="n">
        <f aca="false">$AB23/(1+AG$4)^$B23</f>
        <v>12.5031780600212</v>
      </c>
      <c r="AH23" s="36" t="n">
        <f aca="false">$AB23/(1+AH$4)^$B23</f>
        <v>6.32828347309027</v>
      </c>
      <c r="AI23" s="36"/>
      <c r="AJ23" s="194" t="n">
        <f aca="false">AJ22</f>
        <v>785</v>
      </c>
      <c r="AK23" s="36" t="n">
        <f aca="false">$AJ23/(1+AK$4)^$B23</f>
        <v>785</v>
      </c>
      <c r="AL23" s="36" t="n">
        <f aca="false">$AJ23/(1+AL$4)^$B23</f>
        <v>571.829963765674</v>
      </c>
      <c r="AM23" s="36" t="n">
        <f aca="false">$AJ23/(1+AM$4)^$B23</f>
        <v>359.617544763249</v>
      </c>
      <c r="AN23" s="36" t="n">
        <f aca="false">$AJ23/(1+AN$4)^$B23</f>
        <v>170.838871595267</v>
      </c>
      <c r="AO23" s="36" t="n">
        <f aca="false">$AJ23/(1+AO$4)^$B23</f>
        <v>83.8888442488601</v>
      </c>
      <c r="AP23" s="36" t="n">
        <f aca="false">$AJ23/(1+AP$4)^$B23</f>
        <v>42.4589959519304</v>
      </c>
      <c r="AQ23" s="36"/>
      <c r="AR23" s="36"/>
      <c r="AS23" s="36"/>
      <c r="AT23" s="36"/>
      <c r="AU23" s="194" t="n">
        <f aca="false">AU22</f>
        <v>639</v>
      </c>
      <c r="AV23" s="194" t="n">
        <f aca="false">AV22</f>
        <v>410</v>
      </c>
      <c r="AW23" s="194" t="n">
        <f aca="false">AW22</f>
        <v>761</v>
      </c>
      <c r="AX23" s="55"/>
      <c r="AY23" s="4" t="n">
        <f aca="false">AU23-$AV23</f>
        <v>229</v>
      </c>
      <c r="AZ23" s="192" t="n">
        <f aca="false">AW23-$AV23</f>
        <v>351</v>
      </c>
      <c r="BA23" s="4"/>
      <c r="BB23" s="4" t="n">
        <f aca="false">AW23-$AU23</f>
        <v>122</v>
      </c>
    </row>
    <row r="24" customFormat="false" ht="15" hidden="false" customHeight="false" outlineLevel="0" collapsed="false">
      <c r="B24" s="4" t="n">
        <v>17</v>
      </c>
      <c r="C24" s="194" t="n">
        <f aca="false">C23</f>
        <v>639</v>
      </c>
      <c r="D24" s="36" t="n">
        <f aca="false">$C24/(1+D$4)^$B24</f>
        <v>639</v>
      </c>
      <c r="E24" s="36" t="n">
        <f aca="false">C24/(1+E$4)^$B24</f>
        <v>456.349877415094</v>
      </c>
      <c r="F24" s="36" t="n">
        <f aca="false">$C24/(1+F$4)^$B24</f>
        <v>278.793583383338</v>
      </c>
      <c r="G24" s="36" t="n">
        <f aca="false">$C24/(1+G$4)^$B24</f>
        <v>126.422743427186</v>
      </c>
      <c r="H24" s="36" t="n">
        <f aca="false">$C24/(1+H$4)^$B24</f>
        <v>59.3796416228431</v>
      </c>
      <c r="I24" s="36" t="n">
        <f aca="false">$C24/(1+I$4)^$B24</f>
        <v>28.8018029865006</v>
      </c>
      <c r="J24" s="36"/>
      <c r="L24" s="194" t="n">
        <f aca="false">L23</f>
        <v>410</v>
      </c>
      <c r="M24" s="36" t="n">
        <f aca="false">$L24/(1+M$4)^$B24</f>
        <v>410</v>
      </c>
      <c r="N24" s="36" t="n">
        <f aca="false">$L24/(1+N$4)^$B24</f>
        <v>292.806650610624</v>
      </c>
      <c r="O24" s="36" t="n">
        <f aca="false">$L24/(1+O$4)^$B24</f>
        <v>178.881641920451</v>
      </c>
      <c r="P24" s="36" t="n">
        <f aca="false">$L24/(1+P$4)^$B24</f>
        <v>81.1163142490553</v>
      </c>
      <c r="Q24" s="36" t="n">
        <f aca="false">$L24/(1+Q$4)^$B24</f>
        <v>38.0996135608227</v>
      </c>
      <c r="R24" s="36" t="n">
        <f aca="false">$L24/(1+R$4)^$B24</f>
        <v>18.5801437019472</v>
      </c>
      <c r="S24" s="36"/>
      <c r="T24" s="194" t="n">
        <f aca="false">T23</f>
        <v>761</v>
      </c>
      <c r="U24" s="36" t="n">
        <f aca="false">$T24/(1+U$4)^$B24</f>
        <v>761</v>
      </c>
      <c r="V24" s="36" t="n">
        <f aca="false">$T24/(1+V$4)^$B24</f>
        <v>543.477710035816</v>
      </c>
      <c r="W24" s="36" t="n">
        <f aca="false">$T24/(1+W$4)^$B24</f>
        <v>332.021779271862</v>
      </c>
      <c r="X24" s="36" t="n">
        <f aca="false">$T24/(1+X$4)^$B24</f>
        <v>150.559793033003</v>
      </c>
      <c r="Y24" s="36" t="n">
        <f aca="false">$T24/(1+Y$4)^$B24</f>
        <v>70.7165998043562</v>
      </c>
      <c r="Z24" s="36" t="n">
        <f aca="false">$T24/(1+Z$4)^$B24</f>
        <v>34.3007387679608</v>
      </c>
      <c r="AA24" s="36"/>
      <c r="AB24" s="194" t="n">
        <f aca="false">AB23</f>
        <v>117</v>
      </c>
      <c r="AC24" s="36" t="n">
        <f aca="false">$AB24/(1+AC$4)^$B24</f>
        <v>117</v>
      </c>
      <c r="AD24" s="36" t="n">
        <f aca="false">$AB24/(1+AD$4)^$B24</f>
        <v>83.5570198083975</v>
      </c>
      <c r="AE24" s="36" t="n">
        <f aca="false">$AB24/(1+AE$4)^$B24</f>
        <v>51.0467124504703</v>
      </c>
      <c r="AF24" s="36" t="n">
        <f aca="false">$AB24/(1+AF$4)^$B24</f>
        <v>23.1478262613158</v>
      </c>
      <c r="AG24" s="36" t="n">
        <f aca="false">$AB24/(1+AG$4)^$B24</f>
        <v>10.8723287478445</v>
      </c>
      <c r="AH24" s="36" t="n">
        <f aca="false">$AB24/(1+AH$4)^$B24</f>
        <v>5.27356956090855</v>
      </c>
      <c r="AI24" s="36"/>
      <c r="AJ24" s="194" t="n">
        <f aca="false">AJ23</f>
        <v>785</v>
      </c>
      <c r="AK24" s="36" t="n">
        <f aca="false">$AJ24/(1+AK$4)^$B24</f>
        <v>785</v>
      </c>
      <c r="AL24" s="36" t="n">
        <f aca="false">$AJ24/(1+AL$4)^$B24</f>
        <v>560.617611534974</v>
      </c>
      <c r="AM24" s="36" t="n">
        <f aca="false">$AJ24/(1+AM$4)^$B24</f>
        <v>342.492899774523</v>
      </c>
      <c r="AN24" s="36" t="n">
        <f aca="false">$AJ24/(1+AN$4)^$B24</f>
        <v>155.308065086606</v>
      </c>
      <c r="AO24" s="36" t="n">
        <f aca="false">$AJ24/(1+AO$4)^$B24</f>
        <v>72.9468210859653</v>
      </c>
      <c r="AP24" s="36" t="n">
        <f aca="false">$AJ24/(1+AP$4)^$B24</f>
        <v>35.3824966266087</v>
      </c>
      <c r="AQ24" s="36"/>
      <c r="AR24" s="36"/>
      <c r="AS24" s="36"/>
      <c r="AT24" s="36"/>
      <c r="AU24" s="194" t="n">
        <f aca="false">AU23</f>
        <v>639</v>
      </c>
      <c r="AV24" s="194" t="n">
        <f aca="false">AV23</f>
        <v>410</v>
      </c>
      <c r="AW24" s="194" t="n">
        <f aca="false">AW23</f>
        <v>761</v>
      </c>
      <c r="AX24" s="55"/>
      <c r="AY24" s="4" t="n">
        <f aca="false">AU24-$AV24</f>
        <v>229</v>
      </c>
      <c r="AZ24" s="192" t="n">
        <f aca="false">AW24-$AV24</f>
        <v>351</v>
      </c>
      <c r="BA24" s="4"/>
      <c r="BB24" s="4" t="n">
        <f aca="false">AW24-$AU24</f>
        <v>122</v>
      </c>
    </row>
    <row r="25" customFormat="false" ht="15" hidden="false" customHeight="false" outlineLevel="0" collapsed="false">
      <c r="B25" s="4" t="n">
        <v>18</v>
      </c>
      <c r="C25" s="194" t="n">
        <f aca="false">C24</f>
        <v>639</v>
      </c>
      <c r="D25" s="36" t="n">
        <f aca="false">$C25/(1+D$4)^$B25</f>
        <v>639</v>
      </c>
      <c r="E25" s="36" t="n">
        <f aca="false">C25/(1+E$4)^$B25</f>
        <v>447.401840603033</v>
      </c>
      <c r="F25" s="36" t="n">
        <f aca="false">$C25/(1+F$4)^$B25</f>
        <v>265.517698460322</v>
      </c>
      <c r="G25" s="36" t="n">
        <f aca="false">$C25/(1+G$4)^$B25</f>
        <v>114.929766751987</v>
      </c>
      <c r="H25" s="36" t="n">
        <f aca="false">$C25/(1+H$4)^$B25</f>
        <v>51.6344709763853</v>
      </c>
      <c r="I25" s="36" t="n">
        <f aca="false">$C25/(1+I$4)^$B25</f>
        <v>24.0015024887505</v>
      </c>
      <c r="J25" s="36"/>
      <c r="L25" s="194" t="n">
        <f aca="false">L24</f>
        <v>410</v>
      </c>
      <c r="M25" s="36" t="n">
        <f aca="false">$L25/(1+M$4)^$B25</f>
        <v>410</v>
      </c>
      <c r="N25" s="36" t="n">
        <f aca="false">$L25/(1+N$4)^$B25</f>
        <v>287.065343735905</v>
      </c>
      <c r="O25" s="36" t="n">
        <f aca="false">$L25/(1+O$4)^$B25</f>
        <v>170.363468495668</v>
      </c>
      <c r="P25" s="36" t="n">
        <f aca="false">$L25/(1+P$4)^$B25</f>
        <v>73.7421038627776</v>
      </c>
      <c r="Q25" s="36" t="n">
        <f aca="false">$L25/(1+Q$4)^$B25</f>
        <v>33.1300987485414</v>
      </c>
      <c r="R25" s="36" t="n">
        <f aca="false">$L25/(1+R$4)^$B25</f>
        <v>15.4883746662843</v>
      </c>
      <c r="S25" s="36"/>
      <c r="T25" s="194" t="n">
        <f aca="false">T24</f>
        <v>761</v>
      </c>
      <c r="U25" s="36" t="n">
        <f aca="false">$T25/(1+U$4)^$B25</f>
        <v>761</v>
      </c>
      <c r="V25" s="36" t="n">
        <f aca="false">$T25/(1+V$4)^$B25</f>
        <v>532.821284348839</v>
      </c>
      <c r="W25" s="36" t="n">
        <f aca="false">$T25/(1+W$4)^$B25</f>
        <v>316.211218354155</v>
      </c>
      <c r="X25" s="36" t="n">
        <f aca="false">$T25/(1+X$4)^$B25</f>
        <v>136.872539120912</v>
      </c>
      <c r="Y25" s="36" t="n">
        <f aca="false">$T25/(1+Y$4)^$B25</f>
        <v>61.4926954820489</v>
      </c>
      <c r="Z25" s="36" t="n">
        <f aca="false">$T25/(1+Z$4)^$B25</f>
        <v>28.5839489733006</v>
      </c>
      <c r="AA25" s="36"/>
      <c r="AB25" s="194" t="n">
        <f aca="false">AB24</f>
        <v>117</v>
      </c>
      <c r="AC25" s="36" t="n">
        <f aca="false">$AB25/(1+AC$4)^$B25</f>
        <v>117</v>
      </c>
      <c r="AD25" s="36" t="n">
        <f aca="false">$AB25/(1+AD$4)^$B25</f>
        <v>81.9186468709779</v>
      </c>
      <c r="AE25" s="36" t="n">
        <f aca="false">$AB25/(1+AE$4)^$B25</f>
        <v>48.6159166194955</v>
      </c>
      <c r="AF25" s="36" t="n">
        <f aca="false">$AB25/(1+AF$4)^$B25</f>
        <v>21.043478419378</v>
      </c>
      <c r="AG25" s="36" t="n">
        <f aca="false">$AB25/(1+AG$4)^$B25</f>
        <v>9.45419891116914</v>
      </c>
      <c r="AH25" s="36" t="n">
        <f aca="false">$AB25/(1+AH$4)^$B25</f>
        <v>4.39464130075713</v>
      </c>
      <c r="AI25" s="36"/>
      <c r="AJ25" s="194" t="n">
        <f aca="false">AJ24</f>
        <v>785</v>
      </c>
      <c r="AK25" s="36" t="n">
        <f aca="false">$AJ25/(1+AK$4)^$B25</f>
        <v>785</v>
      </c>
      <c r="AL25" s="36" t="n">
        <f aca="false">$AJ25/(1+AL$4)^$B25</f>
        <v>549.625109348014</v>
      </c>
      <c r="AM25" s="36" t="n">
        <f aca="false">$AJ25/(1+AM$4)^$B25</f>
        <v>326.183714070974</v>
      </c>
      <c r="AN25" s="36" t="n">
        <f aca="false">$AJ25/(1+AN$4)^$B25</f>
        <v>141.189150078733</v>
      </c>
      <c r="AO25" s="36" t="n">
        <f aca="false">$AJ25/(1+AO$4)^$B25</f>
        <v>63.432018335622</v>
      </c>
      <c r="AP25" s="36" t="n">
        <f aca="false">$AJ25/(1+AP$4)^$B25</f>
        <v>29.4854138555072</v>
      </c>
      <c r="AQ25" s="36"/>
      <c r="AR25" s="36"/>
      <c r="AS25" s="36"/>
      <c r="AT25" s="36"/>
      <c r="AU25" s="194" t="n">
        <f aca="false">AU24</f>
        <v>639</v>
      </c>
      <c r="AV25" s="194" t="n">
        <f aca="false">AV24</f>
        <v>410</v>
      </c>
      <c r="AW25" s="194" t="n">
        <f aca="false">AW24</f>
        <v>761</v>
      </c>
      <c r="AX25" s="55"/>
      <c r="AY25" s="4" t="n">
        <f aca="false">AU25-$AV25</f>
        <v>229</v>
      </c>
      <c r="AZ25" s="192" t="n">
        <f aca="false">AW25-$AV25</f>
        <v>351</v>
      </c>
      <c r="BA25" s="4"/>
      <c r="BB25" s="4" t="n">
        <f aca="false">AW25-$AU25</f>
        <v>122</v>
      </c>
    </row>
    <row r="26" customFormat="false" ht="15" hidden="false" customHeight="false" outlineLevel="0" collapsed="false">
      <c r="B26" s="4" t="n">
        <v>19</v>
      </c>
      <c r="C26" s="194" t="n">
        <f aca="false">C25</f>
        <v>639</v>
      </c>
      <c r="D26" s="36" t="n">
        <f aca="false">$C26/(1+D$4)^$B26</f>
        <v>639</v>
      </c>
      <c r="E26" s="36" t="n">
        <f aca="false">C26/(1+E$4)^$B26</f>
        <v>438.62925549317</v>
      </c>
      <c r="F26" s="36" t="n">
        <f aca="false">$C26/(1+F$4)^$B26</f>
        <v>252.87399853364</v>
      </c>
      <c r="G26" s="36" t="n">
        <f aca="false">$C26/(1+G$4)^$B26</f>
        <v>104.48160613817</v>
      </c>
      <c r="H26" s="36" t="n">
        <f aca="false">$C26/(1+H$4)^$B26</f>
        <v>44.8995399794655</v>
      </c>
      <c r="I26" s="36" t="n">
        <f aca="false">$C26/(1+I$4)^$B26</f>
        <v>20.0012520739587</v>
      </c>
      <c r="J26" s="36"/>
      <c r="L26" s="194" t="n">
        <f aca="false">L25</f>
        <v>410</v>
      </c>
      <c r="M26" s="36" t="n">
        <f aca="false">$L26/(1+M$4)^$B26</f>
        <v>410</v>
      </c>
      <c r="N26" s="36" t="n">
        <f aca="false">$L26/(1+N$4)^$B26</f>
        <v>281.43661150579</v>
      </c>
      <c r="O26" s="36" t="n">
        <f aca="false">$L26/(1+O$4)^$B26</f>
        <v>162.250922376827</v>
      </c>
      <c r="P26" s="36" t="n">
        <f aca="false">$L26/(1+P$4)^$B26</f>
        <v>67.0382762388887</v>
      </c>
      <c r="Q26" s="36" t="n">
        <f aca="false">$L26/(1+Q$4)^$B26</f>
        <v>28.8087815204708</v>
      </c>
      <c r="R26" s="36" t="n">
        <f aca="false">$L26/(1+R$4)^$B26</f>
        <v>12.9110815099916</v>
      </c>
      <c r="S26" s="36"/>
      <c r="T26" s="194" t="n">
        <f aca="false">T25</f>
        <v>761</v>
      </c>
      <c r="U26" s="36" t="n">
        <f aca="false">$T26/(1+U$4)^$B26</f>
        <v>761</v>
      </c>
      <c r="V26" s="36" t="n">
        <f aca="false">$T26/(1+V$4)^$B26</f>
        <v>522.373808185136</v>
      </c>
      <c r="W26" s="36" t="n">
        <f aca="false">$T26/(1+W$4)^$B26</f>
        <v>301.153541289671</v>
      </c>
      <c r="X26" s="36" t="n">
        <f aca="false">$T26/(1+X$4)^$B26</f>
        <v>124.42958101901</v>
      </c>
      <c r="Y26" s="36" t="n">
        <f aca="false">$T26/(1+Y$4)^$B26</f>
        <v>53.4719091148251</v>
      </c>
      <c r="Z26" s="36" t="n">
        <f aca="false">$T26/(1+Z$4)^$B26</f>
        <v>23.8199574777505</v>
      </c>
      <c r="AA26" s="36"/>
      <c r="AB26" s="194" t="n">
        <f aca="false">AB25</f>
        <v>117</v>
      </c>
      <c r="AC26" s="36" t="n">
        <f aca="false">$AB26/(1+AC$4)^$B26</f>
        <v>117</v>
      </c>
      <c r="AD26" s="36" t="n">
        <f aca="false">$AB26/(1+AD$4)^$B26</f>
        <v>80.3123988931156</v>
      </c>
      <c r="AE26" s="36" t="n">
        <f aca="false">$AB26/(1+AE$4)^$B26</f>
        <v>46.3008729709481</v>
      </c>
      <c r="AF26" s="36" t="n">
        <f aca="false">$AB26/(1+AF$4)^$B26</f>
        <v>19.1304349267073</v>
      </c>
      <c r="AG26" s="36" t="n">
        <f aca="false">$AB26/(1+AG$4)^$B26</f>
        <v>8.22104253145143</v>
      </c>
      <c r="AH26" s="36" t="n">
        <f aca="false">$AB26/(1+AH$4)^$B26</f>
        <v>3.66220108396427</v>
      </c>
      <c r="AI26" s="36"/>
      <c r="AJ26" s="194" t="n">
        <f aca="false">AJ25</f>
        <v>785</v>
      </c>
      <c r="AK26" s="36" t="n">
        <f aca="false">$AJ26/(1+AK$4)^$B26</f>
        <v>785</v>
      </c>
      <c r="AL26" s="36" t="n">
        <f aca="false">$AJ26/(1+AL$4)^$B26</f>
        <v>538.848146419622</v>
      </c>
      <c r="AM26" s="36" t="n">
        <f aca="false">$AJ26/(1+AM$4)^$B26</f>
        <v>310.651156258071</v>
      </c>
      <c r="AN26" s="36" t="n">
        <f aca="false">$AJ26/(1+AN$4)^$B26</f>
        <v>128.353772798848</v>
      </c>
      <c r="AO26" s="36" t="n">
        <f aca="false">$AJ26/(1+AO$4)^$B26</f>
        <v>55.1582768135844</v>
      </c>
      <c r="AP26" s="36" t="n">
        <f aca="false">$AJ26/(1+AP$4)^$B26</f>
        <v>24.5711782129227</v>
      </c>
      <c r="AQ26" s="36"/>
      <c r="AR26" s="36"/>
      <c r="AS26" s="36"/>
      <c r="AT26" s="36"/>
      <c r="AU26" s="194" t="n">
        <f aca="false">AU25</f>
        <v>639</v>
      </c>
      <c r="AV26" s="194" t="n">
        <f aca="false">AV25</f>
        <v>410</v>
      </c>
      <c r="AW26" s="194" t="n">
        <f aca="false">AW25</f>
        <v>761</v>
      </c>
      <c r="AX26" s="55"/>
      <c r="AY26" s="4" t="n">
        <f aca="false">AU26-$AV26</f>
        <v>229</v>
      </c>
      <c r="AZ26" s="192" t="n">
        <f aca="false">AW26-$AV26</f>
        <v>351</v>
      </c>
      <c r="BA26" s="4"/>
      <c r="BB26" s="4" t="n">
        <f aca="false">AW26-$AU26</f>
        <v>122</v>
      </c>
    </row>
    <row r="27" customFormat="false" ht="15" hidden="false" customHeight="false" outlineLevel="0" collapsed="false">
      <c r="B27" s="4" t="n">
        <v>20</v>
      </c>
      <c r="C27" s="194" t="n">
        <f aca="false">C26</f>
        <v>639</v>
      </c>
      <c r="D27" s="36" t="n">
        <f aca="false">$C27/(1+D$4)^$B27</f>
        <v>639</v>
      </c>
      <c r="E27" s="36" t="n">
        <f aca="false">C27/(1+E$4)^$B27</f>
        <v>430.028681856049</v>
      </c>
      <c r="F27" s="36" t="n">
        <f aca="false">$C27/(1+F$4)^$B27</f>
        <v>240.832379555847</v>
      </c>
      <c r="G27" s="36" t="n">
        <f aca="false">$C27/(1+G$4)^$B27</f>
        <v>94.9832783074277</v>
      </c>
      <c r="H27" s="36" t="n">
        <f aca="false">$C27/(1+H$4)^$B27</f>
        <v>39.0430782430135</v>
      </c>
      <c r="I27" s="36" t="n">
        <f aca="false">$C27/(1+I$4)^$B27</f>
        <v>16.6677100616323</v>
      </c>
      <c r="J27" s="36"/>
      <c r="L27" s="194" t="n">
        <f aca="false">L26</f>
        <v>410</v>
      </c>
      <c r="M27" s="36" t="n">
        <f aca="false">$L27/(1+M$4)^$B27</f>
        <v>410</v>
      </c>
      <c r="N27" s="36" t="n">
        <f aca="false">$L27/(1+N$4)^$B27</f>
        <v>275.918246574304</v>
      </c>
      <c r="O27" s="36" t="n">
        <f aca="false">$L27/(1+O$4)^$B27</f>
        <v>154.52468797793</v>
      </c>
      <c r="P27" s="36" t="n">
        <f aca="false">$L27/(1+P$4)^$B27</f>
        <v>60.9438874898988</v>
      </c>
      <c r="Q27" s="36" t="n">
        <f aca="false">$L27/(1+Q$4)^$B27</f>
        <v>25.0511143656268</v>
      </c>
      <c r="R27" s="36" t="n">
        <f aca="false">$L27/(1+R$4)^$B27</f>
        <v>10.7626545295626</v>
      </c>
      <c r="S27" s="36"/>
      <c r="T27" s="194" t="n">
        <f aca="false">T26</f>
        <v>761</v>
      </c>
      <c r="U27" s="36" t="n">
        <f aca="false">$T27/(1+U$4)^$B27</f>
        <v>761</v>
      </c>
      <c r="V27" s="36" t="n">
        <f aca="false">$T27/(1+V$4)^$B27</f>
        <v>512.131184495232</v>
      </c>
      <c r="W27" s="36" t="n">
        <f aca="false">$T27/(1+W$4)^$B27</f>
        <v>286.812896466353</v>
      </c>
      <c r="X27" s="36" t="n">
        <f aca="false">$T27/(1+X$4)^$B27</f>
        <v>113.117800926373</v>
      </c>
      <c r="Y27" s="36" t="n">
        <f aca="false">$T27/(1+Y$4)^$B27</f>
        <v>46.497312273761</v>
      </c>
      <c r="Z27" s="36" t="n">
        <f aca="false">$T27/(1+Z$4)^$B27</f>
        <v>19.8499645647921</v>
      </c>
      <c r="AA27" s="36"/>
      <c r="AB27" s="194" t="n">
        <f aca="false">AB26</f>
        <v>117</v>
      </c>
      <c r="AC27" s="36" t="n">
        <f aca="false">$AB27/(1+AC$4)^$B27</f>
        <v>117</v>
      </c>
      <c r="AD27" s="36" t="n">
        <f aca="false">$AB27/(1+AD$4)^$B27</f>
        <v>78.7376459736427</v>
      </c>
      <c r="AE27" s="36" t="n">
        <f aca="false">$AB27/(1+AE$4)^$B27</f>
        <v>44.0960694961411</v>
      </c>
      <c r="AF27" s="36" t="n">
        <f aca="false">$AB27/(1+AF$4)^$B27</f>
        <v>17.3913044788248</v>
      </c>
      <c r="AG27" s="36" t="n">
        <f aca="false">$AB27/(1+AG$4)^$B27</f>
        <v>7.14873263604472</v>
      </c>
      <c r="AH27" s="36" t="n">
        <f aca="false">$AB27/(1+AH$4)^$B27</f>
        <v>3.0518342366369</v>
      </c>
      <c r="AI27" s="36"/>
      <c r="AJ27" s="194" t="n">
        <f aca="false">AJ26</f>
        <v>785</v>
      </c>
      <c r="AK27" s="36" t="n">
        <f aca="false">$AJ27/(1+AK$4)^$B27</f>
        <v>785</v>
      </c>
      <c r="AL27" s="36" t="n">
        <f aca="false">$AJ27/(1+AL$4)^$B27</f>
        <v>528.282496489825</v>
      </c>
      <c r="AM27" s="36" t="n">
        <f aca="false">$AJ27/(1+AM$4)^$B27</f>
        <v>295.858244055305</v>
      </c>
      <c r="AN27" s="36" t="n">
        <f aca="false">$AJ27/(1+AN$4)^$B27</f>
        <v>116.685247998953</v>
      </c>
      <c r="AO27" s="36" t="n">
        <f aca="false">$AJ27/(1+AO$4)^$B27</f>
        <v>47.9637189683342</v>
      </c>
      <c r="AP27" s="36" t="n">
        <f aca="false">$AJ27/(1+AP$4)^$B27</f>
        <v>20.4759818441022</v>
      </c>
      <c r="AQ27" s="36"/>
      <c r="AR27" s="36"/>
      <c r="AS27" s="36"/>
      <c r="AT27" s="36"/>
      <c r="AU27" s="194" t="n">
        <f aca="false">AU26</f>
        <v>639</v>
      </c>
      <c r="AV27" s="194" t="n">
        <f aca="false">AV26</f>
        <v>410</v>
      </c>
      <c r="AW27" s="194" t="n">
        <f aca="false">AW26</f>
        <v>761</v>
      </c>
      <c r="AX27" s="55"/>
      <c r="AY27" s="4" t="n">
        <f aca="false">AU27-$AV27</f>
        <v>229</v>
      </c>
      <c r="AZ27" s="192" t="n">
        <f aca="false">AW27-$AV27</f>
        <v>351</v>
      </c>
      <c r="BA27" s="4"/>
      <c r="BB27" s="4" t="n">
        <f aca="false">AW27-$AU27</f>
        <v>122</v>
      </c>
    </row>
    <row r="28" customFormat="false" ht="15" hidden="false" customHeight="false" outlineLevel="0" collapsed="false"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36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customFormat="false" ht="15" hidden="false" customHeight="false" outlineLevel="0" collapsed="false">
      <c r="C29" s="0" t="s">
        <v>497</v>
      </c>
      <c r="D29" s="36" t="n">
        <f aca="false">SUM(D7:D27)</f>
        <v>8780</v>
      </c>
      <c r="E29" s="36" t="n">
        <f aca="false">SUM(E7:E27)</f>
        <v>6448.56590719756</v>
      </c>
      <c r="F29" s="36" t="n">
        <f aca="false">SUM(F7:F27)</f>
        <v>3963.35240888305</v>
      </c>
      <c r="G29" s="36" t="n">
        <f aca="false">SUM(G7:G27)</f>
        <v>1440.16721692572</v>
      </c>
      <c r="H29" s="36" t="n">
        <f aca="false">SUM(H7:H27)</f>
        <v>-0.287188286754251</v>
      </c>
      <c r="I29" s="36" t="n">
        <f aca="false">SUM(I7:I27)</f>
        <v>-888.338550308161</v>
      </c>
      <c r="J29" s="36"/>
      <c r="K29" s="78"/>
      <c r="M29" s="36" t="n">
        <f aca="false">SUM(M7:M27)</f>
        <v>6200</v>
      </c>
      <c r="N29" s="36" t="n">
        <f aca="false">SUM(N7:N27)</f>
        <v>4704.08767128482</v>
      </c>
      <c r="O29" s="36" t="n">
        <f aca="false">SUM(O7:O27)</f>
        <v>3109.50624044139</v>
      </c>
      <c r="P29" s="36" t="n">
        <f aca="false">SUM(P7:P27)</f>
        <v>1490.56112510101</v>
      </c>
      <c r="Q29" s="36" t="n">
        <f aca="false">SUM(Q7:Q27)</f>
        <v>566.325904229156</v>
      </c>
      <c r="R29" s="36" t="n">
        <f aca="false">SUM(R7:R27)</f>
        <v>-0.000156514541769681</v>
      </c>
      <c r="S29" s="36"/>
      <c r="U29" s="36" t="n">
        <f aca="false">SUM(U7:U27)</f>
        <v>9220</v>
      </c>
      <c r="V29" s="36" t="n">
        <f aca="false">SUM(V7:V27)</f>
        <v>6443.4407752384</v>
      </c>
      <c r="W29" s="36" t="n">
        <f aca="false">SUM(W7:W27)</f>
        <v>3483.74207067293</v>
      </c>
      <c r="X29" s="36" t="n">
        <f aca="false">SUM(X7:X27)</f>
        <v>478.821990736263</v>
      </c>
      <c r="Y29" s="36" t="n">
        <f aca="false">SUM(Y7:Y27)</f>
        <v>-1236.64874849174</v>
      </c>
      <c r="Z29" s="36" t="n">
        <f aca="false">SUM(Z7:Z27)</f>
        <v>-2294.24982282396</v>
      </c>
      <c r="AA29" s="36"/>
      <c r="AC29" s="36" t="n">
        <f aca="false">SUM(AC7:AC27)</f>
        <v>1340</v>
      </c>
      <c r="AD29" s="36" t="n">
        <f aca="false">SUM(AD7:AD27)</f>
        <v>913.117701317862</v>
      </c>
      <c r="AE29" s="36" t="n">
        <f aca="false">SUM(AE7:AE27)</f>
        <v>458.078610077178</v>
      </c>
      <c r="AF29" s="36" t="n">
        <f aca="false">SUM(AF7:AF27)</f>
        <v>-3.91304478824872</v>
      </c>
      <c r="AG29" s="36" t="n">
        <f aca="false">SUM(AG7:AG27)</f>
        <v>-267.658217573631</v>
      </c>
      <c r="AH29" s="36" t="n">
        <f aca="false">SUM(AH7:AH27)</f>
        <v>-430.259171183184</v>
      </c>
      <c r="AI29" s="36"/>
      <c r="AK29" s="36" t="n">
        <f aca="false">SUM(AK7:AK27)</f>
        <v>6700</v>
      </c>
      <c r="AL29" s="36" t="n">
        <f aca="false">SUM(AL7:AL27)</f>
        <v>3835.87517550873</v>
      </c>
      <c r="AM29" s="36" t="n">
        <f aca="false">SUM(AM7:AM27)</f>
        <v>782.835118893886</v>
      </c>
      <c r="AN29" s="36" t="n">
        <f aca="false">SUM(AN7:AN27)</f>
        <v>-2316.85247998953</v>
      </c>
      <c r="AO29" s="36" t="n">
        <f aca="false">SUM(AO7:AO27)</f>
        <v>-4086.42479312223</v>
      </c>
      <c r="AP29" s="36" t="n">
        <f aca="false">SUM(AP7:AP27)</f>
        <v>-5177.37990922051</v>
      </c>
      <c r="AQ29" s="36"/>
      <c r="AR29" s="36"/>
      <c r="AS29" s="36"/>
      <c r="AT29" s="36"/>
      <c r="AX29" s="55"/>
      <c r="AY29" s="0" t="s">
        <v>498</v>
      </c>
      <c r="AZ29" s="188"/>
    </row>
    <row r="30" customFormat="false" ht="15" hidden="true" customHeight="false" outlineLevel="0" collapsed="false">
      <c r="B30" s="0" t="s">
        <v>469</v>
      </c>
      <c r="D30" s="180" t="n">
        <f aca="false">D8/-D7</f>
        <v>0.15975</v>
      </c>
      <c r="E30" s="180"/>
      <c r="F30" s="180"/>
      <c r="G30" s="180"/>
      <c r="H30" s="180"/>
      <c r="I30" s="180"/>
      <c r="J30" s="180"/>
      <c r="M30" s="180" t="n">
        <f aca="false">M8/-M7</f>
        <v>0.205</v>
      </c>
      <c r="N30" s="180"/>
      <c r="O30" s="180"/>
      <c r="P30" s="180"/>
      <c r="Q30" s="180"/>
      <c r="R30" s="180"/>
      <c r="S30" s="180"/>
      <c r="U30" s="180" t="n">
        <f aca="false">U8/-U7</f>
        <v>0.126833333333333</v>
      </c>
      <c r="V30" s="180"/>
      <c r="W30" s="180"/>
      <c r="X30" s="180"/>
      <c r="Y30" s="180"/>
      <c r="Z30" s="180"/>
      <c r="AA30" s="180"/>
      <c r="AC30" s="180" t="n">
        <f aca="false">AC8/-AC7</f>
        <v>0.117</v>
      </c>
      <c r="AD30" s="180"/>
      <c r="AE30" s="180"/>
      <c r="AF30" s="180"/>
      <c r="AG30" s="180"/>
      <c r="AH30" s="180"/>
      <c r="AI30" s="180"/>
      <c r="AK30" s="180" t="n">
        <f aca="false">AK8/-AK7</f>
        <v>0.0872222222222222</v>
      </c>
      <c r="AL30" s="180"/>
      <c r="AM30" s="180"/>
      <c r="AN30" s="180"/>
      <c r="AO30" s="180"/>
      <c r="AP30" s="180"/>
      <c r="AQ30" s="180"/>
      <c r="AR30" s="180"/>
      <c r="AS30" s="180"/>
      <c r="AT30" s="180"/>
    </row>
    <row r="31" customFormat="false" ht="15" hidden="false" customHeight="false" outlineLevel="0" collapsed="false">
      <c r="B31" s="0" t="s">
        <v>446</v>
      </c>
      <c r="C31" s="55" t="n">
        <f aca="false">IRR(C7:C27)</f>
        <v>0.149987028179237</v>
      </c>
      <c r="D31" s="55"/>
      <c r="E31" s="55"/>
      <c r="F31" s="55"/>
      <c r="G31" s="55"/>
      <c r="H31" s="55"/>
      <c r="I31" s="55"/>
      <c r="J31" s="55"/>
      <c r="L31" s="26" t="n">
        <f aca="false">IRR(L7:L27)</f>
        <v>0.199618671195555</v>
      </c>
      <c r="M31" s="55"/>
      <c r="N31" s="55"/>
      <c r="O31" s="55"/>
      <c r="P31" s="55"/>
      <c r="Q31" s="55"/>
      <c r="R31" s="55"/>
      <c r="S31" s="55"/>
      <c r="T31" s="55" t="n">
        <f aca="false">IRR(T7:T27)</f>
        <v>0.111528852643809</v>
      </c>
      <c r="U31" s="55"/>
      <c r="V31" s="55"/>
      <c r="W31" s="55"/>
      <c r="X31" s="55"/>
      <c r="Y31" s="55"/>
      <c r="Z31" s="55"/>
      <c r="AA31" s="55"/>
      <c r="AB31" s="55" t="n">
        <f aca="false">IRR(AB7:AB27)</f>
        <v>0.0994262870180613</v>
      </c>
      <c r="AC31" s="55"/>
      <c r="AD31" s="55"/>
      <c r="AE31" s="55"/>
      <c r="AF31" s="55"/>
      <c r="AG31" s="55"/>
      <c r="AH31" s="55"/>
      <c r="AI31" s="55"/>
      <c r="AJ31" s="55" t="n">
        <f aca="false">IRR(AJ7:AJ27)</f>
        <v>0.060053211472705</v>
      </c>
      <c r="AK31" s="55"/>
      <c r="AL31" s="55"/>
      <c r="AM31" s="55"/>
      <c r="AN31" s="55"/>
      <c r="AO31" s="55"/>
      <c r="AP31" s="55"/>
      <c r="AQ31" s="55"/>
      <c r="AR31" s="55"/>
      <c r="AS31" s="55"/>
      <c r="AT31" s="55" t="s">
        <v>499</v>
      </c>
      <c r="AU31" s="55" t="n">
        <f aca="false">IRR(AU7:AU27)</f>
        <v>0.149987028179237</v>
      </c>
      <c r="AV31" s="196" t="n">
        <f aca="false">IRR(AV7:AV27)</f>
        <v>0.199618671195555</v>
      </c>
      <c r="AW31" s="55" t="n">
        <f aca="false">IRR(AW7:AW27)</f>
        <v>0.111528852643809</v>
      </c>
      <c r="AX31" s="55"/>
      <c r="AY31" s="196" t="n">
        <f aca="false">IRR(AY7:AY27)</f>
        <v>0.0962908483684584</v>
      </c>
      <c r="AZ31" s="197" t="n">
        <f aca="false">IRR(AZ7:AZ27)</f>
        <v>0.0607977120576686</v>
      </c>
      <c r="BB31" s="196" t="n">
        <f aca="false">IRR(BB7:BB27)</f>
        <v>0.0197342665793487</v>
      </c>
    </row>
    <row r="33" customFormat="false" ht="15" hidden="false" customHeight="false" outlineLevel="0" collapsed="false">
      <c r="C33" s="29" t="s">
        <v>500</v>
      </c>
      <c r="AU33" s="29" t="s">
        <v>501</v>
      </c>
    </row>
    <row r="34" customFormat="false" ht="15.75" hidden="false" customHeight="false" outlineLevel="0" collapsed="false">
      <c r="AV34" s="198" t="s">
        <v>502</v>
      </c>
    </row>
    <row r="35" customFormat="false" ht="15" hidden="false" customHeight="false" outlineLevel="0" collapsed="false">
      <c r="B35" s="25"/>
      <c r="C35" s="29" t="s">
        <v>503</v>
      </c>
      <c r="AV35" s="0" t="s">
        <v>504</v>
      </c>
    </row>
    <row r="36" customFormat="false" ht="15.75" hidden="false" customHeight="false" outlineLevel="0" collapsed="false">
      <c r="B36" s="25"/>
      <c r="D36" s="0" t="s">
        <v>505</v>
      </c>
      <c r="AU36" s="199"/>
      <c r="AV36" s="0" t="s">
        <v>506</v>
      </c>
    </row>
    <row r="37" customFormat="false" ht="15.75" hidden="false" customHeight="false" outlineLevel="0" collapsed="false">
      <c r="B37" s="25"/>
      <c r="C37" s="81" t="s">
        <v>507</v>
      </c>
      <c r="D37" s="184" t="n">
        <v>0</v>
      </c>
      <c r="E37" s="200" t="n">
        <f aca="false">E4</f>
        <v>0.02</v>
      </c>
      <c r="F37" s="184" t="n">
        <v>0.05</v>
      </c>
      <c r="G37" s="184" t="n">
        <v>0.1</v>
      </c>
      <c r="H37" s="184" t="n">
        <v>0.15</v>
      </c>
      <c r="I37" s="184" t="n">
        <v>0.2</v>
      </c>
    </row>
    <row r="38" customFormat="false" ht="18.75" hidden="false" customHeight="false" outlineLevel="0" collapsed="false">
      <c r="B38" s="25"/>
      <c r="C38" s="84" t="s">
        <v>112</v>
      </c>
      <c r="D38" s="56" t="n">
        <f aca="false">D29</f>
        <v>8780</v>
      </c>
      <c r="E38" s="185" t="n">
        <f aca="false">E29</f>
        <v>6448.56590719756</v>
      </c>
      <c r="F38" s="185" t="n">
        <f aca="false">F29</f>
        <v>3963.35240888305</v>
      </c>
      <c r="G38" s="56" t="n">
        <f aca="false">G29</f>
        <v>1440.16721692572</v>
      </c>
      <c r="H38" s="56" t="n">
        <f aca="false">H29</f>
        <v>-0.287188286754251</v>
      </c>
      <c r="I38" s="56" t="n">
        <f aca="false">I29</f>
        <v>-888.338550308161</v>
      </c>
      <c r="AV38" s="199" t="s">
        <v>508</v>
      </c>
    </row>
    <row r="39" customFormat="false" ht="18.75" hidden="false" customHeight="false" outlineLevel="0" collapsed="false">
      <c r="B39" s="25"/>
      <c r="C39" s="84" t="s">
        <v>176</v>
      </c>
      <c r="D39" s="56" t="n">
        <f aca="false">M29</f>
        <v>6200</v>
      </c>
      <c r="E39" s="56" t="n">
        <f aca="false">N29</f>
        <v>4704.08767128482</v>
      </c>
      <c r="F39" s="56" t="n">
        <f aca="false">O29</f>
        <v>3109.50624044139</v>
      </c>
      <c r="G39" s="185" t="n">
        <f aca="false">P29</f>
        <v>1490.56112510101</v>
      </c>
      <c r="H39" s="185" t="n">
        <f aca="false">Q29</f>
        <v>566.325904229156</v>
      </c>
      <c r="I39" s="56" t="n">
        <f aca="false">R29</f>
        <v>-0.000156514541769681</v>
      </c>
      <c r="AV39" s="199" t="s">
        <v>509</v>
      </c>
    </row>
    <row r="40" customFormat="false" ht="15.75" hidden="false" customHeight="false" outlineLevel="0" collapsed="false">
      <c r="B40" s="25"/>
      <c r="C40" s="84" t="s">
        <v>184</v>
      </c>
      <c r="D40" s="185" t="n">
        <f aca="false">U29</f>
        <v>9220</v>
      </c>
      <c r="E40" s="56" t="n">
        <f aca="false">V29</f>
        <v>6443.4407752384</v>
      </c>
      <c r="F40" s="56" t="n">
        <f aca="false">W29</f>
        <v>3483.74207067293</v>
      </c>
      <c r="G40" s="56" t="n">
        <f aca="false">X29</f>
        <v>478.821990736263</v>
      </c>
      <c r="H40" s="56" t="n">
        <f aca="false">Y29</f>
        <v>-1236.64874849174</v>
      </c>
      <c r="I40" s="56" t="n">
        <f aca="false">Z29</f>
        <v>-2294.24982282396</v>
      </c>
    </row>
    <row r="41" customFormat="false" ht="18.75" hidden="false" customHeight="false" outlineLevel="0" collapsed="false">
      <c r="C41" s="84" t="s">
        <v>510</v>
      </c>
      <c r="D41" s="161" t="n">
        <f aca="false">AC29</f>
        <v>1340</v>
      </c>
      <c r="E41" s="161" t="n">
        <f aca="false">AD29</f>
        <v>913.117701317862</v>
      </c>
      <c r="F41" s="161" t="n">
        <f aca="false">AE29</f>
        <v>458.078610077178</v>
      </c>
      <c r="G41" s="161" t="n">
        <f aca="false">AF29</f>
        <v>-3.91304478824872</v>
      </c>
      <c r="H41" s="161" t="n">
        <f aca="false">AG29</f>
        <v>-267.658217573631</v>
      </c>
      <c r="I41" s="161" t="n">
        <f aca="false">AH29</f>
        <v>-430.259171183184</v>
      </c>
      <c r="AV41" s="199" t="s">
        <v>511</v>
      </c>
    </row>
    <row r="42" customFormat="false" ht="15" hidden="false" customHeight="false" outlineLevel="0" collapsed="false">
      <c r="B42" s="167"/>
      <c r="C42" s="84" t="s">
        <v>512</v>
      </c>
      <c r="D42" s="56" t="n">
        <f aca="false">AK29</f>
        <v>6700</v>
      </c>
      <c r="E42" s="56" t="n">
        <f aca="false">AL29</f>
        <v>3835.87517550873</v>
      </c>
      <c r="F42" s="56" t="n">
        <f aca="false">AM29</f>
        <v>782.835118893886</v>
      </c>
      <c r="G42" s="56" t="n">
        <f aca="false">AN29</f>
        <v>-2316.85247998953</v>
      </c>
      <c r="H42" s="56" t="n">
        <f aca="false">AO29</f>
        <v>-4086.42479312223</v>
      </c>
      <c r="I42" s="56" t="n">
        <f aca="false">AP29</f>
        <v>-5177.37990922051</v>
      </c>
    </row>
    <row r="43" customFormat="false" ht="15" hidden="false" customHeight="false" outlineLevel="0" collapsed="false">
      <c r="C43" s="182" t="s">
        <v>513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</row>
    <row r="44" customFormat="false" ht="15.75" hidden="false" customHeight="false" outlineLevel="0" collapsed="false">
      <c r="D44" s="186"/>
      <c r="E44" s="186"/>
      <c r="AU44" s="199"/>
      <c r="AV44" s="201" t="s">
        <v>514</v>
      </c>
      <c r="AW44" s="202"/>
      <c r="AX44" s="202"/>
      <c r="AY44" s="202"/>
      <c r="AZ44" s="202"/>
      <c r="BA44" s="202"/>
      <c r="BB44" s="202"/>
    </row>
    <row r="45" customFormat="false" ht="15.75" hidden="false" customHeight="false" outlineLevel="0" collapsed="false">
      <c r="C45" s="186" t="s">
        <v>481</v>
      </c>
      <c r="AV45" s="203" t="s">
        <v>515</v>
      </c>
      <c r="AW45" s="204" t="n">
        <v>0</v>
      </c>
      <c r="AX45" s="204" t="s">
        <v>516</v>
      </c>
      <c r="AY45" s="204" t="n">
        <v>1.97</v>
      </c>
      <c r="AZ45" s="205"/>
      <c r="BA45" s="205" t="s">
        <v>517</v>
      </c>
      <c r="BB45" s="205"/>
    </row>
    <row r="46" customFormat="false" ht="15.75" hidden="false" customHeight="false" outlineLevel="0" collapsed="false">
      <c r="AV46" s="206" t="s">
        <v>515</v>
      </c>
      <c r="AW46" s="207" t="n">
        <v>1.97</v>
      </c>
      <c r="AX46" s="204" t="s">
        <v>516</v>
      </c>
      <c r="AY46" s="207" t="n">
        <v>9.63</v>
      </c>
      <c r="AZ46" s="208"/>
      <c r="BA46" s="208" t="s">
        <v>518</v>
      </c>
      <c r="BB46" s="208"/>
    </row>
    <row r="47" customFormat="false" ht="15.75" hidden="false" customHeight="false" outlineLevel="0" collapsed="false">
      <c r="C47" s="0" t="s">
        <v>519</v>
      </c>
      <c r="AV47" s="206" t="s">
        <v>515</v>
      </c>
      <c r="AW47" s="207" t="n">
        <v>9.63</v>
      </c>
      <c r="AX47" s="204" t="s">
        <v>516</v>
      </c>
      <c r="AY47" s="207" t="s">
        <v>520</v>
      </c>
      <c r="AZ47" s="208"/>
      <c r="BA47" s="208" t="s">
        <v>521</v>
      </c>
      <c r="BB47" s="208"/>
    </row>
    <row r="48" customFormat="false" ht="15.75" hidden="false" customHeight="false" outlineLevel="0" collapsed="false">
      <c r="C48" s="0" t="s">
        <v>522</v>
      </c>
      <c r="AV48" s="209" t="s">
        <v>523</v>
      </c>
      <c r="AW48" s="210" t="n">
        <v>19.96</v>
      </c>
      <c r="AX48" s="211" t="s">
        <v>516</v>
      </c>
      <c r="AY48" s="211"/>
      <c r="AZ48" s="212"/>
      <c r="BA48" s="212" t="s">
        <v>513</v>
      </c>
      <c r="BB48" s="212"/>
    </row>
    <row r="49" customFormat="false" ht="15" hidden="false" customHeight="false" outlineLevel="0" collapsed="false">
      <c r="C49" s="0" t="s">
        <v>524</v>
      </c>
    </row>
    <row r="50" customFormat="false" ht="15" hidden="false" customHeight="false" outlineLevel="0" collapsed="false">
      <c r="C50" s="0" t="s">
        <v>525</v>
      </c>
    </row>
    <row r="53" customFormat="false" ht="15" hidden="false" customHeight="false" outlineLevel="0" collapsed="false">
      <c r="C53" s="0" t="s">
        <v>526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47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L4" activeCellId="0" sqref="L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4.42"/>
    <col collapsed="false" customWidth="true" hidden="false" outlineLevel="0" max="3" min="3" style="0" width="8"/>
    <col collapsed="false" customWidth="true" hidden="false" outlineLevel="0" max="4" min="4" style="0" width="8.86"/>
    <col collapsed="false" customWidth="true" hidden="false" outlineLevel="0" max="7" min="5" style="0" width="7.71"/>
    <col collapsed="false" customWidth="true" hidden="false" outlineLevel="0" max="9" min="9" style="0" width="3.86"/>
    <col collapsed="false" customWidth="true" hidden="false" outlineLevel="0" max="10" min="10" style="0" width="4"/>
    <col collapsed="false" customWidth="true" hidden="false" outlineLevel="0" max="11" min="11" style="0" width="3.29"/>
  </cols>
  <sheetData>
    <row r="2" customFormat="false" ht="15" hidden="false" customHeight="false" outlineLevel="0" collapsed="false">
      <c r="B2" s="5" t="s">
        <v>487</v>
      </c>
      <c r="C2" s="5"/>
      <c r="D2" s="5"/>
      <c r="E2" s="5"/>
      <c r="F2" s="5"/>
      <c r="G2" s="5"/>
      <c r="H2" s="27"/>
    </row>
    <row r="3" customFormat="false" ht="15" hidden="false" customHeight="false" outlineLevel="0" collapsed="false">
      <c r="D3" s="0" t="s">
        <v>527</v>
      </c>
    </row>
    <row r="4" customFormat="false" ht="15" hidden="false" customHeight="false" outlineLevel="0" collapsed="false">
      <c r="B4" s="0" t="s">
        <v>0</v>
      </c>
      <c r="C4" s="34" t="n">
        <v>0</v>
      </c>
      <c r="D4" s="34" t="n">
        <v>0.05</v>
      </c>
      <c r="E4" s="34" t="n">
        <v>0.1</v>
      </c>
      <c r="F4" s="34" t="n">
        <v>0.15</v>
      </c>
      <c r="G4" s="34" t="n">
        <v>0.2</v>
      </c>
      <c r="H4" s="34"/>
    </row>
    <row r="6" customFormat="false" ht="15" hidden="false" customHeight="false" outlineLevel="0" collapsed="false">
      <c r="A6" s="5" t="s">
        <v>33</v>
      </c>
      <c r="B6" s="81" t="s">
        <v>528</v>
      </c>
      <c r="C6" s="53" t="s">
        <v>393</v>
      </c>
      <c r="D6" s="53"/>
      <c r="E6" s="53"/>
      <c r="F6" s="53"/>
      <c r="G6" s="53"/>
      <c r="H6" s="46"/>
    </row>
    <row r="7" customFormat="false" ht="15" hidden="false" customHeight="false" outlineLevel="0" collapsed="false">
      <c r="A7" s="4" t="n">
        <v>0</v>
      </c>
      <c r="B7" s="84" t="n">
        <v>-4000</v>
      </c>
      <c r="C7" s="36" t="n">
        <f aca="false">B7/(1+C$4)^$A7</f>
        <v>-4000</v>
      </c>
      <c r="D7" s="36" t="n">
        <f aca="false">C7/(1+D$4)^$A7</f>
        <v>-4000</v>
      </c>
      <c r="E7" s="36" t="n">
        <f aca="false">D7/(1+E$4)^$A7</f>
        <v>-4000</v>
      </c>
      <c r="F7" s="36" t="n">
        <f aca="false">E7/(1+F$4)^$A7</f>
        <v>-4000</v>
      </c>
      <c r="G7" s="36" t="n">
        <f aca="false">F7/(1+G$4)^$A7</f>
        <v>-4000</v>
      </c>
      <c r="H7" s="36"/>
    </row>
    <row r="8" customFormat="false" ht="15" hidden="false" customHeight="false" outlineLevel="0" collapsed="false">
      <c r="A8" s="4" t="n">
        <v>1</v>
      </c>
      <c r="B8" s="194" t="n">
        <v>639</v>
      </c>
      <c r="C8" s="36" t="n">
        <f aca="false">$B8/(1+C$4)^$A8</f>
        <v>639</v>
      </c>
      <c r="D8" s="36" t="n">
        <f aca="false">$B8/(1+D$4)^$A8</f>
        <v>608.571428571429</v>
      </c>
      <c r="E8" s="36" t="n">
        <f aca="false">$B8/(1+E$4)^$A8</f>
        <v>580.909090909091</v>
      </c>
      <c r="F8" s="36" t="n">
        <f aca="false">$B8/(1+F$4)^$A8</f>
        <v>555.652173913044</v>
      </c>
      <c r="G8" s="36" t="n">
        <f aca="false">$B8/(1+G$4)^$A8</f>
        <v>532.5</v>
      </c>
      <c r="H8" s="36"/>
    </row>
    <row r="9" customFormat="false" ht="15" hidden="false" customHeight="false" outlineLevel="0" collapsed="false">
      <c r="A9" s="4" t="n">
        <v>2</v>
      </c>
      <c r="B9" s="194" t="n">
        <f aca="false">B8</f>
        <v>639</v>
      </c>
      <c r="C9" s="36" t="n">
        <f aca="false">$B9/(1+C$4)^$A9</f>
        <v>639</v>
      </c>
      <c r="D9" s="36" t="n">
        <f aca="false">$B9/(1+D$4)^$A9</f>
        <v>579.591836734694</v>
      </c>
      <c r="E9" s="36" t="n">
        <f aca="false">$B9/(1+E$4)^$A9</f>
        <v>528.099173553719</v>
      </c>
      <c r="F9" s="36" t="n">
        <f aca="false">$B9/(1+F$4)^$A9</f>
        <v>483.175803402647</v>
      </c>
      <c r="G9" s="36" t="n">
        <f aca="false">$B9/(1+G$4)^$A9</f>
        <v>443.75</v>
      </c>
      <c r="H9" s="36"/>
    </row>
    <row r="10" customFormat="false" ht="15" hidden="false" customHeight="false" outlineLevel="0" collapsed="false">
      <c r="A10" s="4" t="n">
        <v>3</v>
      </c>
      <c r="B10" s="194" t="n">
        <f aca="false">B9</f>
        <v>639</v>
      </c>
      <c r="C10" s="36" t="n">
        <f aca="false">$B10/(1+C$4)^$A10</f>
        <v>639</v>
      </c>
      <c r="D10" s="36" t="n">
        <f aca="false">$B10/(1+D$4)^$A10</f>
        <v>551.992225461613</v>
      </c>
      <c r="E10" s="36" t="n">
        <f aca="false">$B10/(1+E$4)^$A10</f>
        <v>480.090157776108</v>
      </c>
      <c r="F10" s="36" t="n">
        <f aca="false">$B10/(1+F$4)^$A10</f>
        <v>420.152872524041</v>
      </c>
      <c r="G10" s="36" t="n">
        <f aca="false">$B10/(1+G$4)^$A10</f>
        <v>369.791666666667</v>
      </c>
      <c r="H10" s="36"/>
    </row>
    <row r="11" customFormat="false" ht="15" hidden="false" customHeight="false" outlineLevel="0" collapsed="false">
      <c r="A11" s="4" t="n">
        <v>4</v>
      </c>
      <c r="B11" s="194" t="n">
        <f aca="false">B10</f>
        <v>639</v>
      </c>
      <c r="C11" s="36" t="n">
        <f aca="false">$B11/(1+C$4)^$A11</f>
        <v>639</v>
      </c>
      <c r="D11" s="36" t="n">
        <f aca="false">$B11/(1+D$4)^$A11</f>
        <v>525.706881392013</v>
      </c>
      <c r="E11" s="36" t="n">
        <f aca="false">$B11/(1+E$4)^$A11</f>
        <v>436.44559797828</v>
      </c>
      <c r="F11" s="36" t="n">
        <f aca="false">$B11/(1+F$4)^$A11</f>
        <v>365.350323933948</v>
      </c>
      <c r="G11" s="36" t="n">
        <f aca="false">$B11/(1+G$4)^$A11</f>
        <v>308.159722222222</v>
      </c>
      <c r="H11" s="36"/>
    </row>
    <row r="12" customFormat="false" ht="15" hidden="false" customHeight="false" outlineLevel="0" collapsed="false">
      <c r="A12" s="4" t="n">
        <v>5</v>
      </c>
      <c r="B12" s="194" t="n">
        <f aca="false">B11-1000</f>
        <v>-361</v>
      </c>
      <c r="C12" s="36" t="n">
        <f aca="false">$B12/(1+C$4)^$A12</f>
        <v>-361</v>
      </c>
      <c r="D12" s="36" t="n">
        <f aca="false">$B12/(1+D$4)^$A12</f>
        <v>-282.852946095114</v>
      </c>
      <c r="E12" s="36" t="n">
        <f aca="false">$B12/(1+E$4)^$A12</f>
        <v>-224.152597624355</v>
      </c>
      <c r="F12" s="36" t="n">
        <f aca="false">$B12/(1+F$4)^$A12</f>
        <v>-179.480801442683</v>
      </c>
      <c r="G12" s="36" t="n">
        <f aca="false">$B12/(1+G$4)^$A12</f>
        <v>-145.077803497942</v>
      </c>
      <c r="H12" s="36"/>
    </row>
    <row r="13" customFormat="false" ht="15" hidden="false" customHeight="false" outlineLevel="0" collapsed="false">
      <c r="A13" s="4" t="n">
        <v>6</v>
      </c>
      <c r="B13" s="194" t="n">
        <f aca="false">B11</f>
        <v>639</v>
      </c>
      <c r="C13" s="36" t="n">
        <f aca="false">$B13/(1+C$4)^$A13</f>
        <v>639</v>
      </c>
      <c r="D13" s="36" t="n">
        <f aca="false">$B13/(1+D$4)^$A13</f>
        <v>476.831638450805</v>
      </c>
      <c r="E13" s="36" t="n">
        <f aca="false">$B13/(1+E$4)^$A13</f>
        <v>360.698841304364</v>
      </c>
      <c r="F13" s="36" t="n">
        <f aca="false">$B13/(1+F$4)^$A13</f>
        <v>276.257333787485</v>
      </c>
      <c r="G13" s="36" t="n">
        <f aca="false">$B13/(1+G$4)^$A13</f>
        <v>213.999807098765</v>
      </c>
      <c r="H13" s="36"/>
    </row>
    <row r="14" customFormat="false" ht="15" hidden="false" customHeight="false" outlineLevel="0" collapsed="false">
      <c r="A14" s="4" t="n">
        <v>7</v>
      </c>
      <c r="B14" s="194" t="n">
        <f aca="false">B13</f>
        <v>639</v>
      </c>
      <c r="C14" s="36" t="n">
        <f aca="false">$B14/(1+C$4)^$A14</f>
        <v>639</v>
      </c>
      <c r="D14" s="36" t="n">
        <f aca="false">$B14/(1+D$4)^$A14</f>
        <v>454.125369953148</v>
      </c>
      <c r="E14" s="36" t="n">
        <f aca="false">$B14/(1+E$4)^$A14</f>
        <v>327.908037549421</v>
      </c>
      <c r="F14" s="36" t="n">
        <f aca="false">$B14/(1+F$4)^$A14</f>
        <v>240.223768510856</v>
      </c>
      <c r="G14" s="36" t="n">
        <f aca="false">$B14/(1+G$4)^$A14</f>
        <v>178.333172582305</v>
      </c>
      <c r="H14" s="36"/>
    </row>
    <row r="15" customFormat="false" ht="15" hidden="false" customHeight="false" outlineLevel="0" collapsed="false">
      <c r="A15" s="4" t="n">
        <v>8</v>
      </c>
      <c r="B15" s="194" t="n">
        <f aca="false">B14</f>
        <v>639</v>
      </c>
      <c r="C15" s="36" t="n">
        <f aca="false">$B15/(1+C$4)^$A15</f>
        <v>639</v>
      </c>
      <c r="D15" s="36" t="n">
        <f aca="false">$B15/(1+D$4)^$A15</f>
        <v>432.500352336331</v>
      </c>
      <c r="E15" s="36" t="n">
        <f aca="false">$B15/(1+E$4)^$A15</f>
        <v>298.098215954019</v>
      </c>
      <c r="F15" s="36" t="n">
        <f aca="false">$B15/(1+F$4)^$A15</f>
        <v>208.890233487701</v>
      </c>
      <c r="G15" s="36" t="n">
        <f aca="false">$B15/(1+G$4)^$A15</f>
        <v>148.61097715192</v>
      </c>
      <c r="H15" s="36"/>
    </row>
    <row r="16" customFormat="false" ht="15" hidden="false" customHeight="false" outlineLevel="0" collapsed="false">
      <c r="A16" s="4" t="n">
        <v>9</v>
      </c>
      <c r="B16" s="194" t="n">
        <f aca="false">B15</f>
        <v>639</v>
      </c>
      <c r="C16" s="36" t="n">
        <f aca="false">$B16/(1+C$4)^$A16</f>
        <v>639</v>
      </c>
      <c r="D16" s="36" t="n">
        <f aca="false">$B16/(1+D$4)^$A16</f>
        <v>411.905097463172</v>
      </c>
      <c r="E16" s="36" t="n">
        <f aca="false">$B16/(1+E$4)^$A16</f>
        <v>270.998378140018</v>
      </c>
      <c r="F16" s="36" t="n">
        <f aca="false">$B16/(1+F$4)^$A16</f>
        <v>181.643681293653</v>
      </c>
      <c r="G16" s="36" t="n">
        <f aca="false">$B16/(1+G$4)^$A16</f>
        <v>123.842480959934</v>
      </c>
      <c r="H16" s="36"/>
    </row>
    <row r="17" customFormat="false" ht="15" hidden="false" customHeight="false" outlineLevel="0" collapsed="false">
      <c r="A17" s="4" t="n">
        <v>10</v>
      </c>
      <c r="B17" s="194" t="n">
        <f aca="false">B16-1000</f>
        <v>-361</v>
      </c>
      <c r="C17" s="36" t="n">
        <f aca="false">$B17/(1+C$4)^$A17</f>
        <v>-361</v>
      </c>
      <c r="D17" s="36" t="n">
        <f aca="false">$B17/(1+D$4)^$A17</f>
        <v>-221.622684528214</v>
      </c>
      <c r="E17" s="36" t="n">
        <f aca="false">$B17/(1+E$4)^$A17</f>
        <v>-139.181127484061</v>
      </c>
      <c r="F17" s="36" t="n">
        <f aca="false">$B17/(1+F$4)^$A17</f>
        <v>-89.2336789099936</v>
      </c>
      <c r="G17" s="36" t="n">
        <f aca="false">$B17/(1+G$4)^$A17</f>
        <v>-58.3035154232343</v>
      </c>
      <c r="H17" s="36"/>
    </row>
    <row r="18" customFormat="false" ht="15" hidden="false" customHeight="false" outlineLevel="0" collapsed="false">
      <c r="A18" s="4" t="n">
        <v>11</v>
      </c>
      <c r="B18" s="194" t="n">
        <f aca="false">B16</f>
        <v>639</v>
      </c>
      <c r="C18" s="36" t="n">
        <f aca="false">$B18/(1+C$4)^$A18</f>
        <v>639</v>
      </c>
      <c r="D18" s="36" t="n">
        <f aca="false">$B18/(1+D$4)^$A18</f>
        <v>373.610065726233</v>
      </c>
      <c r="E18" s="36" t="n">
        <f aca="false">$B18/(1+E$4)^$A18</f>
        <v>223.96560176861</v>
      </c>
      <c r="F18" s="36" t="n">
        <f aca="false">$B18/(1+F$4)^$A18</f>
        <v>137.348719314672</v>
      </c>
      <c r="G18" s="36" t="n">
        <f aca="false">$B18/(1+G$4)^$A18</f>
        <v>86.0017228888429</v>
      </c>
      <c r="H18" s="36"/>
    </row>
    <row r="19" customFormat="false" ht="15" hidden="false" customHeight="false" outlineLevel="0" collapsed="false">
      <c r="A19" s="4" t="n">
        <v>12</v>
      </c>
      <c r="B19" s="194" t="n">
        <f aca="false">B18</f>
        <v>639</v>
      </c>
      <c r="C19" s="36" t="n">
        <f aca="false">$B19/(1+C$4)^$A19</f>
        <v>639</v>
      </c>
      <c r="D19" s="36" t="n">
        <f aca="false">$B19/(1+D$4)^$A19</f>
        <v>355.81911021546</v>
      </c>
      <c r="E19" s="36" t="n">
        <f aca="false">$B19/(1+E$4)^$A19</f>
        <v>203.605092516918</v>
      </c>
      <c r="F19" s="36" t="n">
        <f aca="false">$B19/(1+F$4)^$A19</f>
        <v>119.43366896928</v>
      </c>
      <c r="G19" s="36" t="n">
        <f aca="false">$B19/(1+G$4)^$A19</f>
        <v>71.6681024073691</v>
      </c>
      <c r="H19" s="36"/>
    </row>
    <row r="20" customFormat="false" ht="15" hidden="false" customHeight="false" outlineLevel="0" collapsed="false">
      <c r="A20" s="4" t="n">
        <v>13</v>
      </c>
      <c r="B20" s="194" t="n">
        <f aca="false">B19</f>
        <v>639</v>
      </c>
      <c r="C20" s="36" t="n">
        <f aca="false">$B20/(1+C$4)^$A20</f>
        <v>639</v>
      </c>
      <c r="D20" s="36" t="n">
        <f aca="false">$B20/(1+D$4)^$A20</f>
        <v>338.875343062343</v>
      </c>
      <c r="E20" s="36" t="n">
        <f aca="false">$B20/(1+E$4)^$A20</f>
        <v>185.095538651743</v>
      </c>
      <c r="F20" s="36" t="n">
        <f aca="false">$B20/(1+F$4)^$A20</f>
        <v>103.855364321113</v>
      </c>
      <c r="G20" s="36" t="n">
        <f aca="false">$B20/(1+G$4)^$A20</f>
        <v>59.7234186728076</v>
      </c>
      <c r="H20" s="36"/>
    </row>
    <row r="21" customFormat="false" ht="15" hidden="false" customHeight="false" outlineLevel="0" collapsed="false">
      <c r="A21" s="4" t="n">
        <v>14</v>
      </c>
      <c r="B21" s="194" t="n">
        <f aca="false">B20</f>
        <v>639</v>
      </c>
      <c r="C21" s="36" t="n">
        <f aca="false">$B21/(1+C$4)^$A21</f>
        <v>639</v>
      </c>
      <c r="D21" s="36" t="n">
        <f aca="false">$B21/(1+D$4)^$A21</f>
        <v>322.738421964136</v>
      </c>
      <c r="E21" s="36" t="n">
        <f aca="false">$B21/(1+E$4)^$A21</f>
        <v>168.268671501585</v>
      </c>
      <c r="F21" s="36" t="n">
        <f aca="false">$B21/(1+F$4)^$A21</f>
        <v>90.3090124531415</v>
      </c>
      <c r="G21" s="36" t="n">
        <f aca="false">$B21/(1+G$4)^$A21</f>
        <v>49.769515560673</v>
      </c>
      <c r="H21" s="36"/>
    </row>
    <row r="22" customFormat="false" ht="15" hidden="false" customHeight="false" outlineLevel="0" collapsed="false">
      <c r="A22" s="4" t="n">
        <v>15</v>
      </c>
      <c r="B22" s="194" t="n">
        <f aca="false">B21-1000</f>
        <v>-361</v>
      </c>
      <c r="C22" s="36" t="n">
        <f aca="false">$B22/(1+C$4)^$A22</f>
        <v>-361</v>
      </c>
      <c r="D22" s="36" t="n">
        <f aca="false">$B22/(1+D$4)^$A22</f>
        <v>-173.64717241084</v>
      </c>
      <c r="E22" s="36" t="n">
        <f aca="false">$B22/(1+E$4)^$A22</f>
        <v>-86.420529822268</v>
      </c>
      <c r="F22" s="36" t="n">
        <f aca="false">$B22/(1+F$4)^$A22</f>
        <v>-44.3649091591265</v>
      </c>
      <c r="G22" s="36" t="n">
        <f aca="false">$B22/(1+G$4)^$A22</f>
        <v>-23.4308752183137</v>
      </c>
      <c r="H22" s="36"/>
    </row>
    <row r="23" customFormat="false" ht="15" hidden="false" customHeight="false" outlineLevel="0" collapsed="false">
      <c r="A23" s="4" t="n">
        <v>16</v>
      </c>
      <c r="B23" s="194" t="n">
        <f aca="false">B21</f>
        <v>639</v>
      </c>
      <c r="C23" s="36" t="n">
        <f aca="false">$B23/(1+C$4)^$A23</f>
        <v>639</v>
      </c>
      <c r="D23" s="36" t="n">
        <f aca="false">$B23/(1+D$4)^$A23</f>
        <v>292.733262552505</v>
      </c>
      <c r="E23" s="36" t="n">
        <f aca="false">$B23/(1+E$4)^$A23</f>
        <v>139.065017769905</v>
      </c>
      <c r="F23" s="36" t="n">
        <f aca="false">$B23/(1+F$4)^$A23</f>
        <v>68.2865878662696</v>
      </c>
      <c r="G23" s="36" t="n">
        <f aca="false">$B23/(1+G$4)^$A23</f>
        <v>34.5621635838007</v>
      </c>
      <c r="H23" s="36"/>
    </row>
    <row r="24" customFormat="false" ht="15" hidden="false" customHeight="false" outlineLevel="0" collapsed="false">
      <c r="A24" s="4" t="n">
        <v>17</v>
      </c>
      <c r="B24" s="194" t="n">
        <f aca="false">B23</f>
        <v>639</v>
      </c>
      <c r="C24" s="36" t="n">
        <f aca="false">$B24/(1+C$4)^$A24</f>
        <v>639</v>
      </c>
      <c r="D24" s="36" t="n">
        <f aca="false">$B24/(1+D$4)^$A24</f>
        <v>278.793583383338</v>
      </c>
      <c r="E24" s="36" t="n">
        <f aca="false">$B24/(1+E$4)^$A24</f>
        <v>126.422743427186</v>
      </c>
      <c r="F24" s="36" t="n">
        <f aca="false">$B24/(1+F$4)^$A24</f>
        <v>59.3796416228431</v>
      </c>
      <c r="G24" s="36" t="n">
        <f aca="false">$B24/(1+G$4)^$A24</f>
        <v>28.8018029865006</v>
      </c>
      <c r="H24" s="36"/>
    </row>
    <row r="25" customFormat="false" ht="15" hidden="false" customHeight="false" outlineLevel="0" collapsed="false">
      <c r="A25" s="4" t="n">
        <v>18</v>
      </c>
      <c r="B25" s="194" t="n">
        <f aca="false">B24</f>
        <v>639</v>
      </c>
      <c r="C25" s="36" t="n">
        <f aca="false">$B25/(1+C$4)^$A25</f>
        <v>639</v>
      </c>
      <c r="D25" s="36" t="n">
        <f aca="false">$B25/(1+D$4)^$A25</f>
        <v>265.517698460322</v>
      </c>
      <c r="E25" s="36" t="n">
        <f aca="false">$B25/(1+E$4)^$A25</f>
        <v>114.929766751987</v>
      </c>
      <c r="F25" s="36" t="n">
        <f aca="false">$B25/(1+F$4)^$A25</f>
        <v>51.6344709763853</v>
      </c>
      <c r="G25" s="36" t="n">
        <f aca="false">$B25/(1+G$4)^$A25</f>
        <v>24.0015024887505</v>
      </c>
      <c r="H25" s="36"/>
    </row>
    <row r="26" customFormat="false" ht="15" hidden="false" customHeight="false" outlineLevel="0" collapsed="false">
      <c r="A26" s="4" t="n">
        <v>19</v>
      </c>
      <c r="B26" s="194" t="n">
        <f aca="false">B25</f>
        <v>639</v>
      </c>
      <c r="C26" s="36" t="n">
        <f aca="false">$B26/(1+C$4)^$A26</f>
        <v>639</v>
      </c>
      <c r="D26" s="36" t="n">
        <f aca="false">$B26/(1+D$4)^$A26</f>
        <v>252.87399853364</v>
      </c>
      <c r="E26" s="36" t="n">
        <f aca="false">$B26/(1+E$4)^$A26</f>
        <v>104.48160613817</v>
      </c>
      <c r="F26" s="36" t="n">
        <f aca="false">$B26/(1+F$4)^$A26</f>
        <v>44.8995399794655</v>
      </c>
      <c r="G26" s="36" t="n">
        <f aca="false">$B26/(1+G$4)^$A26</f>
        <v>20.0012520739587</v>
      </c>
      <c r="H26" s="36"/>
    </row>
    <row r="27" customFormat="false" ht="15" hidden="false" customHeight="false" outlineLevel="0" collapsed="false">
      <c r="A27" s="4" t="n">
        <v>20</v>
      </c>
      <c r="B27" s="194" t="n">
        <f aca="false">B26-1000</f>
        <v>-361</v>
      </c>
      <c r="C27" s="36" t="n">
        <f aca="false">$B27/(1+C$4)^$A27</f>
        <v>-361</v>
      </c>
      <c r="D27" s="36" t="n">
        <f aca="false">$B27/(1+D$4)^$A27</f>
        <v>-136.057103317153</v>
      </c>
      <c r="E27" s="36" t="n">
        <f aca="false">$B27/(1+E$4)^$A27</f>
        <v>-53.6603497167158</v>
      </c>
      <c r="F27" s="36" t="n">
        <f aca="false">$B27/(1+F$4)^$A27</f>
        <v>-22.0572006975397</v>
      </c>
      <c r="G27" s="36" t="n">
        <f aca="false">$B27/(1+G$4)^$A27</f>
        <v>-9.41634324295657</v>
      </c>
      <c r="H27" s="36"/>
    </row>
    <row r="28" customFormat="false" ht="15" hidden="false" customHeight="false" outlineLevel="0" collapsed="false">
      <c r="A28" s="4" t="n">
        <v>21</v>
      </c>
      <c r="B28" s="194" t="n">
        <f aca="false">B26</f>
        <v>639</v>
      </c>
      <c r="C28" s="36" t="n">
        <f aca="false">$B28/(1+C$4)^$A28</f>
        <v>639</v>
      </c>
      <c r="D28" s="36" t="n">
        <f aca="false">$B28/(1+D$4)^$A28</f>
        <v>229.364171005569</v>
      </c>
      <c r="E28" s="36" t="n">
        <f aca="false">$B28/(1+E$4)^$A28</f>
        <v>86.3484348249342</v>
      </c>
      <c r="F28" s="36" t="n">
        <f aca="false">$B28/(1+F$4)^$A28</f>
        <v>33.9505028200117</v>
      </c>
      <c r="G28" s="36" t="n">
        <f aca="false">$B28/(1+G$4)^$A28</f>
        <v>13.8897583846936</v>
      </c>
      <c r="H28" s="36"/>
    </row>
    <row r="29" customFormat="false" ht="15" hidden="false" customHeight="false" outlineLevel="0" collapsed="false">
      <c r="A29" s="4" t="n">
        <v>22</v>
      </c>
      <c r="B29" s="194" t="n">
        <f aca="false">B28</f>
        <v>639</v>
      </c>
      <c r="C29" s="36" t="n">
        <f aca="false">$B29/(1+C$4)^$A29</f>
        <v>639</v>
      </c>
      <c r="D29" s="36" t="n">
        <f aca="false">$B29/(1+D$4)^$A29</f>
        <v>218.442067624351</v>
      </c>
      <c r="E29" s="36" t="n">
        <f aca="false">$B29/(1+E$4)^$A29</f>
        <v>78.4985771135766</v>
      </c>
      <c r="F29" s="36" t="n">
        <f aca="false">$B29/(1+F$4)^$A29</f>
        <v>29.5221763652276</v>
      </c>
      <c r="G29" s="36" t="n">
        <f aca="false">$B29/(1+G$4)^$A29</f>
        <v>11.5747986539113</v>
      </c>
      <c r="H29" s="36"/>
    </row>
    <row r="30" customFormat="false" ht="15" hidden="false" customHeight="false" outlineLevel="0" collapsed="false">
      <c r="A30" s="4" t="n">
        <v>23</v>
      </c>
      <c r="B30" s="194" t="n">
        <f aca="false">B29</f>
        <v>639</v>
      </c>
      <c r="C30" s="36" t="n">
        <f aca="false">$B30/(1+C$4)^$A30</f>
        <v>639</v>
      </c>
      <c r="D30" s="36" t="n">
        <f aca="false">$B30/(1+D$4)^$A30</f>
        <v>208.040064404144</v>
      </c>
      <c r="E30" s="36" t="n">
        <f aca="false">$B30/(1+E$4)^$A30</f>
        <v>71.3623428305241</v>
      </c>
      <c r="F30" s="36" t="n">
        <f aca="false">$B30/(1+F$4)^$A30</f>
        <v>25.6714577088936</v>
      </c>
      <c r="G30" s="36" t="n">
        <f aca="false">$B30/(1+G$4)^$A30</f>
        <v>9.64566554492609</v>
      </c>
      <c r="H30" s="36"/>
    </row>
    <row r="31" customFormat="false" ht="15" hidden="false" customHeight="false" outlineLevel="0" collapsed="false">
      <c r="A31" s="4" t="n">
        <v>24</v>
      </c>
      <c r="B31" s="194" t="n">
        <f aca="false">B30</f>
        <v>639</v>
      </c>
      <c r="C31" s="36" t="n">
        <f aca="false">$B31/(1+C$4)^$A31</f>
        <v>639</v>
      </c>
      <c r="D31" s="36" t="n">
        <f aca="false">$B31/(1+D$4)^$A31</f>
        <v>198.133394670613</v>
      </c>
      <c r="E31" s="36" t="n">
        <f aca="false">$B31/(1+E$4)^$A31</f>
        <v>64.8748571186583</v>
      </c>
      <c r="F31" s="36" t="n">
        <f aca="false">$B31/(1+F$4)^$A31</f>
        <v>22.3230067033857</v>
      </c>
      <c r="G31" s="36" t="n">
        <f aca="false">$B31/(1+G$4)^$A31</f>
        <v>8.03805462077174</v>
      </c>
      <c r="H31" s="36"/>
    </row>
    <row r="32" customFormat="false" ht="15" hidden="false" customHeight="false" outlineLevel="0" collapsed="false">
      <c r="A32" s="4" t="n">
        <v>25</v>
      </c>
      <c r="B32" s="194" t="n">
        <f aca="false">B31-5000</f>
        <v>-4361</v>
      </c>
      <c r="C32" s="36" t="n">
        <f aca="false">$B32/(1+C$4)^$A32</f>
        <v>-4361</v>
      </c>
      <c r="D32" s="36" t="n">
        <f aca="false">$B32/(1+D$4)^$A32</f>
        <v>-1287.81538737394</v>
      </c>
      <c r="E32" s="36" t="n">
        <f aca="false">$B32/(1+E$4)^$A32</f>
        <v>-402.502848050176</v>
      </c>
      <c r="F32" s="36" t="n">
        <f aca="false">$B32/(1+F$4)^$A32</f>
        <v>-132.476875870538</v>
      </c>
      <c r="G32" s="36" t="n">
        <f aca="false">$B32/(1+G$4)^$A32</f>
        <v>-45.7146012013374</v>
      </c>
      <c r="H32" s="36"/>
    </row>
    <row r="33" customFormat="false" ht="15" hidden="false" customHeight="false" outlineLevel="0" collapsed="false">
      <c r="A33" s="4" t="n">
        <v>26</v>
      </c>
      <c r="B33" s="194" t="n">
        <f aca="false">B31</f>
        <v>639</v>
      </c>
      <c r="C33" s="36" t="n">
        <f aca="false">$B33/(1+C$4)^$A33</f>
        <v>639</v>
      </c>
      <c r="D33" s="36" t="n">
        <f aca="false">$B33/(1+D$4)^$A33</f>
        <v>179.712829633209</v>
      </c>
      <c r="E33" s="36" t="n">
        <f aca="false">$B33/(1+E$4)^$A33</f>
        <v>53.6155843955854</v>
      </c>
      <c r="F33" s="36" t="n">
        <f aca="false">$B33/(1+F$4)^$A33</f>
        <v>16.8794001537888</v>
      </c>
      <c r="G33" s="36" t="n">
        <f aca="false">$B33/(1+G$4)^$A33</f>
        <v>5.58198237553593</v>
      </c>
      <c r="H33" s="36"/>
    </row>
    <row r="34" customFormat="false" ht="15" hidden="false" customHeight="false" outlineLevel="0" collapsed="false">
      <c r="A34" s="4" t="n">
        <v>27</v>
      </c>
      <c r="B34" s="194" t="n">
        <f aca="false">B33</f>
        <v>639</v>
      </c>
      <c r="C34" s="36" t="n">
        <f aca="false">$B34/(1+C$4)^$A34</f>
        <v>639</v>
      </c>
      <c r="D34" s="36" t="n">
        <f aca="false">$B34/(1+D$4)^$A34</f>
        <v>171.155075841152</v>
      </c>
      <c r="E34" s="36" t="n">
        <f aca="false">$B34/(1+E$4)^$A34</f>
        <v>48.7414403596231</v>
      </c>
      <c r="F34" s="36" t="n">
        <f aca="false">$B34/(1+F$4)^$A34</f>
        <v>14.6777392641642</v>
      </c>
      <c r="G34" s="36" t="n">
        <f aca="false">$B34/(1+G$4)^$A34</f>
        <v>4.65165197961327</v>
      </c>
      <c r="H34" s="36"/>
    </row>
    <row r="35" customFormat="false" ht="15" hidden="false" customHeight="false" outlineLevel="0" collapsed="false">
      <c r="A35" s="4" t="n">
        <v>28</v>
      </c>
      <c r="B35" s="194" t="n">
        <f aca="false">B34</f>
        <v>639</v>
      </c>
      <c r="C35" s="36" t="n">
        <f aca="false">$B35/(1+C$4)^$A35</f>
        <v>639</v>
      </c>
      <c r="D35" s="36" t="n">
        <f aca="false">$B35/(1+D$4)^$A35</f>
        <v>163.00483413443</v>
      </c>
      <c r="E35" s="36" t="n">
        <f aca="false">$B35/(1+E$4)^$A35</f>
        <v>44.3104003269301</v>
      </c>
      <c r="F35" s="36" t="n">
        <f aca="false">$B35/(1+F$4)^$A35</f>
        <v>12.7632515340558</v>
      </c>
      <c r="G35" s="36" t="n">
        <f aca="false">$B35/(1+G$4)^$A35</f>
        <v>3.87637664967773</v>
      </c>
      <c r="H35" s="36"/>
    </row>
    <row r="36" customFormat="false" ht="15" hidden="false" customHeight="false" outlineLevel="0" collapsed="false">
      <c r="A36" s="4" t="n">
        <v>29</v>
      </c>
      <c r="B36" s="194" t="n">
        <f aca="false">B35</f>
        <v>639</v>
      </c>
      <c r="C36" s="36" t="n">
        <f aca="false">$B36/(1+C$4)^$A36</f>
        <v>639</v>
      </c>
      <c r="D36" s="36" t="n">
        <f aca="false">$B36/(1+D$4)^$A36</f>
        <v>155.242699175648</v>
      </c>
      <c r="E36" s="36" t="n">
        <f aca="false">$B36/(1+E$4)^$A36</f>
        <v>40.282182115391</v>
      </c>
      <c r="F36" s="36" t="n">
        <f aca="false">$B36/(1+F$4)^$A36</f>
        <v>11.0984795948311</v>
      </c>
      <c r="G36" s="36" t="n">
        <f aca="false">$B36/(1+G$4)^$A36</f>
        <v>3.23031387473144</v>
      </c>
      <c r="H36" s="36"/>
    </row>
    <row r="37" customFormat="false" ht="15" hidden="false" customHeight="false" outlineLevel="0" collapsed="false">
      <c r="A37" s="4" t="n">
        <v>30</v>
      </c>
      <c r="B37" s="194" t="n">
        <f aca="false">B36-10000</f>
        <v>-9361</v>
      </c>
      <c r="C37" s="36" t="n">
        <f aca="false">$B37/(1+C$4)^$A37</f>
        <v>-9361</v>
      </c>
      <c r="D37" s="36" t="n">
        <f aca="false">$B37/(1+D$4)^$A37</f>
        <v>-2165.92429686749</v>
      </c>
      <c r="E37" s="36" t="n">
        <f aca="false">$B37/(1+E$4)^$A37</f>
        <v>-536.465367452233</v>
      </c>
      <c r="F37" s="36" t="n">
        <f aca="false">$B37/(1+F$4)^$A37</f>
        <v>-141.379693117254</v>
      </c>
      <c r="G37" s="36" t="n">
        <f aca="false">$B37/(1+G$4)^$A37</f>
        <v>-39.4352741019314</v>
      </c>
      <c r="H37" s="36"/>
    </row>
    <row r="38" customFormat="false" ht="15" hidden="false" customHeight="false" outlineLevel="0" collapsed="false">
      <c r="B38" s="1"/>
      <c r="C38" s="1"/>
      <c r="D38" s="1"/>
      <c r="E38" s="1"/>
      <c r="F38" s="1"/>
      <c r="G38" s="1"/>
      <c r="H38" s="1"/>
    </row>
    <row r="39" customFormat="false" ht="15" hidden="false" customHeight="false" outlineLevel="0" collapsed="false">
      <c r="A39" s="0" t="s">
        <v>497</v>
      </c>
      <c r="C39" s="36" t="n">
        <f aca="false">SUM(C7:C27)</f>
        <v>4780</v>
      </c>
      <c r="D39" s="36" t="n">
        <f aca="false">SUM(D7:D27)</f>
        <v>1708.00640790986</v>
      </c>
      <c r="E39" s="36" t="n">
        <f aca="false">SUM(E7:E27)</f>
        <v>45.6669270437254</v>
      </c>
      <c r="F39" s="36" t="n">
        <f aca="false">SUM(F7:F27)</f>
        <v>-928.643393852799</v>
      </c>
      <c r="G39" s="36" t="n">
        <f aca="false">SUM(G7:G27)</f>
        <v>-1542.71123003793</v>
      </c>
      <c r="H39" s="36"/>
      <c r="I39" s="78"/>
      <c r="J39" s="36"/>
    </row>
    <row r="40" customFormat="false" ht="15" hidden="true" customHeight="false" outlineLevel="0" collapsed="false">
      <c r="A40" s="0" t="s">
        <v>469</v>
      </c>
      <c r="C40" s="180" t="n">
        <f aca="false">C8/-C7</f>
        <v>0.15975</v>
      </c>
      <c r="D40" s="180"/>
      <c r="E40" s="180"/>
      <c r="F40" s="180"/>
      <c r="G40" s="180"/>
      <c r="H40" s="180"/>
    </row>
    <row r="41" customFormat="false" ht="15" hidden="false" customHeight="false" outlineLevel="0" collapsed="false">
      <c r="A41" s="0" t="s">
        <v>446</v>
      </c>
      <c r="B41" s="55" t="e">
        <f aca="false">IRR(B7:B37)</f>
        <v>#N/A</v>
      </c>
      <c r="C41" s="55"/>
      <c r="D41" s="55"/>
      <c r="E41" s="55"/>
      <c r="F41" s="55"/>
      <c r="G41" s="55"/>
      <c r="H41" s="55"/>
    </row>
    <row r="43" customFormat="false" ht="15" hidden="false" customHeight="false" outlineLevel="0" collapsed="false">
      <c r="A43" s="0" t="s">
        <v>529</v>
      </c>
    </row>
    <row r="44" customFormat="false" ht="15" hidden="false" customHeight="false" outlineLevel="0" collapsed="false">
      <c r="A44" s="0" t="s">
        <v>530</v>
      </c>
    </row>
    <row r="46" customFormat="false" ht="15" hidden="false" customHeight="false" outlineLevel="0" collapsed="false">
      <c r="A46" s="0" t="s">
        <v>531</v>
      </c>
    </row>
    <row r="47" customFormat="false" ht="15" hidden="false" customHeight="false" outlineLevel="0" collapsed="false">
      <c r="A47" s="0" t="s">
        <v>532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4.14"/>
    <col collapsed="false" customWidth="true" hidden="false" outlineLevel="0" max="2" min="2" style="0" width="16.85"/>
    <col collapsed="false" customWidth="true" hidden="false" outlineLevel="0" max="3" min="3" style="0" width="11.57"/>
    <col collapsed="false" customWidth="true" hidden="false" outlineLevel="0" max="8" min="8" style="0" width="7.57"/>
    <col collapsed="false" customWidth="true" hidden="false" outlineLevel="0" max="9" min="9" style="0" width="6.71"/>
    <col collapsed="false" customWidth="true" hidden="false" outlineLevel="0" max="10" min="10" style="0" width="11.43"/>
    <col collapsed="false" customWidth="true" hidden="false" outlineLevel="0" max="12" min="11" style="0" width="16.29"/>
    <col collapsed="false" customWidth="true" hidden="false" outlineLevel="0" max="13" min="13" style="0" width="17.15"/>
    <col collapsed="false" customWidth="true" hidden="false" outlineLevel="0" max="14" min="14" style="0" width="19.42"/>
    <col collapsed="false" customWidth="true" hidden="false" outlineLevel="0" max="15" min="15" style="0" width="3.15"/>
    <col collapsed="false" customWidth="true" hidden="false" outlineLevel="0" max="16" min="16" style="0" width="13.86"/>
    <col collapsed="false" customWidth="true" hidden="false" outlineLevel="0" max="17" min="17" style="0" width="12.29"/>
  </cols>
  <sheetData>
    <row r="1" customFormat="false" ht="15" hidden="false" customHeight="false" outlineLevel="0" collapsed="false">
      <c r="A1" s="29" t="s">
        <v>533</v>
      </c>
    </row>
    <row r="2" customFormat="false" ht="15" hidden="false" customHeight="false" outlineLevel="0" collapsed="false">
      <c r="B2" s="5" t="s">
        <v>86</v>
      </c>
      <c r="I2" s="5" t="s">
        <v>534</v>
      </c>
    </row>
    <row r="3" customFormat="false" ht="15" hidden="false" customHeight="false" outlineLevel="0" collapsed="false">
      <c r="B3" s="0" t="s">
        <v>112</v>
      </c>
      <c r="C3" s="36" t="n">
        <v>99000</v>
      </c>
      <c r="J3" s="0" t="s">
        <v>535</v>
      </c>
      <c r="M3" s="213" t="n">
        <v>0.08</v>
      </c>
    </row>
    <row r="4" customFormat="false" ht="15" hidden="false" customHeight="false" outlineLevel="0" collapsed="false">
      <c r="B4" s="0" t="s">
        <v>10</v>
      </c>
      <c r="C4" s="0" t="n">
        <v>20</v>
      </c>
    </row>
    <row r="5" customFormat="false" ht="15" hidden="false" customHeight="false" outlineLevel="0" collapsed="false">
      <c r="B5" s="0" t="s">
        <v>11</v>
      </c>
      <c r="C5" s="55" t="n">
        <v>0.08</v>
      </c>
      <c r="I5" s="0" t="s">
        <v>33</v>
      </c>
      <c r="J5" s="0" t="s">
        <v>440</v>
      </c>
      <c r="K5" s="0" t="s">
        <v>464</v>
      </c>
      <c r="L5" s="214" t="s">
        <v>440</v>
      </c>
      <c r="M5" s="0" t="s">
        <v>536</v>
      </c>
      <c r="N5" s="0" t="s">
        <v>537</v>
      </c>
      <c r="P5" s="0" t="s">
        <v>538</v>
      </c>
      <c r="Q5" s="0" t="s">
        <v>539</v>
      </c>
    </row>
    <row r="6" customFormat="false" ht="15" hidden="false" customHeight="false" outlineLevel="0" collapsed="false">
      <c r="I6" s="0" t="n">
        <v>0</v>
      </c>
      <c r="J6" s="160" t="n">
        <v>1500000</v>
      </c>
      <c r="K6" s="160" t="n">
        <v>0</v>
      </c>
      <c r="L6" s="215"/>
      <c r="M6" s="36" t="n">
        <f aca="false">J6/(1+$M$3)^$I6</f>
        <v>1500000</v>
      </c>
      <c r="N6" s="36" t="n">
        <f aca="false">K6/(1+$M$3)^$I6</f>
        <v>0</v>
      </c>
      <c r="P6" s="36" t="n">
        <f aca="false">J6*(1+C5)^(20-I6)</f>
        <v>6991435.71577396</v>
      </c>
    </row>
    <row r="7" customFormat="false" ht="15" hidden="false" customHeight="false" outlineLevel="0" collapsed="false">
      <c r="B7" s="0" t="s">
        <v>540</v>
      </c>
      <c r="C7" s="36" t="n">
        <f aca="false">C3*((1+$C$5)^$C$4-1)/($C$5*(1+$C$5)^$C$4)</f>
        <v>971996.59333748</v>
      </c>
      <c r="I7" s="0" t="n">
        <v>1</v>
      </c>
      <c r="J7" s="160"/>
      <c r="K7" s="160" t="n">
        <v>99000</v>
      </c>
      <c r="L7" s="215" t="n">
        <v>25000</v>
      </c>
      <c r="M7" s="36" t="n">
        <f aca="false">J7/(1+$M$3)^I7</f>
        <v>0</v>
      </c>
      <c r="N7" s="36" t="n">
        <f aca="false">K7/(1+$M$3)^$I7</f>
        <v>91666.6666666667</v>
      </c>
      <c r="Q7" s="36" t="n">
        <f aca="false">K7*(1+C$5)^(20-I7)</f>
        <v>427254.404852853</v>
      </c>
    </row>
    <row r="8" customFormat="false" ht="15" hidden="false" customHeight="false" outlineLevel="0" collapsed="false">
      <c r="I8" s="0" t="n">
        <v>2</v>
      </c>
      <c r="J8" s="160"/>
      <c r="K8" s="160" t="n">
        <v>99000</v>
      </c>
      <c r="L8" s="215" t="n">
        <v>25000</v>
      </c>
      <c r="M8" s="36" t="n">
        <f aca="false">J8/(1+$M$3)^I8</f>
        <v>0</v>
      </c>
      <c r="N8" s="36" t="n">
        <f aca="false">K8/(1+$M$3)^$I8</f>
        <v>84876.5432098765</v>
      </c>
      <c r="Q8" s="36" t="n">
        <f aca="false">K8*(1+C$5)^(20-I8)</f>
        <v>395605.930419309</v>
      </c>
    </row>
    <row r="9" customFormat="false" ht="15" hidden="false" customHeight="false" outlineLevel="0" collapsed="false">
      <c r="B9" s="0" t="s">
        <v>541</v>
      </c>
      <c r="C9" s="36" t="n">
        <v>300000</v>
      </c>
      <c r="I9" s="0" t="n">
        <v>3</v>
      </c>
      <c r="J9" s="160"/>
      <c r="K9" s="160" t="n">
        <v>99000</v>
      </c>
      <c r="L9" s="215" t="n">
        <v>25000</v>
      </c>
      <c r="M9" s="36" t="n">
        <f aca="false">J9/(1+$M$3)^I9</f>
        <v>0</v>
      </c>
      <c r="N9" s="36" t="n">
        <f aca="false">K9/(1+$M$3)^$I9</f>
        <v>78589.3918609968</v>
      </c>
      <c r="Q9" s="36" t="n">
        <f aca="false">K9*(1+C$5)^(20-I9)</f>
        <v>366301.787425286</v>
      </c>
    </row>
    <row r="10" customFormat="false" ht="15" hidden="false" customHeight="false" outlineLevel="1" collapsed="false">
      <c r="B10" s="0" t="s">
        <v>542</v>
      </c>
      <c r="C10" s="36" t="n">
        <f aca="false">C9/(1+C5)^$C$4</f>
        <v>64364.462221217</v>
      </c>
      <c r="I10" s="0" t="n">
        <v>4</v>
      </c>
      <c r="J10" s="160"/>
      <c r="K10" s="160" t="n">
        <v>99000</v>
      </c>
      <c r="L10" s="215" t="n">
        <v>25000</v>
      </c>
      <c r="M10" s="36" t="n">
        <f aca="false">J10/(1+$M$3)^I10</f>
        <v>0</v>
      </c>
      <c r="N10" s="36" t="n">
        <f aca="false">K10/(1+$M$3)^$I10</f>
        <v>72767.9554268489</v>
      </c>
      <c r="Q10" s="36" t="n">
        <f aca="false">K10*(1+C$5)^(20-I10)</f>
        <v>339168.321690079</v>
      </c>
    </row>
    <row r="11" customFormat="false" ht="15" hidden="false" customHeight="false" outlineLevel="1" collapsed="false">
      <c r="I11" s="0" t="n">
        <v>5</v>
      </c>
      <c r="J11" s="160"/>
      <c r="K11" s="160" t="n">
        <v>99000</v>
      </c>
      <c r="L11" s="215" t="n">
        <v>25000</v>
      </c>
      <c r="M11" s="36" t="n">
        <f aca="false">J11/(1+$M$3)^I11</f>
        <v>0</v>
      </c>
      <c r="N11" s="36" t="n">
        <f aca="false">K11/(1+$M$3)^$I11</f>
        <v>67377.7365063415</v>
      </c>
      <c r="Q11" s="36" t="n">
        <f aca="false">K11*(1+C$5)^(20-I11)</f>
        <v>314044.742305629</v>
      </c>
    </row>
    <row r="12" customFormat="false" ht="15" hidden="false" customHeight="false" outlineLevel="1" collapsed="false">
      <c r="B12" s="0" t="s">
        <v>543</v>
      </c>
      <c r="C12" s="36" t="n">
        <f aca="false">C7+C10</f>
        <v>1036361.0555587</v>
      </c>
      <c r="I12" s="0" t="n">
        <v>6</v>
      </c>
      <c r="J12" s="160"/>
      <c r="K12" s="160" t="n">
        <v>99000</v>
      </c>
      <c r="L12" s="215" t="n">
        <v>25000</v>
      </c>
      <c r="M12" s="36" t="n">
        <f aca="false">J12/(1+$M$3)^I12</f>
        <v>0</v>
      </c>
      <c r="N12" s="36" t="n">
        <f aca="false">K12/(1+$M$3)^$I12</f>
        <v>62386.7930614274</v>
      </c>
      <c r="Q12" s="36" t="n">
        <f aca="false">K12*(1+C$5)^(20-I12)</f>
        <v>290782.168801508</v>
      </c>
    </row>
    <row r="13" customFormat="false" ht="15" hidden="false" customHeight="false" outlineLevel="1" collapsed="false">
      <c r="I13" s="0" t="n">
        <v>7</v>
      </c>
      <c r="J13" s="160"/>
      <c r="K13" s="160" t="n">
        <v>99000</v>
      </c>
      <c r="L13" s="215" t="n">
        <v>25000</v>
      </c>
      <c r="M13" s="36" t="n">
        <f aca="false">J13/(1+$M$3)^I13</f>
        <v>0</v>
      </c>
      <c r="N13" s="36" t="n">
        <f aca="false">K13/(1+$M$3)^$I13</f>
        <v>57765.5491309512</v>
      </c>
      <c r="Q13" s="36" t="n">
        <f aca="false">K13*(1+C$5)^(20-I13)</f>
        <v>269242.748890285</v>
      </c>
    </row>
    <row r="14" customFormat="false" ht="15" hidden="false" customHeight="false" outlineLevel="1" collapsed="false">
      <c r="B14" s="0" t="s">
        <v>544</v>
      </c>
      <c r="C14" s="216" t="n">
        <v>1500000</v>
      </c>
      <c r="I14" s="0" t="n">
        <v>8</v>
      </c>
      <c r="J14" s="160"/>
      <c r="K14" s="160" t="n">
        <v>99000</v>
      </c>
      <c r="L14" s="215" t="n">
        <v>25000</v>
      </c>
      <c r="M14" s="36" t="n">
        <f aca="false">J14/(1+$M$3)^I14</f>
        <v>0</v>
      </c>
      <c r="N14" s="36" t="n">
        <f aca="false">K14/(1+$M$3)^$I14</f>
        <v>53486.6195656956</v>
      </c>
      <c r="Q14" s="36" t="n">
        <f aca="false">K14*(1+C$5)^(20-I14)</f>
        <v>249298.841565079</v>
      </c>
    </row>
    <row r="15" customFormat="false" ht="15" hidden="false" customHeight="false" outlineLevel="1" collapsed="false">
      <c r="I15" s="0" t="n">
        <v>9</v>
      </c>
      <c r="J15" s="160"/>
      <c r="K15" s="160" t="n">
        <v>99000</v>
      </c>
      <c r="L15" s="215" t="n">
        <v>25000</v>
      </c>
      <c r="M15" s="36" t="n">
        <f aca="false">J15/(1+$M$3)^I15</f>
        <v>0</v>
      </c>
      <c r="N15" s="36" t="n">
        <f aca="false">K15/(1+$M$3)^$I15</f>
        <v>49524.6477460144</v>
      </c>
      <c r="Q15" s="36" t="n">
        <f aca="false">K15*(1+C$5)^(20-I15)</f>
        <v>230832.260708407</v>
      </c>
    </row>
    <row r="16" customFormat="false" ht="15" hidden="false" customHeight="false" outlineLevel="1" collapsed="false">
      <c r="B16" s="0" t="s">
        <v>469</v>
      </c>
      <c r="C16" s="180" t="n">
        <f aca="false">C12/C14</f>
        <v>0.690907370372465</v>
      </c>
      <c r="I16" s="0" t="n">
        <v>10</v>
      </c>
      <c r="J16" s="160"/>
      <c r="K16" s="160" t="n">
        <v>99000</v>
      </c>
      <c r="L16" s="215" t="n">
        <v>25000</v>
      </c>
      <c r="M16" s="36" t="n">
        <f aca="false">J16/(1+$M$3)^I16</f>
        <v>0</v>
      </c>
      <c r="N16" s="36" t="n">
        <f aca="false">K16/(1+$M$3)^$I16</f>
        <v>45856.1553203837</v>
      </c>
      <c r="Q16" s="36" t="n">
        <f aca="false">K16*(1+C$5)^(20-I16)</f>
        <v>213733.574730006</v>
      </c>
    </row>
    <row r="17" customFormat="false" ht="15" hidden="false" customHeight="false" outlineLevel="1" collapsed="false">
      <c r="I17" s="0" t="n">
        <v>11</v>
      </c>
      <c r="J17" s="160"/>
      <c r="K17" s="160" t="n">
        <v>99000</v>
      </c>
      <c r="L17" s="215" t="n">
        <v>25000</v>
      </c>
      <c r="M17" s="36" t="n">
        <f aca="false">J17/(1+$M$3)^I17</f>
        <v>0</v>
      </c>
      <c r="N17" s="36" t="n">
        <f aca="false">K17/(1+$M$3)^$I17</f>
        <v>42459.4030744294</v>
      </c>
      <c r="Q17" s="36" t="n">
        <f aca="false">K17*(1+C$5)^(20-I17)</f>
        <v>197901.458083339</v>
      </c>
    </row>
    <row r="18" customFormat="false" ht="15" hidden="false" customHeight="false" outlineLevel="1" collapsed="false">
      <c r="I18" s="0" t="n">
        <v>12</v>
      </c>
      <c r="J18" s="160"/>
      <c r="K18" s="160" t="n">
        <v>99000</v>
      </c>
      <c r="L18" s="215" t="n">
        <v>25000</v>
      </c>
      <c r="M18" s="36" t="n">
        <f aca="false">J18/(1+$M$3)^I18</f>
        <v>0</v>
      </c>
      <c r="N18" s="36" t="n">
        <f aca="false">K18/(1+$M$3)^$I18</f>
        <v>39314.2621059531</v>
      </c>
      <c r="Q18" s="36" t="n">
        <f aca="false">K18*(1+C$5)^(20-I18)</f>
        <v>183242.090817906</v>
      </c>
    </row>
    <row r="19" customFormat="false" ht="15" hidden="false" customHeight="false" outlineLevel="1" collapsed="false">
      <c r="I19" s="0" t="n">
        <v>13</v>
      </c>
      <c r="J19" s="160"/>
      <c r="K19" s="160" t="n">
        <v>99000</v>
      </c>
      <c r="L19" s="215" t="n">
        <v>25000</v>
      </c>
      <c r="M19" s="36" t="n">
        <f aca="false">J19/(1+$M$3)^I19</f>
        <v>0</v>
      </c>
      <c r="N19" s="36" t="n">
        <f aca="false">K19/(1+$M$3)^$I19</f>
        <v>36402.0945425492</v>
      </c>
      <c r="Q19" s="36" t="n">
        <f aca="false">K19*(1+C$5)^(20-I19)</f>
        <v>169668.602609173</v>
      </c>
    </row>
    <row r="20" customFormat="false" ht="15" hidden="false" customHeight="false" outlineLevel="1" collapsed="false">
      <c r="I20" s="0" t="n">
        <v>14</v>
      </c>
      <c r="J20" s="160"/>
      <c r="K20" s="160" t="n">
        <v>99000</v>
      </c>
      <c r="L20" s="215" t="n">
        <v>25000</v>
      </c>
      <c r="M20" s="36" t="n">
        <f aca="false">J20/(1+$M$3)^I20</f>
        <v>0</v>
      </c>
      <c r="N20" s="36" t="n">
        <f aca="false">K20/(1+$M$3)^$I20</f>
        <v>33705.643094953</v>
      </c>
      <c r="Q20" s="36" t="n">
        <f aca="false">K20*(1+C$5)^(20-I20)</f>
        <v>157100.557971456</v>
      </c>
    </row>
    <row r="21" customFormat="false" ht="15" hidden="false" customHeight="false" outlineLevel="1" collapsed="false">
      <c r="I21" s="0" t="n">
        <v>15</v>
      </c>
      <c r="J21" s="160"/>
      <c r="K21" s="160" t="n">
        <v>99000</v>
      </c>
      <c r="L21" s="215" t="n">
        <v>25000</v>
      </c>
      <c r="M21" s="36" t="n">
        <f aca="false">J21/(1+$M$3)^I21</f>
        <v>0</v>
      </c>
      <c r="N21" s="36" t="n">
        <f aca="false">K21/(1+$M$3)^$I21</f>
        <v>31208.9287916231</v>
      </c>
      <c r="Q21" s="36" t="n">
        <f aca="false">K21*(1+C$5)^(20-I21)</f>
        <v>145463.4796032</v>
      </c>
    </row>
    <row r="22" customFormat="false" ht="15" hidden="false" customHeight="false" outlineLevel="1" collapsed="false">
      <c r="I22" s="0" t="n">
        <v>16</v>
      </c>
      <c r="J22" s="160"/>
      <c r="K22" s="160" t="n">
        <v>99000</v>
      </c>
      <c r="L22" s="215" t="n">
        <v>25000</v>
      </c>
      <c r="M22" s="36" t="n">
        <f aca="false">J22/(1+$M$3)^I22</f>
        <v>0</v>
      </c>
      <c r="N22" s="36" t="n">
        <f aca="false">K22/(1+$M$3)^$I22</f>
        <v>28897.1562885399</v>
      </c>
      <c r="Q22" s="36" t="n">
        <f aca="false">K22*(1+C$5)^(20-I22)</f>
        <v>134688.40704</v>
      </c>
    </row>
    <row r="23" customFormat="false" ht="15" hidden="false" customHeight="false" outlineLevel="1" collapsed="false">
      <c r="I23" s="0" t="n">
        <v>17</v>
      </c>
      <c r="J23" s="160"/>
      <c r="K23" s="160" t="n">
        <v>99000</v>
      </c>
      <c r="L23" s="215" t="n">
        <v>25000</v>
      </c>
      <c r="M23" s="36" t="n">
        <f aca="false">J23/(1+$M$3)^I23</f>
        <v>0</v>
      </c>
      <c r="N23" s="36" t="n">
        <f aca="false">K23/(1+$M$3)^$I23</f>
        <v>26756.6261930925</v>
      </c>
      <c r="Q23" s="36" t="n">
        <f aca="false">K23*(1+C$5)^(20-I23)</f>
        <v>124711.488</v>
      </c>
    </row>
    <row r="24" customFormat="false" ht="15" hidden="false" customHeight="false" outlineLevel="1" collapsed="false">
      <c r="I24" s="0" t="n">
        <v>18</v>
      </c>
      <c r="J24" s="160"/>
      <c r="K24" s="160" t="n">
        <v>99000</v>
      </c>
      <c r="L24" s="215" t="n">
        <v>25000</v>
      </c>
      <c r="M24" s="36" t="n">
        <f aca="false">J24/(1+$M$3)^I24</f>
        <v>0</v>
      </c>
      <c r="N24" s="36" t="n">
        <f aca="false">K24/(1+$M$3)^$I24</f>
        <v>24774.6538824931</v>
      </c>
      <c r="Q24" s="36" t="n">
        <f aca="false">K24*(1+C$5)^(20-I24)</f>
        <v>115473.6</v>
      </c>
    </row>
    <row r="25" customFormat="false" ht="15" hidden="false" customHeight="false" outlineLevel="1" collapsed="false">
      <c r="I25" s="0" t="n">
        <v>19</v>
      </c>
      <c r="J25" s="160"/>
      <c r="K25" s="160" t="n">
        <v>99000</v>
      </c>
      <c r="L25" s="215" t="n">
        <v>25000</v>
      </c>
      <c r="M25" s="36" t="n">
        <f aca="false">J25/(1+$M$3)^I25</f>
        <v>0</v>
      </c>
      <c r="N25" s="36" t="n">
        <f aca="false">K25/(1+$M$3)^$I25</f>
        <v>22939.4943356417</v>
      </c>
      <c r="Q25" s="36" t="n">
        <f aca="false">K25*(1+C$5)^(20-I25)</f>
        <v>106920</v>
      </c>
    </row>
    <row r="26" customFormat="false" ht="15" hidden="false" customHeight="false" outlineLevel="0" collapsed="false">
      <c r="I26" s="0" t="n">
        <v>20</v>
      </c>
      <c r="J26" s="160"/>
      <c r="K26" s="160" t="n">
        <f aca="false">99000+300000</f>
        <v>399000</v>
      </c>
      <c r="L26" s="215" t="n">
        <v>25000</v>
      </c>
      <c r="M26" s="36" t="n">
        <f aca="false">J26/(1+$M$3)^I26</f>
        <v>0</v>
      </c>
      <c r="N26" s="36" t="n">
        <f aca="false">K26/(1+$M$3)^$I26</f>
        <v>85604.7347542185</v>
      </c>
      <c r="Q26" s="36" t="n">
        <f aca="false">K26*(1+C$5)^(20-I26)</f>
        <v>399000</v>
      </c>
    </row>
    <row r="28" customFormat="false" ht="15" hidden="false" customHeight="false" outlineLevel="0" collapsed="false">
      <c r="J28" s="1"/>
      <c r="K28" s="1"/>
      <c r="L28" s="1"/>
      <c r="M28" s="174" t="n">
        <f aca="false">SUM(M6:M26)</f>
        <v>1500000</v>
      </c>
      <c r="N28" s="174" t="n">
        <f aca="false">SUM(N6:N26)</f>
        <v>1036361.0555587</v>
      </c>
      <c r="P28" s="56" t="n">
        <f aca="false">P6</f>
        <v>6991435.71577396</v>
      </c>
      <c r="Q28" s="36" t="n">
        <f aca="false">SUM(Q6:Q26)</f>
        <v>4830434.46551351</v>
      </c>
    </row>
    <row r="30" customFormat="false" ht="15" hidden="false" customHeight="false" outlineLevel="0" collapsed="false">
      <c r="I30" s="0" t="s">
        <v>545</v>
      </c>
      <c r="J30" s="217"/>
      <c r="K30" s="217"/>
      <c r="L30" s="217"/>
      <c r="N30" s="218" t="n">
        <f aca="false">N28/M28</f>
        <v>0.690907370372464</v>
      </c>
      <c r="Q30" s="218" t="n">
        <f aca="false">Q28/P28</f>
        <v>0.690907370372464</v>
      </c>
    </row>
    <row r="31" customFormat="false" ht="15" hidden="false" customHeight="false" outlineLevel="0" collapsed="false">
      <c r="I31" s="0" t="s">
        <v>546</v>
      </c>
      <c r="J31" s="19"/>
      <c r="N31" s="56" t="n">
        <f aca="false">-M28+N28</f>
        <v>-463638.944441304</v>
      </c>
    </row>
    <row r="33" customFormat="false" ht="15" hidden="false" customHeight="false" outlineLevel="0" collapsed="false">
      <c r="I33" s="0" t="s">
        <v>547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2" activeCellId="0" sqref="K22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4.14"/>
    <col collapsed="false" customWidth="true" hidden="false" outlineLevel="0" max="2" min="2" style="0" width="16.85"/>
    <col collapsed="false" customWidth="true" hidden="false" outlineLevel="0" max="3" min="3" style="0" width="11.57"/>
    <col collapsed="false" customWidth="true" hidden="false" outlineLevel="0" max="8" min="8" style="0" width="7.57"/>
    <col collapsed="false" customWidth="true" hidden="false" outlineLevel="0" max="9" min="9" style="0" width="6.71"/>
    <col collapsed="false" customWidth="true" hidden="false" outlineLevel="0" max="10" min="10" style="0" width="11.43"/>
    <col collapsed="false" customWidth="true" hidden="false" outlineLevel="0" max="11" min="11" style="0" width="16.29"/>
    <col collapsed="false" customWidth="true" hidden="false" outlineLevel="0" max="12" min="12" style="0" width="17.15"/>
    <col collapsed="false" customWidth="true" hidden="false" outlineLevel="0" max="13" min="13" style="0" width="19.42"/>
  </cols>
  <sheetData>
    <row r="1" customFormat="false" ht="15" hidden="false" customHeight="false" outlineLevel="0" collapsed="false">
      <c r="A1" s="29" t="s">
        <v>548</v>
      </c>
    </row>
    <row r="2" customFormat="false" ht="15" hidden="false" customHeight="false" outlineLevel="0" collapsed="false">
      <c r="B2" s="5" t="s">
        <v>86</v>
      </c>
      <c r="I2" s="5" t="s">
        <v>534</v>
      </c>
    </row>
    <row r="3" customFormat="false" ht="15" hidden="false" customHeight="false" outlineLevel="0" collapsed="false">
      <c r="J3" s="0" t="s">
        <v>535</v>
      </c>
      <c r="L3" s="213" t="n">
        <v>0.09</v>
      </c>
    </row>
    <row r="4" customFormat="false" ht="15" hidden="false" customHeight="false" outlineLevel="0" collapsed="false">
      <c r="B4" s="0" t="s">
        <v>549</v>
      </c>
      <c r="C4" s="21" t="n">
        <v>845882.88505795</v>
      </c>
    </row>
    <row r="5" customFormat="false" ht="15" hidden="false" customHeight="false" outlineLevel="0" collapsed="false">
      <c r="I5" s="0" t="s">
        <v>33</v>
      </c>
      <c r="J5" s="0" t="s">
        <v>440</v>
      </c>
      <c r="K5" s="0" t="s">
        <v>464</v>
      </c>
      <c r="L5" s="0" t="s">
        <v>536</v>
      </c>
      <c r="M5" s="0" t="s">
        <v>537</v>
      </c>
    </row>
    <row r="6" customFormat="false" ht="15" hidden="false" customHeight="false" outlineLevel="0" collapsed="false">
      <c r="B6" s="0" t="s">
        <v>550</v>
      </c>
      <c r="I6" s="0" t="n">
        <v>0</v>
      </c>
      <c r="J6" s="160" t="n">
        <v>525000</v>
      </c>
      <c r="K6" s="160" t="n">
        <v>127000</v>
      </c>
      <c r="L6" s="36" t="n">
        <f aca="false">J6/(1+$L$3)^$I6</f>
        <v>525000</v>
      </c>
      <c r="M6" s="36" t="n">
        <f aca="false">K6/(1+$L$3)^$I6</f>
        <v>127000</v>
      </c>
    </row>
    <row r="7" customFormat="false" ht="15" hidden="false" customHeight="false" outlineLevel="0" collapsed="false">
      <c r="B7" s="0" t="s">
        <v>551</v>
      </c>
      <c r="C7" s="0" t="n">
        <v>525000</v>
      </c>
      <c r="I7" s="0" t="n">
        <v>1</v>
      </c>
      <c r="J7" s="160" t="n">
        <v>50000</v>
      </c>
      <c r="K7" s="160"/>
      <c r="L7" s="36" t="n">
        <f aca="false">J7/(1+$L$3)^I7</f>
        <v>45871.5596330275</v>
      </c>
      <c r="M7" s="36" t="n">
        <f aca="false">K7/(1+$L$3)^$I7</f>
        <v>0</v>
      </c>
    </row>
    <row r="8" customFormat="false" ht="15" hidden="false" customHeight="false" outlineLevel="0" collapsed="false">
      <c r="B8" s="0" t="s">
        <v>552</v>
      </c>
      <c r="C8" s="0" t="n">
        <v>50000</v>
      </c>
      <c r="I8" s="0" t="n">
        <v>2</v>
      </c>
      <c r="J8" s="160" t="n">
        <v>50000</v>
      </c>
      <c r="K8" s="160"/>
      <c r="L8" s="36" t="n">
        <f aca="false">J8/(1+$L$3)^I8</f>
        <v>42083.999663328</v>
      </c>
      <c r="M8" s="36" t="n">
        <f aca="false">K8/(1+$L$3)^$I8</f>
        <v>0</v>
      </c>
    </row>
    <row r="9" customFormat="false" ht="15" hidden="false" customHeight="false" outlineLevel="0" collapsed="false">
      <c r="I9" s="0" t="n">
        <v>3</v>
      </c>
      <c r="J9" s="160" t="n">
        <v>50000</v>
      </c>
      <c r="K9" s="160"/>
      <c r="L9" s="36" t="n">
        <f aca="false">J9/(1+$L$3)^I9</f>
        <v>38609.1740030532</v>
      </c>
      <c r="M9" s="36" t="n">
        <f aca="false">K9/(1+$L$3)^$I9</f>
        <v>0</v>
      </c>
    </row>
    <row r="10" customFormat="false" ht="15" hidden="false" customHeight="false" outlineLevel="1" collapsed="false">
      <c r="B10" s="0" t="s">
        <v>112</v>
      </c>
      <c r="C10" s="36" t="n">
        <v>50000</v>
      </c>
      <c r="I10" s="0" t="n">
        <v>4</v>
      </c>
      <c r="J10" s="160" t="n">
        <v>50000</v>
      </c>
      <c r="K10" s="160"/>
      <c r="L10" s="36" t="n">
        <f aca="false">J10/(1+$L$3)^I10</f>
        <v>35421.2605532598</v>
      </c>
      <c r="M10" s="36" t="n">
        <f aca="false">K10/(1+$L$3)^$I10</f>
        <v>0</v>
      </c>
    </row>
    <row r="11" customFormat="false" ht="15" hidden="false" customHeight="false" outlineLevel="1" collapsed="false">
      <c r="B11" s="0" t="s">
        <v>10</v>
      </c>
      <c r="C11" s="0" t="n">
        <v>10</v>
      </c>
      <c r="I11" s="0" t="n">
        <v>5</v>
      </c>
      <c r="J11" s="160" t="n">
        <v>50000</v>
      </c>
      <c r="K11" s="160"/>
      <c r="L11" s="36" t="n">
        <f aca="false">J11/(1+$L$3)^I11</f>
        <v>32496.5693149173</v>
      </c>
      <c r="M11" s="36" t="n">
        <f aca="false">K11/(1+$L$3)^$I11</f>
        <v>0</v>
      </c>
    </row>
    <row r="12" customFormat="false" ht="15" hidden="false" customHeight="false" outlineLevel="1" collapsed="false">
      <c r="B12" s="0" t="s">
        <v>11</v>
      </c>
      <c r="C12" s="55" t="n">
        <v>0.09</v>
      </c>
      <c r="I12" s="0" t="n">
        <v>6</v>
      </c>
      <c r="J12" s="160" t="n">
        <v>50000</v>
      </c>
      <c r="K12" s="160"/>
      <c r="L12" s="36" t="n">
        <f aca="false">J12/(1+$L$3)^I12</f>
        <v>29813.3663439608</v>
      </c>
      <c r="M12" s="36" t="n">
        <f aca="false">K12/(1+$L$3)^$I12</f>
        <v>0</v>
      </c>
    </row>
    <row r="13" customFormat="false" ht="15" hidden="false" customHeight="false" outlineLevel="1" collapsed="false">
      <c r="I13" s="0" t="n">
        <v>7</v>
      </c>
      <c r="J13" s="160" t="n">
        <v>50000</v>
      </c>
      <c r="K13" s="160"/>
      <c r="L13" s="36" t="n">
        <f aca="false">J13/(1+$L$3)^I13</f>
        <v>27351.7122421659</v>
      </c>
      <c r="M13" s="36" t="n">
        <f aca="false">K13/(1+$L$3)^$I13</f>
        <v>0</v>
      </c>
    </row>
    <row r="14" customFormat="false" ht="15" hidden="false" customHeight="false" outlineLevel="1" collapsed="false">
      <c r="B14" s="0" t="s">
        <v>540</v>
      </c>
      <c r="C14" s="36" t="n">
        <f aca="false">C10*((1+$C$12)^$C$11-1)/($C$12*(1+$C$12)^$C$11)</f>
        <v>320882.885057951</v>
      </c>
      <c r="I14" s="0" t="n">
        <v>8</v>
      </c>
      <c r="J14" s="160" t="n">
        <v>50000</v>
      </c>
      <c r="K14" s="160"/>
      <c r="L14" s="36" t="n">
        <f aca="false">J14/(1+$L$3)^I14</f>
        <v>25093.3139836384</v>
      </c>
      <c r="M14" s="36" t="n">
        <f aca="false">K14/(1+$L$3)^$I14</f>
        <v>0</v>
      </c>
    </row>
    <row r="15" customFormat="false" ht="15" hidden="false" customHeight="false" outlineLevel="1" collapsed="false">
      <c r="I15" s="0" t="n">
        <v>9</v>
      </c>
      <c r="J15" s="160" t="n">
        <v>50000</v>
      </c>
      <c r="K15" s="160"/>
      <c r="L15" s="36" t="n">
        <f aca="false">J15/(1+$L$3)^I15</f>
        <v>23021.388975815</v>
      </c>
      <c r="M15" s="36" t="n">
        <f aca="false">K15/(1+$L$3)^$I15</f>
        <v>0</v>
      </c>
    </row>
    <row r="16" customFormat="false" ht="15" hidden="false" customHeight="false" outlineLevel="1" collapsed="false">
      <c r="I16" s="0" t="n">
        <v>10</v>
      </c>
      <c r="J16" s="160" t="n">
        <v>50000</v>
      </c>
      <c r="K16" s="160"/>
      <c r="L16" s="36" t="n">
        <f aca="false">J16/(1+$L$3)^I16</f>
        <v>21120.5403447844</v>
      </c>
      <c r="M16" s="36" t="n">
        <f aca="false">K16/(1+$L$3)^$I16</f>
        <v>0</v>
      </c>
    </row>
    <row r="17" customFormat="false" ht="15" hidden="false" customHeight="false" outlineLevel="1" collapsed="false">
      <c r="A17" s="0" t="s">
        <v>553</v>
      </c>
    </row>
    <row r="18" customFormat="false" ht="15" hidden="false" customHeight="false" outlineLevel="1" collapsed="false">
      <c r="B18" s="0" t="s">
        <v>554</v>
      </c>
      <c r="C18" s="36" t="n">
        <f aca="false">C14+C7</f>
        <v>845882.885057951</v>
      </c>
      <c r="I18" s="0" t="s">
        <v>379</v>
      </c>
      <c r="L18" s="56" t="n">
        <f aca="false">SUM(L6:L16)</f>
        <v>845882.885057951</v>
      </c>
      <c r="M18" s="36"/>
    </row>
    <row r="19" customFormat="false" ht="15" hidden="false" customHeight="false" outlineLevel="1" collapsed="false"/>
    <row r="20" customFormat="false" ht="15" hidden="false" customHeight="false" outlineLevel="1" collapsed="false">
      <c r="B20" s="0" t="s">
        <v>469</v>
      </c>
      <c r="C20" s="180" t="n">
        <f aca="false">C4/C18</f>
        <v>1</v>
      </c>
      <c r="I20" s="0" t="s">
        <v>545</v>
      </c>
      <c r="L20" s="1" t="n">
        <f aca="false">M6/L18</f>
        <v>0.150138987610914</v>
      </c>
      <c r="M20" s="36"/>
    </row>
    <row r="21" customFormat="false" ht="15" hidden="false" customHeight="false" outlineLevel="1" collapsed="false"/>
    <row r="22" customFormat="false" ht="15" hidden="false" customHeight="false" outlineLevel="1" collapsed="false">
      <c r="A22" s="0" t="s">
        <v>555</v>
      </c>
    </row>
    <row r="23" customFormat="false" ht="15" hidden="false" customHeight="false" outlineLevel="1" collapsed="false">
      <c r="B23" s="0" t="s">
        <v>556</v>
      </c>
      <c r="C23" s="36" t="n">
        <f aca="false">C4-C14</f>
        <v>525000</v>
      </c>
    </row>
    <row r="24" customFormat="false" ht="15" hidden="false" customHeight="false" outlineLevel="1" collapsed="false">
      <c r="B24" s="0" t="s">
        <v>557</v>
      </c>
      <c r="C24" s="36" t="n">
        <f aca="false">C7</f>
        <v>525000</v>
      </c>
    </row>
    <row r="25" customFormat="false" ht="15" hidden="false" customHeight="false" outlineLevel="1" collapsed="false">
      <c r="B25" s="0" t="s">
        <v>469</v>
      </c>
      <c r="C25" s="180" t="n">
        <f aca="false">C23/C24</f>
        <v>1</v>
      </c>
    </row>
    <row r="28" customFormat="false" ht="15" hidden="false" customHeight="false" outlineLevel="0" collapsed="false">
      <c r="J28" s="1"/>
      <c r="K28" s="1"/>
      <c r="L28" s="174" t="n">
        <f aca="false">SUM(L6:L26)</f>
        <v>1691765.92025489</v>
      </c>
      <c r="M28" s="174" t="n">
        <f aca="false">SUM(M6:M26)</f>
        <v>127000</v>
      </c>
    </row>
    <row r="30" customFormat="false" ht="15" hidden="false" customHeight="false" outlineLevel="0" collapsed="false">
      <c r="I30" s="0" t="s">
        <v>545</v>
      </c>
      <c r="J30" s="217"/>
      <c r="K30" s="217"/>
      <c r="M30" s="218" t="n">
        <f aca="false">M28/L28</f>
        <v>0.0750694871432719</v>
      </c>
    </row>
    <row r="31" customFormat="false" ht="15" hidden="false" customHeight="false" outlineLevel="0" collapsed="false">
      <c r="I31" s="0" t="s">
        <v>546</v>
      </c>
      <c r="J31" s="19"/>
      <c r="M31" s="56" t="n">
        <f aca="false">-L28+M28</f>
        <v>-1564765.92025489</v>
      </c>
    </row>
    <row r="33" customFormat="false" ht="15" hidden="false" customHeight="false" outlineLevel="0" collapsed="false">
      <c r="I33" s="0" t="s">
        <v>547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69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K63" activeCellId="0" sqref="K63"/>
    </sheetView>
  </sheetViews>
  <sheetFormatPr defaultColWidth="8.54296875" defaultRowHeight="15" zeroHeight="false" outlineLevelRow="1" outlineLevelCol="1"/>
  <cols>
    <col collapsed="false" customWidth="true" hidden="false" outlineLevel="0" max="1" min="1" style="0" width="12.57"/>
    <col collapsed="false" customWidth="true" hidden="false" outlineLevel="0" max="3" min="3" style="0" width="11.14"/>
    <col collapsed="false" customWidth="true" hidden="true" outlineLevel="1" max="4" min="4" style="0" width="11.43"/>
    <col collapsed="false" customWidth="true" hidden="true" outlineLevel="1" max="5" min="5" style="0" width="12.86"/>
    <col collapsed="false" customWidth="true" hidden="true" outlineLevel="1" max="6" min="6" style="0" width="9.29"/>
    <col collapsed="false" customWidth="true" hidden="true" outlineLevel="1" max="7" min="7" style="0" width="9.86"/>
    <col collapsed="false" customWidth="true" hidden="false" outlineLevel="0" max="8" min="8" style="0" width="12.29"/>
    <col collapsed="false" customWidth="true" hidden="false" outlineLevel="0" max="9" min="9" style="0" width="11.43"/>
    <col collapsed="false" customWidth="true" hidden="false" outlineLevel="0" max="10" min="10" style="0" width="4"/>
    <col collapsed="false" customWidth="true" hidden="false" outlineLevel="0" max="11" min="11" style="0" width="11"/>
    <col collapsed="false" customWidth="true" hidden="true" outlineLevel="1" max="12" min="12" style="0" width="11.43"/>
    <col collapsed="false" customWidth="true" hidden="true" outlineLevel="1" max="13" min="13" style="0" width="12.86"/>
    <col collapsed="false" customWidth="true" hidden="true" outlineLevel="1" max="14" min="14" style="0" width="9.29"/>
    <col collapsed="false" customWidth="true" hidden="true" outlineLevel="1" max="15" min="15" style="0" width="9.86"/>
    <col collapsed="false" customWidth="true" hidden="false" outlineLevel="0" max="16" min="16" style="0" width="12.29"/>
    <col collapsed="false" customWidth="true" hidden="false" outlineLevel="0" max="17" min="17" style="0" width="11.43"/>
    <col collapsed="false" customWidth="true" hidden="false" outlineLevel="0" max="18" min="18" style="0" width="4.71"/>
    <col collapsed="false" customWidth="true" hidden="false" outlineLevel="0" max="19" min="19" style="0" width="11"/>
    <col collapsed="false" customWidth="true" hidden="true" outlineLevel="1" max="20" min="20" style="0" width="11.43"/>
    <col collapsed="false" customWidth="true" hidden="true" outlineLevel="1" max="21" min="21" style="0" width="12.86"/>
    <col collapsed="false" customWidth="true" hidden="true" outlineLevel="1" max="22" min="22" style="0" width="9.29"/>
    <col collapsed="false" customWidth="true" hidden="true" outlineLevel="1" max="23" min="23" style="0" width="9.86"/>
    <col collapsed="false" customWidth="true" hidden="false" outlineLevel="0" max="24" min="24" style="0" width="12.29"/>
    <col collapsed="false" customWidth="true" hidden="false" outlineLevel="0" max="25" min="25" style="0" width="11.43"/>
    <col collapsed="false" customWidth="true" hidden="false" outlineLevel="0" max="26" min="26" style="0" width="3.71"/>
    <col collapsed="false" customWidth="true" hidden="false" outlineLevel="0" max="27" min="27" style="0" width="11"/>
    <col collapsed="false" customWidth="true" hidden="true" outlineLevel="1" max="28" min="28" style="0" width="11.43"/>
    <col collapsed="false" customWidth="true" hidden="true" outlineLevel="1" max="29" min="29" style="0" width="12.86"/>
    <col collapsed="false" customWidth="true" hidden="true" outlineLevel="1" max="30" min="30" style="0" width="9.29"/>
    <col collapsed="false" customWidth="true" hidden="true" outlineLevel="1" max="31" min="31" style="0" width="9.86"/>
    <col collapsed="false" customWidth="true" hidden="false" outlineLevel="0" max="32" min="32" style="0" width="12.29"/>
    <col collapsed="false" customWidth="true" hidden="false" outlineLevel="0" max="33" min="33" style="0" width="11.43"/>
    <col collapsed="false" customWidth="true" hidden="false" outlineLevel="0" max="34" min="34" style="0" width="3.86"/>
    <col collapsed="false" customWidth="true" hidden="false" outlineLevel="0" max="37" min="36" style="0" width="10.57"/>
    <col collapsed="false" customWidth="true" hidden="false" outlineLevel="0" max="41" min="41" style="0" width="11"/>
  </cols>
  <sheetData>
    <row r="1" customFormat="false" ht="15" hidden="false" customHeight="false" outlineLevel="0" collapsed="false">
      <c r="A1" s="29" t="s">
        <v>558</v>
      </c>
    </row>
    <row r="2" customFormat="false" ht="48" hidden="false" customHeight="false" outlineLevel="0" collapsed="false">
      <c r="A2" s="0" t="s">
        <v>29</v>
      </c>
      <c r="B2" s="219" t="n">
        <v>0.08</v>
      </c>
      <c r="AI2" s="220" t="s">
        <v>559</v>
      </c>
      <c r="AJ2" s="221" t="s">
        <v>560</v>
      </c>
      <c r="AK2" s="221" t="s">
        <v>561</v>
      </c>
      <c r="AL2" s="221" t="s">
        <v>562</v>
      </c>
      <c r="AM2" s="221" t="s">
        <v>446</v>
      </c>
      <c r="AN2" s="221" t="s">
        <v>469</v>
      </c>
      <c r="AO2" s="221" t="s">
        <v>563</v>
      </c>
    </row>
    <row r="3" customFormat="false" ht="15.75" hidden="false" customHeight="false" outlineLevel="0" collapsed="false">
      <c r="C3" s="0" t="s">
        <v>564</v>
      </c>
      <c r="D3" s="16"/>
      <c r="E3" s="16"/>
      <c r="F3" s="16"/>
      <c r="G3" s="16"/>
      <c r="L3" s="16"/>
      <c r="M3" s="16"/>
      <c r="N3" s="16"/>
      <c r="O3" s="16"/>
      <c r="T3" s="16"/>
      <c r="U3" s="16"/>
      <c r="V3" s="16"/>
      <c r="W3" s="16"/>
      <c r="AB3" s="16"/>
      <c r="AC3" s="16"/>
      <c r="AD3" s="16"/>
      <c r="AE3" s="16"/>
      <c r="AI3" s="222" t="s">
        <v>112</v>
      </c>
      <c r="AJ3" s="223" t="n">
        <v>50000</v>
      </c>
      <c r="AK3" s="223" t="n">
        <v>100000</v>
      </c>
      <c r="AL3" s="224" t="n">
        <v>20</v>
      </c>
      <c r="AM3" s="225" t="n">
        <f aca="false">G54</f>
        <v>0</v>
      </c>
      <c r="AN3" s="226" t="n">
        <f aca="false">AK3/AJ3</f>
        <v>2</v>
      </c>
      <c r="AO3" s="227" t="n">
        <f aca="false">AK3-AJ3</f>
        <v>50000</v>
      </c>
    </row>
    <row r="4" customFormat="false" ht="15.75" hidden="false" customHeight="false" outlineLevel="0" collapsed="false">
      <c r="C4" s="5" t="s">
        <v>565</v>
      </c>
      <c r="D4" s="5"/>
      <c r="E4" s="5"/>
      <c r="F4" s="5"/>
      <c r="G4" s="5"/>
      <c r="H4" s="5"/>
      <c r="I4" s="5"/>
      <c r="K4" s="5" t="s">
        <v>566</v>
      </c>
      <c r="L4" s="5"/>
      <c r="M4" s="5"/>
      <c r="N4" s="5"/>
      <c r="O4" s="5"/>
      <c r="P4" s="5"/>
      <c r="Q4" s="5"/>
      <c r="S4" s="5" t="s">
        <v>567</v>
      </c>
      <c r="T4" s="5"/>
      <c r="U4" s="5"/>
      <c r="V4" s="5"/>
      <c r="W4" s="5"/>
      <c r="X4" s="5"/>
      <c r="Y4" s="5"/>
      <c r="AA4" s="5" t="s">
        <v>568</v>
      </c>
      <c r="AB4" s="5"/>
      <c r="AC4" s="5"/>
      <c r="AD4" s="5"/>
      <c r="AE4" s="5"/>
      <c r="AF4" s="5"/>
      <c r="AG4" s="5"/>
      <c r="AI4" s="222" t="s">
        <v>176</v>
      </c>
      <c r="AJ4" s="223" t="n">
        <v>80000</v>
      </c>
      <c r="AK4" s="223" t="n">
        <v>150000</v>
      </c>
      <c r="AL4" s="224" t="n">
        <v>45</v>
      </c>
      <c r="AM4" s="228" t="e">
        <f aca="false">#REF!</f>
        <v>#REF!</v>
      </c>
      <c r="AN4" s="229" t="n">
        <f aca="false">AK4/AJ4</f>
        <v>1.875</v>
      </c>
      <c r="AO4" s="230" t="n">
        <f aca="false">AK4-AJ4</f>
        <v>70000</v>
      </c>
    </row>
    <row r="5" customFormat="false" ht="30" hidden="false" customHeight="false" outlineLevel="0" collapsed="false">
      <c r="B5" s="0" t="s">
        <v>33</v>
      </c>
      <c r="C5" s="10" t="s">
        <v>569</v>
      </c>
      <c r="D5" s="10" t="s">
        <v>570</v>
      </c>
      <c r="E5" s="10" t="s">
        <v>571</v>
      </c>
      <c r="F5" s="10" t="s">
        <v>572</v>
      </c>
      <c r="G5" s="10" t="s">
        <v>573</v>
      </c>
      <c r="H5" s="10" t="s">
        <v>536</v>
      </c>
      <c r="I5" s="10" t="s">
        <v>537</v>
      </c>
      <c r="K5" s="0" t="s">
        <v>440</v>
      </c>
      <c r="L5" s="10" t="s">
        <v>570</v>
      </c>
      <c r="M5" s="10" t="s">
        <v>571</v>
      </c>
      <c r="N5" s="10" t="s">
        <v>572</v>
      </c>
      <c r="O5" s="10" t="s">
        <v>573</v>
      </c>
      <c r="P5" s="10" t="s">
        <v>536</v>
      </c>
      <c r="Q5" s="10" t="s">
        <v>537</v>
      </c>
      <c r="S5" s="0" t="s">
        <v>440</v>
      </c>
      <c r="T5" s="10" t="s">
        <v>570</v>
      </c>
      <c r="U5" s="10" t="s">
        <v>571</v>
      </c>
      <c r="V5" s="10" t="s">
        <v>572</v>
      </c>
      <c r="W5" s="10" t="s">
        <v>573</v>
      </c>
      <c r="X5" s="10" t="s">
        <v>536</v>
      </c>
      <c r="Y5" s="10" t="s">
        <v>537</v>
      </c>
      <c r="AA5" s="0" t="s">
        <v>440</v>
      </c>
      <c r="AB5" s="10" t="s">
        <v>570</v>
      </c>
      <c r="AC5" s="10" t="s">
        <v>571</v>
      </c>
      <c r="AD5" s="10" t="s">
        <v>572</v>
      </c>
      <c r="AE5" s="10" t="s">
        <v>573</v>
      </c>
      <c r="AF5" s="10" t="s">
        <v>536</v>
      </c>
      <c r="AG5" s="10" t="s">
        <v>537</v>
      </c>
      <c r="AI5" s="222" t="s">
        <v>184</v>
      </c>
      <c r="AJ5" s="223" t="n">
        <v>120000</v>
      </c>
      <c r="AK5" s="223" t="n">
        <v>170000</v>
      </c>
      <c r="AL5" s="224" t="n">
        <v>70</v>
      </c>
      <c r="AM5" s="228" t="e">
        <f aca="false">#REF!</f>
        <v>#REF!</v>
      </c>
      <c r="AN5" s="229" t="n">
        <f aca="false">AK5/AJ5</f>
        <v>1.41666666666667</v>
      </c>
      <c r="AO5" s="227" t="n">
        <f aca="false">AK5-AJ5</f>
        <v>50000</v>
      </c>
    </row>
    <row r="6" customFormat="false" ht="15.75" hidden="false" customHeight="false" outlineLevel="0" collapsed="false">
      <c r="A6" s="0" t="s">
        <v>574</v>
      </c>
      <c r="B6" s="0" t="n">
        <v>0</v>
      </c>
      <c r="C6" s="13" t="n">
        <v>12500</v>
      </c>
      <c r="D6" s="21"/>
      <c r="E6" s="21"/>
      <c r="F6" s="21"/>
      <c r="G6" s="21" t="n">
        <f aca="false">SUM(D6:F6)</f>
        <v>0</v>
      </c>
      <c r="H6" s="21" t="n">
        <f aca="false">C6/(1+$B$2)^$B6</f>
        <v>12500</v>
      </c>
      <c r="K6" s="13" t="n">
        <v>11000</v>
      </c>
      <c r="L6" s="21"/>
      <c r="M6" s="21"/>
      <c r="N6" s="21"/>
      <c r="O6" s="21" t="n">
        <f aca="false">SUM(L6:N6)</f>
        <v>0</v>
      </c>
      <c r="P6" s="21" t="n">
        <f aca="false">K6/(1+$B$2)^$B6</f>
        <v>11000</v>
      </c>
      <c r="S6" s="13" t="n">
        <v>12500</v>
      </c>
      <c r="T6" s="21"/>
      <c r="U6" s="21"/>
      <c r="V6" s="21"/>
      <c r="W6" s="21" t="n">
        <f aca="false">SUM(T6:V6)</f>
        <v>0</v>
      </c>
      <c r="X6" s="21" t="n">
        <f aca="false">S6/(1+$B$2)^$B6</f>
        <v>12500</v>
      </c>
      <c r="AA6" s="13" t="n">
        <v>16800</v>
      </c>
      <c r="AB6" s="21"/>
      <c r="AC6" s="21"/>
      <c r="AD6" s="21"/>
      <c r="AE6" s="21" t="n">
        <f aca="false">SUM(AB6:AD6)</f>
        <v>0</v>
      </c>
      <c r="AF6" s="21" t="n">
        <f aca="false">AA6/(1+$B$2)^$B6</f>
        <v>16800</v>
      </c>
      <c r="AI6" s="222" t="s">
        <v>510</v>
      </c>
      <c r="AJ6" s="223" t="n">
        <v>190000</v>
      </c>
      <c r="AK6" s="223" t="n">
        <v>180000</v>
      </c>
      <c r="AL6" s="224" t="n">
        <v>95</v>
      </c>
      <c r="AM6" s="228" t="e">
        <f aca="false">#REF!</f>
        <v>#REF!</v>
      </c>
      <c r="AN6" s="229" t="n">
        <f aca="false">AK6/AJ6</f>
        <v>0.947368421052632</v>
      </c>
      <c r="AO6" s="227" t="n">
        <f aca="false">AK6-AJ6</f>
        <v>-10000</v>
      </c>
    </row>
    <row r="7" customFormat="false" ht="15" hidden="false" customHeight="false" outlineLevel="0" collapsed="false">
      <c r="B7" s="0" t="n">
        <v>1</v>
      </c>
      <c r="C7" s="13" t="n">
        <v>120</v>
      </c>
      <c r="D7" s="13" t="n">
        <v>580</v>
      </c>
      <c r="E7" s="13" t="n">
        <v>700</v>
      </c>
      <c r="F7" s="13" t="n">
        <v>400</v>
      </c>
      <c r="G7" s="21" t="n">
        <f aca="false">SUM(D7:F7)</f>
        <v>1680</v>
      </c>
      <c r="H7" s="21" t="n">
        <f aca="false">C7/(1+$B$2)^$B7</f>
        <v>111.111111111111</v>
      </c>
      <c r="I7" s="21" t="n">
        <f aca="false">G7/(1+$B$2)^$B7</f>
        <v>1555.55555555556</v>
      </c>
      <c r="K7" s="13" t="n">
        <v>480</v>
      </c>
      <c r="L7" s="21" t="n">
        <v>700</v>
      </c>
      <c r="M7" s="21" t="n">
        <v>550</v>
      </c>
      <c r="N7" s="21" t="n">
        <v>750</v>
      </c>
      <c r="O7" s="21" t="n">
        <f aca="false">SUM(L7:N7)</f>
        <v>2000</v>
      </c>
      <c r="P7" s="21" t="n">
        <f aca="false">K7/(1+$B$2)^$B7</f>
        <v>444.444444444444</v>
      </c>
      <c r="Q7" s="21" t="n">
        <f aca="false">O7/(1+$B$2)^$B7</f>
        <v>1851.85185185185</v>
      </c>
      <c r="S7" s="13" t="n">
        <v>325</v>
      </c>
      <c r="T7" s="21" t="n">
        <v>200</v>
      </c>
      <c r="U7" s="21" t="n">
        <v>950</v>
      </c>
      <c r="V7" s="21" t="n">
        <v>150</v>
      </c>
      <c r="W7" s="21" t="n">
        <f aca="false">SUM(T7:V7)</f>
        <v>1300</v>
      </c>
      <c r="X7" s="21" t="n">
        <f aca="false">S7/(1+$B$2)^$B7</f>
        <v>300.925925925926</v>
      </c>
      <c r="Y7" s="21" t="n">
        <f aca="false">W7/(1+$B$2)^$B7</f>
        <v>1203.7037037037</v>
      </c>
      <c r="AA7" s="13" t="n">
        <v>145</v>
      </c>
      <c r="AB7" s="21" t="n">
        <v>1300</v>
      </c>
      <c r="AC7" s="21" t="n">
        <v>250</v>
      </c>
      <c r="AD7" s="21" t="n">
        <v>500</v>
      </c>
      <c r="AE7" s="21" t="n">
        <f aca="false">SUM(AB7:AD7)</f>
        <v>2050</v>
      </c>
      <c r="AF7" s="21" t="n">
        <f aca="false">AA7/(1+$B$2)^$B7</f>
        <v>134.259259259259</v>
      </c>
      <c r="AG7" s="21" t="n">
        <f aca="false">AE7/(1+$B$2)^$B7</f>
        <v>1898.14814814815</v>
      </c>
    </row>
    <row r="8" customFormat="false" ht="15" hidden="false" customHeight="false" outlineLevel="0" collapsed="false">
      <c r="B8" s="0" t="n">
        <v>2</v>
      </c>
      <c r="C8" s="21" t="n">
        <v>120</v>
      </c>
      <c r="D8" s="21" t="n">
        <v>580</v>
      </c>
      <c r="E8" s="21" t="n">
        <v>700</v>
      </c>
      <c r="F8" s="21" t="n">
        <v>400</v>
      </c>
      <c r="G8" s="21" t="n">
        <f aca="false">SUM(D8:F8)</f>
        <v>1680</v>
      </c>
      <c r="H8" s="21" t="n">
        <f aca="false">C8/(1+$B$2)^$B8</f>
        <v>102.880658436214</v>
      </c>
      <c r="I8" s="21" t="n">
        <f aca="false">G8/(1+$B$2)^$B8</f>
        <v>1440.329218107</v>
      </c>
      <c r="K8" s="21" t="n">
        <v>480</v>
      </c>
      <c r="L8" s="21" t="n">
        <v>700</v>
      </c>
      <c r="M8" s="21" t="n">
        <v>550</v>
      </c>
      <c r="N8" s="21" t="n">
        <v>750</v>
      </c>
      <c r="O8" s="21" t="n">
        <f aca="false">SUM(L8:N8)</f>
        <v>2000</v>
      </c>
      <c r="P8" s="21" t="n">
        <f aca="false">K8/(1+$B$2)^$B8</f>
        <v>411.522633744856</v>
      </c>
      <c r="Q8" s="21" t="n">
        <f aca="false">O8/(1+$B$2)^$B8</f>
        <v>1714.67764060357</v>
      </c>
      <c r="S8" s="21" t="n">
        <v>325</v>
      </c>
      <c r="T8" s="21" t="n">
        <v>200</v>
      </c>
      <c r="U8" s="21" t="n">
        <v>950</v>
      </c>
      <c r="V8" s="21" t="n">
        <v>150</v>
      </c>
      <c r="W8" s="21" t="n">
        <f aca="false">SUM(T8:V8)</f>
        <v>1300</v>
      </c>
      <c r="X8" s="21" t="n">
        <f aca="false">S8/(1+$B$2)^$B8</f>
        <v>278.63511659808</v>
      </c>
      <c r="Y8" s="21" t="n">
        <f aca="false">W8/(1+$B$2)^$B8</f>
        <v>1114.54046639232</v>
      </c>
      <c r="AA8" s="21" t="n">
        <v>145</v>
      </c>
      <c r="AB8" s="21" t="n">
        <v>1300</v>
      </c>
      <c r="AC8" s="21" t="n">
        <v>250</v>
      </c>
      <c r="AD8" s="21" t="n">
        <v>500</v>
      </c>
      <c r="AE8" s="21" t="n">
        <f aca="false">SUM(AB8:AD8)</f>
        <v>2050</v>
      </c>
      <c r="AF8" s="21" t="n">
        <f aca="false">AA8/(1+$B$2)^$B8</f>
        <v>124.314128943759</v>
      </c>
      <c r="AG8" s="21" t="n">
        <f aca="false">AE8/(1+$B$2)^$B8</f>
        <v>1757.54458161866</v>
      </c>
    </row>
    <row r="9" customFormat="false" ht="15" hidden="false" customHeight="false" outlineLevel="0" collapsed="false">
      <c r="B9" s="0" t="n">
        <v>3</v>
      </c>
      <c r="C9" s="21" t="n">
        <v>120</v>
      </c>
      <c r="D9" s="21" t="n">
        <v>580</v>
      </c>
      <c r="E9" s="21" t="n">
        <v>700</v>
      </c>
      <c r="F9" s="21" t="n">
        <v>400</v>
      </c>
      <c r="G9" s="21" t="n">
        <f aca="false">SUM(D9:F9)</f>
        <v>1680</v>
      </c>
      <c r="H9" s="21" t="n">
        <f aca="false">C9/(1+$B$2)^$B9</f>
        <v>95.2598689224204</v>
      </c>
      <c r="I9" s="21" t="n">
        <f aca="false">G9/(1+$B$2)^$B9</f>
        <v>1333.63816491388</v>
      </c>
      <c r="K9" s="21" t="n">
        <v>480</v>
      </c>
      <c r="L9" s="21" t="n">
        <v>700</v>
      </c>
      <c r="M9" s="21" t="n">
        <v>550</v>
      </c>
      <c r="N9" s="21" t="n">
        <v>750</v>
      </c>
      <c r="O9" s="21" t="n">
        <f aca="false">SUM(L9:N9)</f>
        <v>2000</v>
      </c>
      <c r="P9" s="21" t="n">
        <f aca="false">K9/(1+$B$2)^$B9</f>
        <v>381.039475689681</v>
      </c>
      <c r="Q9" s="21" t="n">
        <f aca="false">O9/(1+$B$2)^$B9</f>
        <v>1587.66448204034</v>
      </c>
      <c r="S9" s="21" t="n">
        <v>325</v>
      </c>
      <c r="T9" s="21" t="n">
        <v>200</v>
      </c>
      <c r="U9" s="21" t="n">
        <v>950</v>
      </c>
      <c r="V9" s="21" t="n">
        <v>150</v>
      </c>
      <c r="W9" s="21" t="n">
        <f aca="false">SUM(T9:V9)</f>
        <v>1300</v>
      </c>
      <c r="X9" s="21" t="n">
        <f aca="false">S9/(1+$B$2)^$B9</f>
        <v>257.995478331555</v>
      </c>
      <c r="Y9" s="21" t="n">
        <f aca="false">W9/(1+$B$2)^$B9</f>
        <v>1031.98191332622</v>
      </c>
      <c r="AA9" s="21" t="n">
        <v>145</v>
      </c>
      <c r="AB9" s="21" t="n">
        <v>1300</v>
      </c>
      <c r="AC9" s="21" t="n">
        <v>250</v>
      </c>
      <c r="AD9" s="21" t="n">
        <v>500</v>
      </c>
      <c r="AE9" s="21" t="n">
        <f aca="false">SUM(AB9:AD9)</f>
        <v>2050</v>
      </c>
      <c r="AF9" s="21" t="n">
        <f aca="false">AA9/(1+$B$2)^$B9</f>
        <v>115.105674947925</v>
      </c>
      <c r="AG9" s="21" t="n">
        <f aca="false">AE9/(1+$B$2)^$B9</f>
        <v>1627.35609409135</v>
      </c>
    </row>
    <row r="10" customFormat="false" ht="15" hidden="true" customHeight="false" outlineLevel="1" collapsed="false">
      <c r="B10" s="0" t="n">
        <v>4</v>
      </c>
      <c r="C10" s="21" t="n">
        <v>120</v>
      </c>
      <c r="D10" s="21" t="n">
        <v>580</v>
      </c>
      <c r="E10" s="21" t="n">
        <v>700</v>
      </c>
      <c r="F10" s="21" t="n">
        <v>400</v>
      </c>
      <c r="G10" s="21" t="n">
        <f aca="false">SUM(D10:F10)</f>
        <v>1680</v>
      </c>
      <c r="H10" s="21" t="n">
        <f aca="false">C10/(1+$B$2)^$B10</f>
        <v>88.2035823355744</v>
      </c>
      <c r="I10" s="21" t="n">
        <f aca="false">G10/(1+$B$2)^$B10</f>
        <v>1234.85015269804</v>
      </c>
      <c r="K10" s="21" t="n">
        <v>480</v>
      </c>
      <c r="L10" s="21" t="n">
        <v>700</v>
      </c>
      <c r="M10" s="21" t="n">
        <v>550</v>
      </c>
      <c r="N10" s="21" t="n">
        <v>750</v>
      </c>
      <c r="O10" s="21" t="n">
        <f aca="false">SUM(L10:N10)</f>
        <v>2000</v>
      </c>
      <c r="P10" s="21" t="n">
        <f aca="false">K10/(1+$B$2)^$B10</f>
        <v>352.814329342298</v>
      </c>
      <c r="Q10" s="21" t="n">
        <f aca="false">O10/(1+$B$2)^$B10</f>
        <v>1470.05970559291</v>
      </c>
      <c r="S10" s="21" t="n">
        <v>325</v>
      </c>
      <c r="T10" s="21" t="n">
        <v>200</v>
      </c>
      <c r="U10" s="21" t="n">
        <v>950</v>
      </c>
      <c r="V10" s="21" t="n">
        <v>150</v>
      </c>
      <c r="W10" s="21" t="n">
        <f aca="false">SUM(T10:V10)</f>
        <v>1300</v>
      </c>
      <c r="X10" s="21" t="n">
        <f aca="false">S10/(1+$B$2)^$B10</f>
        <v>238.884702158847</v>
      </c>
      <c r="Y10" s="21" t="n">
        <f aca="false">W10/(1+$B$2)^$B10</f>
        <v>955.538808635389</v>
      </c>
      <c r="AA10" s="21" t="n">
        <v>145</v>
      </c>
      <c r="AB10" s="21" t="n">
        <v>1300</v>
      </c>
      <c r="AC10" s="21" t="n">
        <v>250</v>
      </c>
      <c r="AD10" s="21" t="n">
        <v>500</v>
      </c>
      <c r="AE10" s="21" t="n">
        <f aca="false">SUM(AB10:AD10)</f>
        <v>2050</v>
      </c>
      <c r="AF10" s="21" t="n">
        <f aca="false">AA10/(1+$B$2)^$B10</f>
        <v>106.579328655486</v>
      </c>
      <c r="AG10" s="21" t="n">
        <f aca="false">AE10/(1+$B$2)^$B10</f>
        <v>1506.81119823273</v>
      </c>
    </row>
    <row r="11" customFormat="false" ht="15" hidden="true" customHeight="false" outlineLevel="1" collapsed="false">
      <c r="B11" s="0" t="n">
        <v>5</v>
      </c>
      <c r="C11" s="21" t="n">
        <v>120</v>
      </c>
      <c r="D11" s="21" t="n">
        <v>580</v>
      </c>
      <c r="E11" s="21" t="n">
        <v>700</v>
      </c>
      <c r="F11" s="21" t="n">
        <v>400</v>
      </c>
      <c r="G11" s="21" t="n">
        <f aca="false">SUM(D11:F11)</f>
        <v>1680</v>
      </c>
      <c r="H11" s="21" t="n">
        <f aca="false">C11/(1+$B$2)^$B11</f>
        <v>81.6699836440504</v>
      </c>
      <c r="I11" s="21" t="n">
        <f aca="false">G11/(1+$B$2)^$B11</f>
        <v>1143.3797710167</v>
      </c>
      <c r="K11" s="21" t="n">
        <v>480</v>
      </c>
      <c r="L11" s="21" t="n">
        <v>700</v>
      </c>
      <c r="M11" s="21" t="n">
        <v>550</v>
      </c>
      <c r="N11" s="21" t="n">
        <v>750</v>
      </c>
      <c r="O11" s="21" t="n">
        <f aca="false">SUM(L11:N11)</f>
        <v>2000</v>
      </c>
      <c r="P11" s="21" t="n">
        <f aca="false">K11/(1+$B$2)^$B11</f>
        <v>326.679934576201</v>
      </c>
      <c r="Q11" s="21" t="n">
        <f aca="false">O11/(1+$B$2)^$B11</f>
        <v>1361.16639406751</v>
      </c>
      <c r="S11" s="21" t="n">
        <v>325</v>
      </c>
      <c r="T11" s="21" t="n">
        <v>200</v>
      </c>
      <c r="U11" s="21" t="n">
        <v>950</v>
      </c>
      <c r="V11" s="21" t="n">
        <v>150</v>
      </c>
      <c r="W11" s="21" t="n">
        <f aca="false">SUM(T11:V11)</f>
        <v>1300</v>
      </c>
      <c r="X11" s="21" t="n">
        <f aca="false">S11/(1+$B$2)^$B11</f>
        <v>221.18953903597</v>
      </c>
      <c r="Y11" s="21" t="n">
        <f aca="false">W11/(1+$B$2)^$B11</f>
        <v>884.758156143879</v>
      </c>
      <c r="AA11" s="21" t="n">
        <v>145</v>
      </c>
      <c r="AB11" s="21" t="n">
        <v>1300</v>
      </c>
      <c r="AC11" s="21" t="n">
        <v>250</v>
      </c>
      <c r="AD11" s="21" t="n">
        <v>500</v>
      </c>
      <c r="AE11" s="21" t="n">
        <f aca="false">SUM(AB11:AD11)</f>
        <v>2050</v>
      </c>
      <c r="AF11" s="21" t="n">
        <f aca="false">AA11/(1+$B$2)^$B11</f>
        <v>98.6845635698942</v>
      </c>
      <c r="AG11" s="21" t="n">
        <f aca="false">AE11/(1+$B$2)^$B11</f>
        <v>1395.19555391919</v>
      </c>
    </row>
    <row r="12" customFormat="false" ht="15" hidden="true" customHeight="false" outlineLevel="1" collapsed="false">
      <c r="B12" s="0" t="n">
        <v>6</v>
      </c>
      <c r="C12" s="21" t="n">
        <v>120</v>
      </c>
      <c r="D12" s="21" t="n">
        <v>580</v>
      </c>
      <c r="E12" s="21" t="n">
        <v>700</v>
      </c>
      <c r="F12" s="21" t="n">
        <v>400</v>
      </c>
      <c r="G12" s="21" t="n">
        <f aca="false">SUM(D12:F12)</f>
        <v>1680</v>
      </c>
      <c r="H12" s="21" t="n">
        <f aca="false">C12/(1+$B$2)^$B12</f>
        <v>75.6203552259726</v>
      </c>
      <c r="I12" s="21" t="n">
        <f aca="false">G12/(1+$B$2)^$B12</f>
        <v>1058.68497316362</v>
      </c>
      <c r="K12" s="21" t="n">
        <v>480</v>
      </c>
      <c r="L12" s="21" t="n">
        <v>700</v>
      </c>
      <c r="M12" s="21" t="n">
        <v>550</v>
      </c>
      <c r="N12" s="21" t="n">
        <v>750</v>
      </c>
      <c r="O12" s="21" t="n">
        <f aca="false">SUM(L12:N12)</f>
        <v>2000</v>
      </c>
      <c r="P12" s="21" t="n">
        <f aca="false">K12/(1+$B$2)^$B12</f>
        <v>302.48142090389</v>
      </c>
      <c r="Q12" s="21" t="n">
        <f aca="false">O12/(1+$B$2)^$B12</f>
        <v>1260.33925376621</v>
      </c>
      <c r="S12" s="21" t="n">
        <v>325</v>
      </c>
      <c r="T12" s="21" t="n">
        <v>200</v>
      </c>
      <c r="U12" s="21" t="n">
        <v>950</v>
      </c>
      <c r="V12" s="21" t="n">
        <v>150</v>
      </c>
      <c r="W12" s="21" t="n">
        <f aca="false">SUM(T12:V12)</f>
        <v>1300</v>
      </c>
      <c r="X12" s="21" t="n">
        <f aca="false">S12/(1+$B$2)^$B12</f>
        <v>204.805128737009</v>
      </c>
      <c r="Y12" s="21" t="n">
        <f aca="false">W12/(1+$B$2)^$B12</f>
        <v>819.220514948036</v>
      </c>
      <c r="AA12" s="21" t="n">
        <v>145</v>
      </c>
      <c r="AB12" s="21" t="n">
        <v>1300</v>
      </c>
      <c r="AC12" s="21" t="n">
        <v>250</v>
      </c>
      <c r="AD12" s="21" t="n">
        <v>500</v>
      </c>
      <c r="AE12" s="21" t="n">
        <f aca="false">SUM(AB12:AD12)</f>
        <v>2050</v>
      </c>
      <c r="AF12" s="21" t="n">
        <f aca="false">AA12/(1+$B$2)^$B12</f>
        <v>91.3745958980502</v>
      </c>
      <c r="AG12" s="21" t="n">
        <f aca="false">AE12/(1+$B$2)^$B12</f>
        <v>1291.84773511036</v>
      </c>
    </row>
    <row r="13" customFormat="false" ht="15" hidden="true" customHeight="false" outlineLevel="1" collapsed="false">
      <c r="B13" s="0" t="n">
        <v>7</v>
      </c>
      <c r="C13" s="21" t="n">
        <v>120</v>
      </c>
      <c r="D13" s="21" t="n">
        <v>580</v>
      </c>
      <c r="E13" s="21" t="n">
        <v>700</v>
      </c>
      <c r="F13" s="21" t="n">
        <v>400</v>
      </c>
      <c r="G13" s="21" t="n">
        <f aca="false">SUM(D13:F13)</f>
        <v>1680</v>
      </c>
      <c r="H13" s="21" t="n">
        <f aca="false">C13/(1+$B$2)^$B13</f>
        <v>70.0188474314561</v>
      </c>
      <c r="I13" s="21" t="n">
        <f aca="false">G13/(1+$B$2)^$B13</f>
        <v>980.263864040385</v>
      </c>
      <c r="K13" s="21" t="n">
        <v>480</v>
      </c>
      <c r="L13" s="21" t="n">
        <v>700</v>
      </c>
      <c r="M13" s="21" t="n">
        <v>550</v>
      </c>
      <c r="N13" s="21" t="n">
        <v>750</v>
      </c>
      <c r="O13" s="21" t="n">
        <f aca="false">SUM(L13:N13)</f>
        <v>2000</v>
      </c>
      <c r="P13" s="21" t="n">
        <f aca="false">K13/(1+$B$2)^$B13</f>
        <v>280.075389725824</v>
      </c>
      <c r="Q13" s="21" t="n">
        <f aca="false">O13/(1+$B$2)^$B13</f>
        <v>1166.98079052427</v>
      </c>
      <c r="S13" s="21" t="n">
        <v>325</v>
      </c>
      <c r="T13" s="21" t="n">
        <v>200</v>
      </c>
      <c r="U13" s="21" t="n">
        <v>950</v>
      </c>
      <c r="V13" s="21" t="n">
        <v>150</v>
      </c>
      <c r="W13" s="21" t="n">
        <f aca="false">SUM(T13:V13)</f>
        <v>1300</v>
      </c>
      <c r="X13" s="21" t="n">
        <f aca="false">S13/(1+$B$2)^$B13</f>
        <v>189.634378460193</v>
      </c>
      <c r="Y13" s="21" t="n">
        <f aca="false">W13/(1+$B$2)^$B13</f>
        <v>758.537513840774</v>
      </c>
      <c r="AA13" s="21" t="n">
        <v>145</v>
      </c>
      <c r="AB13" s="21" t="n">
        <v>1300</v>
      </c>
      <c r="AC13" s="21" t="n">
        <v>250</v>
      </c>
      <c r="AD13" s="21" t="n">
        <v>500</v>
      </c>
      <c r="AE13" s="21" t="n">
        <f aca="false">SUM(AB13:AD13)</f>
        <v>2050</v>
      </c>
      <c r="AF13" s="21" t="n">
        <f aca="false">AA13/(1+$B$2)^$B13</f>
        <v>84.6061073130094</v>
      </c>
      <c r="AG13" s="21" t="n">
        <f aca="false">AE13/(1+$B$2)^$B13</f>
        <v>1196.15531028737</v>
      </c>
    </row>
    <row r="14" customFormat="false" ht="15" hidden="true" customHeight="false" outlineLevel="1" collapsed="false">
      <c r="B14" s="0" t="n">
        <v>8</v>
      </c>
      <c r="C14" s="21" t="n">
        <v>120</v>
      </c>
      <c r="D14" s="21" t="n">
        <v>580</v>
      </c>
      <c r="E14" s="21" t="n">
        <v>700</v>
      </c>
      <c r="F14" s="21" t="n">
        <v>400</v>
      </c>
      <c r="G14" s="21" t="n">
        <f aca="false">SUM(D14:F14)</f>
        <v>1680</v>
      </c>
      <c r="H14" s="21" t="n">
        <f aca="false">C14/(1+$B$2)^$B14</f>
        <v>64.8322661402371</v>
      </c>
      <c r="I14" s="21" t="n">
        <f aca="false">G14/(1+$B$2)^$B14</f>
        <v>907.651725963319</v>
      </c>
      <c r="K14" s="21" t="n">
        <v>480</v>
      </c>
      <c r="L14" s="21" t="n">
        <v>700</v>
      </c>
      <c r="M14" s="21" t="n">
        <v>550</v>
      </c>
      <c r="N14" s="21" t="n">
        <v>750</v>
      </c>
      <c r="O14" s="21" t="n">
        <f aca="false">SUM(L14:N14)</f>
        <v>2000</v>
      </c>
      <c r="P14" s="21" t="n">
        <f aca="false">K14/(1+$B$2)^$B14</f>
        <v>259.329064560948</v>
      </c>
      <c r="Q14" s="21" t="n">
        <f aca="false">O14/(1+$B$2)^$B14</f>
        <v>1080.53776900395</v>
      </c>
      <c r="S14" s="21" t="n">
        <v>325</v>
      </c>
      <c r="T14" s="21" t="n">
        <v>200</v>
      </c>
      <c r="U14" s="21" t="n">
        <v>950</v>
      </c>
      <c r="V14" s="21" t="n">
        <v>150</v>
      </c>
      <c r="W14" s="21" t="n">
        <f aca="false">SUM(T14:V14)</f>
        <v>1300</v>
      </c>
      <c r="X14" s="21" t="n">
        <f aca="false">S14/(1+$B$2)^$B14</f>
        <v>175.587387463142</v>
      </c>
      <c r="Y14" s="21" t="n">
        <f aca="false">W14/(1+$B$2)^$B14</f>
        <v>702.349549852568</v>
      </c>
      <c r="AA14" s="21" t="n">
        <v>145</v>
      </c>
      <c r="AB14" s="21" t="n">
        <v>1300</v>
      </c>
      <c r="AC14" s="21" t="n">
        <v>250</v>
      </c>
      <c r="AD14" s="21" t="n">
        <v>500</v>
      </c>
      <c r="AE14" s="21" t="n">
        <f aca="false">SUM(AB14:AD14)</f>
        <v>2050</v>
      </c>
      <c r="AF14" s="21" t="n">
        <f aca="false">AA14/(1+$B$2)^$B14</f>
        <v>78.3389882527865</v>
      </c>
      <c r="AG14" s="21" t="n">
        <f aca="false">AE14/(1+$B$2)^$B14</f>
        <v>1107.55121322905</v>
      </c>
    </row>
    <row r="15" customFormat="false" ht="15" hidden="true" customHeight="false" outlineLevel="1" collapsed="false">
      <c r="B15" s="0" t="n">
        <v>9</v>
      </c>
      <c r="C15" s="21" t="n">
        <v>120</v>
      </c>
      <c r="D15" s="21" t="n">
        <v>580</v>
      </c>
      <c r="E15" s="21" t="n">
        <v>700</v>
      </c>
      <c r="F15" s="21" t="n">
        <v>400</v>
      </c>
      <c r="G15" s="21" t="n">
        <f aca="false">SUM(D15:F15)</f>
        <v>1680</v>
      </c>
      <c r="H15" s="21" t="n">
        <f aca="false">C15/(1+$B$2)^$B15</f>
        <v>60.0298760557751</v>
      </c>
      <c r="I15" s="21" t="n">
        <f aca="false">G15/(1+$B$2)^$B15</f>
        <v>840.418264780851</v>
      </c>
      <c r="K15" s="21" t="n">
        <v>480</v>
      </c>
      <c r="L15" s="21" t="n">
        <v>700</v>
      </c>
      <c r="M15" s="21" t="n">
        <v>550</v>
      </c>
      <c r="N15" s="21" t="n">
        <v>750</v>
      </c>
      <c r="O15" s="21" t="n">
        <f aca="false">SUM(L15:N15)</f>
        <v>2000</v>
      </c>
      <c r="P15" s="21" t="n">
        <f aca="false">K15/(1+$B$2)^$B15</f>
        <v>240.1195042231</v>
      </c>
      <c r="Q15" s="21" t="n">
        <f aca="false">O15/(1+$B$2)^$B15</f>
        <v>1000.49793426292</v>
      </c>
      <c r="S15" s="21" t="n">
        <v>325</v>
      </c>
      <c r="T15" s="21" t="n">
        <v>200</v>
      </c>
      <c r="U15" s="21" t="n">
        <v>950</v>
      </c>
      <c r="V15" s="21" t="n">
        <v>150</v>
      </c>
      <c r="W15" s="21" t="n">
        <f aca="false">SUM(T15:V15)</f>
        <v>1300</v>
      </c>
      <c r="X15" s="21" t="n">
        <f aca="false">S15/(1+$B$2)^$B15</f>
        <v>162.580914317724</v>
      </c>
      <c r="Y15" s="21" t="n">
        <f aca="false">W15/(1+$B$2)^$B15</f>
        <v>650.323657270897</v>
      </c>
      <c r="AA15" s="21" t="n">
        <v>145</v>
      </c>
      <c r="AB15" s="21" t="n">
        <v>1300</v>
      </c>
      <c r="AC15" s="21" t="n">
        <v>250</v>
      </c>
      <c r="AD15" s="21" t="n">
        <v>500</v>
      </c>
      <c r="AE15" s="21" t="n">
        <f aca="false">SUM(AB15:AD15)</f>
        <v>2050</v>
      </c>
      <c r="AF15" s="21" t="n">
        <f aca="false">AA15/(1+$B$2)^$B15</f>
        <v>72.5361002340616</v>
      </c>
      <c r="AG15" s="21" t="n">
        <f aca="false">AE15/(1+$B$2)^$B15</f>
        <v>1025.51038261949</v>
      </c>
    </row>
    <row r="16" customFormat="false" ht="15" hidden="true" customHeight="false" outlineLevel="1" collapsed="false">
      <c r="B16" s="0" t="n">
        <v>10</v>
      </c>
      <c r="C16" s="21" t="n">
        <v>120</v>
      </c>
      <c r="D16" s="21" t="n">
        <v>580</v>
      </c>
      <c r="E16" s="21" t="n">
        <v>700</v>
      </c>
      <c r="F16" s="21" t="n">
        <v>400</v>
      </c>
      <c r="G16" s="21" t="n">
        <f aca="false">SUM(D16:F16)</f>
        <v>1680</v>
      </c>
      <c r="H16" s="21" t="n">
        <f aca="false">C16/(1+$B$2)^$B16</f>
        <v>55.5832185701621</v>
      </c>
      <c r="I16" s="21" t="n">
        <f aca="false">G16/(1+$B$2)^$B16</f>
        <v>778.165059982269</v>
      </c>
      <c r="K16" s="21" t="n">
        <v>480</v>
      </c>
      <c r="L16" s="21" t="n">
        <v>700</v>
      </c>
      <c r="M16" s="21" t="n">
        <v>550</v>
      </c>
      <c r="N16" s="21" t="n">
        <v>750</v>
      </c>
      <c r="O16" s="21" t="n">
        <f aca="false">SUM(L16:N16)</f>
        <v>2000</v>
      </c>
      <c r="P16" s="21" t="n">
        <f aca="false">K16/(1+$B$2)^$B16</f>
        <v>222.332874280648</v>
      </c>
      <c r="Q16" s="21" t="n">
        <f aca="false">O16/(1+$B$2)^$B16</f>
        <v>926.386976169368</v>
      </c>
      <c r="S16" s="21" t="n">
        <v>325</v>
      </c>
      <c r="T16" s="21" t="n">
        <v>200</v>
      </c>
      <c r="U16" s="21" t="n">
        <v>950</v>
      </c>
      <c r="V16" s="21" t="n">
        <v>150</v>
      </c>
      <c r="W16" s="21" t="n">
        <f aca="false">SUM(T16:V16)</f>
        <v>1300</v>
      </c>
      <c r="X16" s="21" t="n">
        <f aca="false">S16/(1+$B$2)^$B16</f>
        <v>150.537883627522</v>
      </c>
      <c r="Y16" s="21" t="n">
        <f aca="false">W16/(1+$B$2)^$B16</f>
        <v>602.151534510089</v>
      </c>
      <c r="AA16" s="21" t="n">
        <v>145</v>
      </c>
      <c r="AB16" s="21" t="n">
        <v>1300</v>
      </c>
      <c r="AC16" s="21" t="n">
        <v>250</v>
      </c>
      <c r="AD16" s="21" t="n">
        <v>500</v>
      </c>
      <c r="AE16" s="21" t="n">
        <f aca="false">SUM(AB16:AD16)</f>
        <v>2050</v>
      </c>
      <c r="AF16" s="21" t="n">
        <f aca="false">AA16/(1+$B$2)^$B16</f>
        <v>67.1630557722792</v>
      </c>
      <c r="AG16" s="21" t="n">
        <f aca="false">AE16/(1+$B$2)^$B16</f>
        <v>949.546650573603</v>
      </c>
    </row>
    <row r="17" customFormat="false" ht="15" hidden="true" customHeight="false" outlineLevel="1" collapsed="false">
      <c r="B17" s="0" t="n">
        <v>11</v>
      </c>
      <c r="C17" s="21" t="n">
        <v>120</v>
      </c>
      <c r="D17" s="21" t="n">
        <v>580</v>
      </c>
      <c r="E17" s="21" t="n">
        <v>700</v>
      </c>
      <c r="F17" s="21" t="n">
        <v>400</v>
      </c>
      <c r="G17" s="21" t="n">
        <f aca="false">SUM(D17:F17)</f>
        <v>1680</v>
      </c>
      <c r="H17" s="21" t="n">
        <f aca="false">C17/(1+$B$2)^$B17</f>
        <v>51.4659431205205</v>
      </c>
      <c r="I17" s="21" t="n">
        <f aca="false">G17/(1+$B$2)^$B17</f>
        <v>720.523203687287</v>
      </c>
      <c r="K17" s="21" t="n">
        <v>480</v>
      </c>
      <c r="L17" s="21" t="n">
        <v>700</v>
      </c>
      <c r="M17" s="21" t="n">
        <v>550</v>
      </c>
      <c r="N17" s="21" t="n">
        <v>750</v>
      </c>
      <c r="O17" s="21" t="n">
        <f aca="false">SUM(L17:N17)</f>
        <v>2000</v>
      </c>
      <c r="P17" s="21" t="n">
        <f aca="false">K17/(1+$B$2)^$B17</f>
        <v>205.863772482082</v>
      </c>
      <c r="Q17" s="21" t="n">
        <f aca="false">O17/(1+$B$2)^$B17</f>
        <v>857.765718675341</v>
      </c>
      <c r="S17" s="21" t="n">
        <v>325</v>
      </c>
      <c r="T17" s="21" t="n">
        <v>200</v>
      </c>
      <c r="U17" s="21" t="n">
        <v>950</v>
      </c>
      <c r="V17" s="21" t="n">
        <v>150</v>
      </c>
      <c r="W17" s="21" t="n">
        <f aca="false">SUM(T17:V17)</f>
        <v>1300</v>
      </c>
      <c r="X17" s="21" t="n">
        <f aca="false">S17/(1+$B$2)^$B17</f>
        <v>139.386929284743</v>
      </c>
      <c r="Y17" s="21" t="n">
        <f aca="false">W17/(1+$B$2)^$B17</f>
        <v>557.547717138972</v>
      </c>
      <c r="AA17" s="21" t="n">
        <v>145</v>
      </c>
      <c r="AB17" s="21" t="n">
        <v>1300</v>
      </c>
      <c r="AC17" s="21" t="n">
        <v>250</v>
      </c>
      <c r="AD17" s="21" t="n">
        <v>500</v>
      </c>
      <c r="AE17" s="21" t="n">
        <f aca="false">SUM(AB17:AD17)</f>
        <v>2050</v>
      </c>
      <c r="AF17" s="21" t="n">
        <f aca="false">AA17/(1+$B$2)^$B17</f>
        <v>62.1880146039622</v>
      </c>
      <c r="AG17" s="21" t="n">
        <f aca="false">AE17/(1+$B$2)^$B17</f>
        <v>879.209861642225</v>
      </c>
    </row>
    <row r="18" customFormat="false" ht="15" hidden="true" customHeight="false" outlineLevel="1" collapsed="false">
      <c r="B18" s="0" t="n">
        <v>12</v>
      </c>
      <c r="C18" s="21" t="n">
        <v>120</v>
      </c>
      <c r="D18" s="21" t="n">
        <v>580</v>
      </c>
      <c r="E18" s="21" t="n">
        <v>700</v>
      </c>
      <c r="F18" s="21" t="n">
        <v>400</v>
      </c>
      <c r="G18" s="21" t="n">
        <f aca="false">SUM(D18:F18)</f>
        <v>1680</v>
      </c>
      <c r="H18" s="21" t="n">
        <f aca="false">C18/(1+$B$2)^$B18</f>
        <v>47.6536510375189</v>
      </c>
      <c r="I18" s="21" t="n">
        <f aca="false">G18/(1+$B$2)^$B18</f>
        <v>667.151114525265</v>
      </c>
      <c r="K18" s="21" t="n">
        <v>480</v>
      </c>
      <c r="L18" s="21" t="n">
        <v>700</v>
      </c>
      <c r="M18" s="21" t="n">
        <v>550</v>
      </c>
      <c r="N18" s="21" t="n">
        <v>750</v>
      </c>
      <c r="O18" s="21" t="n">
        <f aca="false">SUM(L18:N18)</f>
        <v>2000</v>
      </c>
      <c r="P18" s="21" t="n">
        <f aca="false">K18/(1+$B$2)^$B18</f>
        <v>190.614604150076</v>
      </c>
      <c r="Q18" s="21" t="n">
        <f aca="false">O18/(1+$B$2)^$B18</f>
        <v>794.227517291982</v>
      </c>
      <c r="S18" s="21" t="n">
        <v>325</v>
      </c>
      <c r="T18" s="21" t="n">
        <v>200</v>
      </c>
      <c r="U18" s="21" t="n">
        <v>950</v>
      </c>
      <c r="V18" s="21" t="n">
        <v>150</v>
      </c>
      <c r="W18" s="21" t="n">
        <f aca="false">SUM(T18:V18)</f>
        <v>1300</v>
      </c>
      <c r="X18" s="21" t="n">
        <f aca="false">S18/(1+$B$2)^$B18</f>
        <v>129.061971559947</v>
      </c>
      <c r="Y18" s="21" t="n">
        <f aca="false">W18/(1+$B$2)^$B18</f>
        <v>516.247886239789</v>
      </c>
      <c r="AA18" s="21" t="n">
        <v>145</v>
      </c>
      <c r="AB18" s="21" t="n">
        <v>1300</v>
      </c>
      <c r="AC18" s="21" t="n">
        <v>250</v>
      </c>
      <c r="AD18" s="21" t="n">
        <v>500</v>
      </c>
      <c r="AE18" s="21" t="n">
        <f aca="false">SUM(AB18:AD18)</f>
        <v>2050</v>
      </c>
      <c r="AF18" s="21" t="n">
        <f aca="false">AA18/(1+$B$2)^$B18</f>
        <v>57.5814950036687</v>
      </c>
      <c r="AG18" s="21" t="n">
        <f aca="false">AE18/(1+$B$2)^$B18</f>
        <v>814.083205224282</v>
      </c>
    </row>
    <row r="19" customFormat="false" ht="15" hidden="true" customHeight="false" outlineLevel="1" collapsed="false">
      <c r="B19" s="0" t="n">
        <v>13</v>
      </c>
      <c r="C19" s="21" t="n">
        <v>120</v>
      </c>
      <c r="D19" s="21" t="n">
        <v>580</v>
      </c>
      <c r="E19" s="21" t="n">
        <v>700</v>
      </c>
      <c r="F19" s="21" t="n">
        <v>400</v>
      </c>
      <c r="G19" s="21" t="n">
        <f aca="false">SUM(D19:F19)</f>
        <v>1680</v>
      </c>
      <c r="H19" s="21" t="n">
        <f aca="false">C19/(1+$B$2)^$B19</f>
        <v>44.1237509606657</v>
      </c>
      <c r="I19" s="21" t="n">
        <f aca="false">G19/(1+$B$2)^$B19</f>
        <v>617.73251344932</v>
      </c>
      <c r="K19" s="21" t="n">
        <v>480</v>
      </c>
      <c r="L19" s="21" t="n">
        <v>700</v>
      </c>
      <c r="M19" s="21" t="n">
        <v>550</v>
      </c>
      <c r="N19" s="21" t="n">
        <v>750</v>
      </c>
      <c r="O19" s="21" t="n">
        <f aca="false">SUM(L19:N19)</f>
        <v>2000</v>
      </c>
      <c r="P19" s="21" t="n">
        <f aca="false">K19/(1+$B$2)^$B19</f>
        <v>176.495003842663</v>
      </c>
      <c r="Q19" s="21" t="n">
        <f aca="false">O19/(1+$B$2)^$B19</f>
        <v>735.395849344428</v>
      </c>
      <c r="S19" s="21" t="n">
        <v>325</v>
      </c>
      <c r="T19" s="21" t="n">
        <v>200</v>
      </c>
      <c r="U19" s="21" t="n">
        <v>950</v>
      </c>
      <c r="V19" s="21" t="n">
        <v>150</v>
      </c>
      <c r="W19" s="21" t="n">
        <f aca="false">SUM(T19:V19)</f>
        <v>1300</v>
      </c>
      <c r="X19" s="21" t="n">
        <f aca="false">S19/(1+$B$2)^$B19</f>
        <v>119.50182551847</v>
      </c>
      <c r="Y19" s="21" t="n">
        <f aca="false">W19/(1+$B$2)^$B19</f>
        <v>478.007302073878</v>
      </c>
      <c r="AA19" s="21" t="n">
        <v>145</v>
      </c>
      <c r="AB19" s="21" t="n">
        <v>1300</v>
      </c>
      <c r="AC19" s="21" t="n">
        <v>250</v>
      </c>
      <c r="AD19" s="21" t="n">
        <v>500</v>
      </c>
      <c r="AE19" s="21" t="n">
        <f aca="false">SUM(AB19:AD19)</f>
        <v>2050</v>
      </c>
      <c r="AF19" s="21" t="n">
        <f aca="false">AA19/(1+$B$2)^$B19</f>
        <v>53.316199077471</v>
      </c>
      <c r="AG19" s="21" t="n">
        <f aca="false">AE19/(1+$B$2)^$B19</f>
        <v>753.780745578039</v>
      </c>
    </row>
    <row r="20" customFormat="false" ht="15" hidden="true" customHeight="false" outlineLevel="1" collapsed="false">
      <c r="B20" s="0" t="n">
        <v>14</v>
      </c>
      <c r="C20" s="21" t="n">
        <v>120</v>
      </c>
      <c r="D20" s="21" t="n">
        <v>580</v>
      </c>
      <c r="E20" s="21" t="n">
        <v>700</v>
      </c>
      <c r="F20" s="21" t="n">
        <v>400</v>
      </c>
      <c r="G20" s="21" t="n">
        <f aca="false">SUM(D20:F20)</f>
        <v>1680</v>
      </c>
      <c r="H20" s="21" t="n">
        <f aca="false">C20/(1+$B$2)^$B20</f>
        <v>40.8553249635793</v>
      </c>
      <c r="I20" s="21" t="n">
        <f aca="false">G20/(1+$B$2)^$B20</f>
        <v>571.974549490111</v>
      </c>
      <c r="K20" s="21" t="n">
        <v>480</v>
      </c>
      <c r="L20" s="21" t="n">
        <v>700</v>
      </c>
      <c r="M20" s="21" t="n">
        <v>550</v>
      </c>
      <c r="N20" s="21" t="n">
        <v>750</v>
      </c>
      <c r="O20" s="21" t="n">
        <f aca="false">SUM(L20:N20)</f>
        <v>2000</v>
      </c>
      <c r="P20" s="21" t="n">
        <f aca="false">K20/(1+$B$2)^$B20</f>
        <v>163.421299854317</v>
      </c>
      <c r="Q20" s="21" t="n">
        <f aca="false">O20/(1+$B$2)^$B20</f>
        <v>680.922082726322</v>
      </c>
      <c r="S20" s="21" t="n">
        <v>325</v>
      </c>
      <c r="T20" s="21" t="n">
        <v>200</v>
      </c>
      <c r="U20" s="21" t="n">
        <v>950</v>
      </c>
      <c r="V20" s="21" t="n">
        <v>150</v>
      </c>
      <c r="W20" s="21" t="n">
        <f aca="false">SUM(T20:V20)</f>
        <v>1300</v>
      </c>
      <c r="X20" s="21" t="n">
        <f aca="false">S20/(1+$B$2)^$B20</f>
        <v>110.649838443027</v>
      </c>
      <c r="Y20" s="21" t="n">
        <f aca="false">W20/(1+$B$2)^$B20</f>
        <v>442.599353772109</v>
      </c>
      <c r="AA20" s="21" t="n">
        <v>145</v>
      </c>
      <c r="AB20" s="21" t="n">
        <v>1300</v>
      </c>
      <c r="AC20" s="21" t="n">
        <v>250</v>
      </c>
      <c r="AD20" s="21" t="n">
        <v>500</v>
      </c>
      <c r="AE20" s="21" t="n">
        <f aca="false">SUM(AB20:AD20)</f>
        <v>2050</v>
      </c>
      <c r="AF20" s="21" t="n">
        <f aca="false">AA20/(1+$B$2)^$B20</f>
        <v>49.3668509976584</v>
      </c>
      <c r="AG20" s="21" t="n">
        <f aca="false">AE20/(1+$B$2)^$B20</f>
        <v>697.94513479448</v>
      </c>
    </row>
    <row r="21" customFormat="false" ht="15" hidden="true" customHeight="false" outlineLevel="1" collapsed="false">
      <c r="B21" s="0" t="n">
        <v>15</v>
      </c>
      <c r="C21" s="21" t="n">
        <v>120</v>
      </c>
      <c r="D21" s="21" t="n">
        <v>580</v>
      </c>
      <c r="E21" s="21" t="n">
        <v>700</v>
      </c>
      <c r="F21" s="21" t="n">
        <v>400</v>
      </c>
      <c r="G21" s="21" t="n">
        <f aca="false">SUM(D21:F21)</f>
        <v>1680</v>
      </c>
      <c r="H21" s="21" t="n">
        <f aca="false">C21/(1+$B$2)^$B21</f>
        <v>37.8290045959068</v>
      </c>
      <c r="I21" s="21" t="n">
        <f aca="false">G21/(1+$B$2)^$B21</f>
        <v>529.606064342695</v>
      </c>
      <c r="K21" s="21" t="n">
        <v>480</v>
      </c>
      <c r="L21" s="21" t="n">
        <v>700</v>
      </c>
      <c r="M21" s="21" t="n">
        <v>550</v>
      </c>
      <c r="N21" s="21" t="n">
        <v>750</v>
      </c>
      <c r="O21" s="21" t="n">
        <f aca="false">SUM(L21:N21)</f>
        <v>2000</v>
      </c>
      <c r="P21" s="21" t="n">
        <f aca="false">K21/(1+$B$2)^$B21</f>
        <v>151.316018383627</v>
      </c>
      <c r="Q21" s="21" t="n">
        <f aca="false">O21/(1+$B$2)^$B21</f>
        <v>630.48340993178</v>
      </c>
      <c r="S21" s="21" t="n">
        <v>325</v>
      </c>
      <c r="T21" s="21" t="n">
        <v>200</v>
      </c>
      <c r="U21" s="21" t="n">
        <v>950</v>
      </c>
      <c r="V21" s="21" t="n">
        <v>150</v>
      </c>
      <c r="W21" s="21" t="n">
        <f aca="false">SUM(T21:V21)</f>
        <v>1300</v>
      </c>
      <c r="X21" s="21" t="n">
        <f aca="false">S21/(1+$B$2)^$B21</f>
        <v>102.453554113914</v>
      </c>
      <c r="Y21" s="21" t="n">
        <f aca="false">W21/(1+$B$2)^$B21</f>
        <v>409.814216455657</v>
      </c>
      <c r="AA21" s="21" t="n">
        <v>145</v>
      </c>
      <c r="AB21" s="21" t="n">
        <v>1300</v>
      </c>
      <c r="AC21" s="21" t="n">
        <v>250</v>
      </c>
      <c r="AD21" s="21" t="n">
        <v>500</v>
      </c>
      <c r="AE21" s="21" t="n">
        <f aca="false">SUM(AB21:AD21)</f>
        <v>2050</v>
      </c>
      <c r="AF21" s="21" t="n">
        <f aca="false">AA21/(1+$B$2)^$B21</f>
        <v>45.710047220054</v>
      </c>
      <c r="AG21" s="21" t="n">
        <f aca="false">AE21/(1+$B$2)^$B21</f>
        <v>646.245495180074</v>
      </c>
    </row>
    <row r="22" customFormat="false" ht="15" hidden="true" customHeight="false" outlineLevel="1" collapsed="false">
      <c r="B22" s="0" t="n">
        <v>16</v>
      </c>
      <c r="C22" s="21" t="n">
        <v>120</v>
      </c>
      <c r="D22" s="21" t="n">
        <v>580</v>
      </c>
      <c r="E22" s="21" t="n">
        <v>700</v>
      </c>
      <c r="F22" s="21" t="n">
        <v>400</v>
      </c>
      <c r="G22" s="21" t="n">
        <f aca="false">SUM(D22:F22)</f>
        <v>1680</v>
      </c>
      <c r="H22" s="21" t="n">
        <f aca="false">C22/(1+$B$2)^$B22</f>
        <v>35.0268561073211</v>
      </c>
      <c r="I22" s="21" t="n">
        <f aca="false">G22/(1+$B$2)^$B22</f>
        <v>490.375985502495</v>
      </c>
      <c r="K22" s="21" t="n">
        <v>480</v>
      </c>
      <c r="L22" s="21" t="n">
        <v>700</v>
      </c>
      <c r="M22" s="21" t="n">
        <v>550</v>
      </c>
      <c r="N22" s="21" t="n">
        <v>750</v>
      </c>
      <c r="O22" s="21" t="n">
        <f aca="false">SUM(L22:N22)</f>
        <v>2000</v>
      </c>
      <c r="P22" s="21" t="n">
        <f aca="false">K22/(1+$B$2)^$B22</f>
        <v>140.107424429284</v>
      </c>
      <c r="Q22" s="21" t="n">
        <f aca="false">O22/(1+$B$2)^$B22</f>
        <v>583.780935122018</v>
      </c>
      <c r="S22" s="21" t="n">
        <v>325</v>
      </c>
      <c r="T22" s="21" t="n">
        <v>200</v>
      </c>
      <c r="U22" s="21" t="n">
        <v>950</v>
      </c>
      <c r="V22" s="21" t="n">
        <v>150</v>
      </c>
      <c r="W22" s="21" t="n">
        <f aca="false">SUM(T22:V22)</f>
        <v>1300</v>
      </c>
      <c r="X22" s="21" t="n">
        <f aca="false">S22/(1+$B$2)^$B22</f>
        <v>94.864401957328</v>
      </c>
      <c r="Y22" s="21" t="n">
        <f aca="false">W22/(1+$B$2)^$B22</f>
        <v>379.457607829312</v>
      </c>
      <c r="AA22" s="21" t="n">
        <v>145</v>
      </c>
      <c r="AB22" s="21" t="n">
        <v>1300</v>
      </c>
      <c r="AC22" s="21" t="n">
        <v>250</v>
      </c>
      <c r="AD22" s="21" t="n">
        <v>500</v>
      </c>
      <c r="AE22" s="21" t="n">
        <f aca="false">SUM(AB22:AD22)</f>
        <v>2050</v>
      </c>
      <c r="AF22" s="21" t="n">
        <f aca="false">AA22/(1+$B$2)^$B22</f>
        <v>42.3241177963463</v>
      </c>
      <c r="AG22" s="21" t="n">
        <f aca="false">AE22/(1+$B$2)^$B22</f>
        <v>598.375458500069</v>
      </c>
    </row>
    <row r="23" customFormat="false" ht="15" hidden="true" customHeight="false" outlineLevel="1" collapsed="false">
      <c r="B23" s="0" t="n">
        <v>17</v>
      </c>
      <c r="C23" s="21" t="n">
        <v>120</v>
      </c>
      <c r="D23" s="21" t="n">
        <v>580</v>
      </c>
      <c r="E23" s="21" t="n">
        <v>700</v>
      </c>
      <c r="F23" s="21" t="n">
        <v>400</v>
      </c>
      <c r="G23" s="21" t="n">
        <f aca="false">SUM(D23:F23)</f>
        <v>1680</v>
      </c>
      <c r="H23" s="21" t="n">
        <f aca="false">C23/(1+$B$2)^$B23</f>
        <v>32.4322741734455</v>
      </c>
      <c r="I23" s="21" t="n">
        <f aca="false">G23/(1+$B$2)^$B23</f>
        <v>454.051838428236</v>
      </c>
      <c r="K23" s="21" t="n">
        <v>480</v>
      </c>
      <c r="L23" s="21" t="n">
        <v>700</v>
      </c>
      <c r="M23" s="21" t="n">
        <v>550</v>
      </c>
      <c r="N23" s="21" t="n">
        <v>750</v>
      </c>
      <c r="O23" s="21" t="n">
        <f aca="false">SUM(L23:N23)</f>
        <v>2000</v>
      </c>
      <c r="P23" s="21" t="n">
        <f aca="false">K23/(1+$B$2)^$B23</f>
        <v>129.729096693782</v>
      </c>
      <c r="Q23" s="21" t="n">
        <f aca="false">O23/(1+$B$2)^$B23</f>
        <v>540.537902890758</v>
      </c>
      <c r="S23" s="21" t="n">
        <v>325</v>
      </c>
      <c r="T23" s="21" t="n">
        <v>200</v>
      </c>
      <c r="U23" s="21" t="n">
        <v>950</v>
      </c>
      <c r="V23" s="21" t="n">
        <v>150</v>
      </c>
      <c r="W23" s="21" t="n">
        <f aca="false">SUM(T23:V23)</f>
        <v>1300</v>
      </c>
      <c r="X23" s="21" t="n">
        <f aca="false">S23/(1+$B$2)^$B23</f>
        <v>87.8374092197481</v>
      </c>
      <c r="Y23" s="21" t="n">
        <f aca="false">W23/(1+$B$2)^$B23</f>
        <v>351.349636878992</v>
      </c>
      <c r="AA23" s="21" t="n">
        <v>145</v>
      </c>
      <c r="AB23" s="21" t="n">
        <v>1300</v>
      </c>
      <c r="AC23" s="21" t="n">
        <v>250</v>
      </c>
      <c r="AD23" s="21" t="n">
        <v>500</v>
      </c>
      <c r="AE23" s="21" t="n">
        <f aca="false">SUM(AB23:AD23)</f>
        <v>2050</v>
      </c>
      <c r="AF23" s="21" t="n">
        <f aca="false">AA23/(1+$B$2)^$B23</f>
        <v>39.1889979595799</v>
      </c>
      <c r="AG23" s="21" t="n">
        <f aca="false">AE23/(1+$B$2)^$B23</f>
        <v>554.051350463027</v>
      </c>
    </row>
    <row r="24" customFormat="false" ht="15" hidden="true" customHeight="false" outlineLevel="1" collapsed="false">
      <c r="B24" s="0" t="n">
        <v>18</v>
      </c>
      <c r="C24" s="21" t="n">
        <v>120</v>
      </c>
      <c r="D24" s="21" t="n">
        <v>580</v>
      </c>
      <c r="E24" s="21" t="n">
        <v>700</v>
      </c>
      <c r="F24" s="21" t="n">
        <v>400</v>
      </c>
      <c r="G24" s="21" t="n">
        <f aca="false">SUM(D24:F24)</f>
        <v>1680</v>
      </c>
      <c r="H24" s="21" t="n">
        <f aca="false">C24/(1+$B$2)^$B24</f>
        <v>30.029883493931</v>
      </c>
      <c r="I24" s="21" t="n">
        <f aca="false">G24/(1+$B$2)^$B24</f>
        <v>420.418368915034</v>
      </c>
      <c r="K24" s="21" t="n">
        <v>480</v>
      </c>
      <c r="L24" s="21" t="n">
        <v>700</v>
      </c>
      <c r="M24" s="21" t="n">
        <v>550</v>
      </c>
      <c r="N24" s="21" t="n">
        <v>750</v>
      </c>
      <c r="O24" s="21" t="n">
        <f aca="false">SUM(L24:N24)</f>
        <v>2000</v>
      </c>
      <c r="P24" s="21" t="n">
        <f aca="false">K24/(1+$B$2)^$B24</f>
        <v>120.119533975724</v>
      </c>
      <c r="Q24" s="21" t="n">
        <f aca="false">O24/(1+$B$2)^$B24</f>
        <v>500.498058232183</v>
      </c>
      <c r="S24" s="21" t="n">
        <v>325</v>
      </c>
      <c r="T24" s="21" t="n">
        <v>200</v>
      </c>
      <c r="U24" s="21" t="n">
        <v>950</v>
      </c>
      <c r="V24" s="21" t="n">
        <v>150</v>
      </c>
      <c r="W24" s="21" t="n">
        <f aca="false">SUM(T24:V24)</f>
        <v>1300</v>
      </c>
      <c r="X24" s="21" t="n">
        <f aca="false">S24/(1+$B$2)^$B24</f>
        <v>81.3309344627297</v>
      </c>
      <c r="Y24" s="21" t="n">
        <f aca="false">W24/(1+$B$2)^$B24</f>
        <v>325.323737850919</v>
      </c>
      <c r="AA24" s="21" t="n">
        <v>145</v>
      </c>
      <c r="AB24" s="21" t="n">
        <v>1300</v>
      </c>
      <c r="AC24" s="21" t="n">
        <v>250</v>
      </c>
      <c r="AD24" s="21" t="n">
        <v>500</v>
      </c>
      <c r="AE24" s="21" t="n">
        <f aca="false">SUM(AB24:AD24)</f>
        <v>2050</v>
      </c>
      <c r="AF24" s="21" t="n">
        <f aca="false">AA24/(1+$B$2)^$B24</f>
        <v>36.2861092218333</v>
      </c>
      <c r="AG24" s="21" t="n">
        <f aca="false">AE24/(1+$B$2)^$B24</f>
        <v>513.010509687988</v>
      </c>
    </row>
    <row r="25" customFormat="false" ht="15" hidden="true" customHeight="false" outlineLevel="1" collapsed="false">
      <c r="B25" s="0" t="n">
        <v>19</v>
      </c>
      <c r="C25" s="21" t="n">
        <v>120</v>
      </c>
      <c r="D25" s="21" t="n">
        <v>580</v>
      </c>
      <c r="E25" s="21" t="n">
        <v>700</v>
      </c>
      <c r="F25" s="21" t="n">
        <v>400</v>
      </c>
      <c r="G25" s="21" t="n">
        <f aca="false">SUM(D25:F25)</f>
        <v>1680</v>
      </c>
      <c r="H25" s="21" t="n">
        <f aca="false">C25/(1+$B$2)^$B25</f>
        <v>27.8054476795657</v>
      </c>
      <c r="I25" s="21" t="n">
        <f aca="false">G25/(1+$B$2)^$B25</f>
        <v>389.27626751392</v>
      </c>
      <c r="K25" s="21" t="n">
        <v>480</v>
      </c>
      <c r="L25" s="21" t="n">
        <v>700</v>
      </c>
      <c r="M25" s="21" t="n">
        <v>550</v>
      </c>
      <c r="N25" s="21" t="n">
        <v>750</v>
      </c>
      <c r="O25" s="21" t="n">
        <f aca="false">SUM(L25:N25)</f>
        <v>2000</v>
      </c>
      <c r="P25" s="21" t="n">
        <f aca="false">K25/(1+$B$2)^$B25</f>
        <v>111.221790718263</v>
      </c>
      <c r="Q25" s="21" t="n">
        <f aca="false">O25/(1+$B$2)^$B25</f>
        <v>463.424127992762</v>
      </c>
      <c r="S25" s="21" t="n">
        <v>325</v>
      </c>
      <c r="T25" s="21" t="n">
        <v>200</v>
      </c>
      <c r="U25" s="21" t="n">
        <v>950</v>
      </c>
      <c r="V25" s="21" t="n">
        <v>150</v>
      </c>
      <c r="W25" s="21" t="n">
        <f aca="false">SUM(T25:V25)</f>
        <v>1300</v>
      </c>
      <c r="X25" s="21" t="n">
        <f aca="false">S25/(1+$B$2)^$B25</f>
        <v>75.3064207988238</v>
      </c>
      <c r="Y25" s="21" t="n">
        <f aca="false">W25/(1+$B$2)^$B25</f>
        <v>301.225683195295</v>
      </c>
      <c r="AA25" s="21" t="n">
        <v>145</v>
      </c>
      <c r="AB25" s="21" t="n">
        <v>1300</v>
      </c>
      <c r="AC25" s="21" t="n">
        <v>250</v>
      </c>
      <c r="AD25" s="21" t="n">
        <v>500</v>
      </c>
      <c r="AE25" s="21" t="n">
        <f aca="false">SUM(AB25:AD25)</f>
        <v>2050</v>
      </c>
      <c r="AF25" s="21" t="n">
        <f aca="false">AA25/(1+$B$2)^$B25</f>
        <v>33.5982492794753</v>
      </c>
      <c r="AG25" s="21" t="n">
        <f aca="false">AE25/(1+$B$2)^$B25</f>
        <v>475.009731192581</v>
      </c>
    </row>
    <row r="26" customFormat="false" ht="15" hidden="true" customHeight="false" outlineLevel="1" collapsed="false">
      <c r="B26" s="0" t="n">
        <v>20</v>
      </c>
      <c r="C26" s="21" t="n">
        <v>120</v>
      </c>
      <c r="D26" s="21" t="n">
        <v>580</v>
      </c>
      <c r="E26" s="21" t="n">
        <v>700</v>
      </c>
      <c r="F26" s="21" t="n">
        <v>400</v>
      </c>
      <c r="G26" s="21" t="n">
        <f aca="false">SUM(D26:F26)</f>
        <v>1680</v>
      </c>
      <c r="H26" s="21" t="n">
        <f aca="false">C26/(1+$B$2)^$B26</f>
        <v>25.7457848884868</v>
      </c>
      <c r="I26" s="21" t="n">
        <f aca="false">G26/(1+$B$2)^$B26</f>
        <v>360.440988438815</v>
      </c>
      <c r="K26" s="21" t="n">
        <v>480</v>
      </c>
      <c r="L26" s="21" t="n">
        <v>700</v>
      </c>
      <c r="M26" s="21" t="n">
        <v>550</v>
      </c>
      <c r="N26" s="21" t="n">
        <v>750</v>
      </c>
      <c r="O26" s="21" t="n">
        <f aca="false">SUM(L26:N26)</f>
        <v>2000</v>
      </c>
      <c r="P26" s="21" t="n">
        <f aca="false">K26/(1+$B$2)^$B26</f>
        <v>102.983139553947</v>
      </c>
      <c r="Q26" s="21" t="n">
        <f aca="false">O26/(1+$B$2)^$B26</f>
        <v>429.096414808113</v>
      </c>
      <c r="S26" s="21" t="n">
        <v>325</v>
      </c>
      <c r="T26" s="21" t="n">
        <v>200</v>
      </c>
      <c r="U26" s="21" t="n">
        <v>950</v>
      </c>
      <c r="V26" s="21" t="n">
        <v>150</v>
      </c>
      <c r="W26" s="21" t="n">
        <f aca="false">SUM(T26:V26)</f>
        <v>1300</v>
      </c>
      <c r="X26" s="21" t="n">
        <f aca="false">S26/(1+$B$2)^$B26</f>
        <v>69.7281674063184</v>
      </c>
      <c r="Y26" s="21" t="n">
        <f aca="false">W26/(1+$B$2)^$B26</f>
        <v>278.912669625273</v>
      </c>
      <c r="AA26" s="21" t="n">
        <v>145</v>
      </c>
      <c r="AB26" s="21" t="n">
        <v>1300</v>
      </c>
      <c r="AC26" s="21" t="n">
        <v>250</v>
      </c>
      <c r="AD26" s="21" t="n">
        <v>500</v>
      </c>
      <c r="AE26" s="21" t="n">
        <f aca="false">SUM(AB26:AD26)</f>
        <v>2050</v>
      </c>
      <c r="AF26" s="21" t="n">
        <f aca="false">AA26/(1+$B$2)^$B26</f>
        <v>31.1094900735882</v>
      </c>
      <c r="AG26" s="21" t="n">
        <f aca="false">AE26/(1+$B$2)^$B26</f>
        <v>439.823825178316</v>
      </c>
    </row>
    <row r="27" customFormat="false" ht="15" hidden="true" customHeight="false" outlineLevel="1" collapsed="false">
      <c r="B27" s="0" t="n">
        <v>21</v>
      </c>
      <c r="C27" s="21" t="n">
        <v>120</v>
      </c>
      <c r="D27" s="21" t="n">
        <v>580</v>
      </c>
      <c r="E27" s="21" t="n">
        <v>700</v>
      </c>
      <c r="F27" s="21" t="n">
        <v>400</v>
      </c>
      <c r="G27" s="21" t="n">
        <f aca="false">SUM(D27:F27)</f>
        <v>1680</v>
      </c>
      <c r="H27" s="21" t="n">
        <f aca="false">C27/(1+$B$2)^$B27</f>
        <v>23.8386897115618</v>
      </c>
      <c r="I27" s="21" t="n">
        <f aca="false">G27/(1+$B$2)^$B27</f>
        <v>333.741655961866</v>
      </c>
      <c r="K27" s="21" t="n">
        <v>480</v>
      </c>
      <c r="L27" s="21" t="n">
        <v>700</v>
      </c>
      <c r="M27" s="21" t="n">
        <v>550</v>
      </c>
      <c r="N27" s="21" t="n">
        <v>750</v>
      </c>
      <c r="O27" s="21" t="n">
        <f aca="false">SUM(L27:N27)</f>
        <v>2000</v>
      </c>
      <c r="P27" s="21" t="n">
        <f aca="false">K27/(1+$B$2)^$B27</f>
        <v>95.3547588462473</v>
      </c>
      <c r="Q27" s="21" t="n">
        <f aca="false">O27/(1+$B$2)^$B27</f>
        <v>397.311495192697</v>
      </c>
      <c r="S27" s="21" t="n">
        <v>325</v>
      </c>
      <c r="T27" s="21" t="n">
        <v>200</v>
      </c>
      <c r="U27" s="21" t="n">
        <v>950</v>
      </c>
      <c r="V27" s="21" t="n">
        <v>150</v>
      </c>
      <c r="W27" s="21" t="n">
        <f aca="false">SUM(T27:V27)</f>
        <v>1300</v>
      </c>
      <c r="X27" s="21" t="n">
        <f aca="false">S27/(1+$B$2)^$B27</f>
        <v>64.5631179688133</v>
      </c>
      <c r="Y27" s="21" t="n">
        <f aca="false">W27/(1+$B$2)^$B27</f>
        <v>258.252471875253</v>
      </c>
      <c r="AA27" s="21" t="n">
        <v>145</v>
      </c>
      <c r="AB27" s="21" t="n">
        <v>1300</v>
      </c>
      <c r="AC27" s="21" t="n">
        <v>250</v>
      </c>
      <c r="AD27" s="21" t="n">
        <v>500</v>
      </c>
      <c r="AE27" s="21" t="n">
        <f aca="false">SUM(AB27:AD27)</f>
        <v>2050</v>
      </c>
      <c r="AF27" s="21" t="n">
        <f aca="false">AA27/(1+$B$2)^$B27</f>
        <v>28.8050834014705</v>
      </c>
      <c r="AG27" s="21" t="n">
        <f aca="false">AE27/(1+$B$2)^$B27</f>
        <v>407.244282572515</v>
      </c>
    </row>
    <row r="28" customFormat="false" ht="15" hidden="true" customHeight="false" outlineLevel="1" collapsed="false">
      <c r="B28" s="0" t="n">
        <v>22</v>
      </c>
      <c r="C28" s="21" t="n">
        <v>120</v>
      </c>
      <c r="D28" s="21" t="n">
        <v>580</v>
      </c>
      <c r="E28" s="21" t="n">
        <v>700</v>
      </c>
      <c r="F28" s="21" t="n">
        <v>400</v>
      </c>
      <c r="G28" s="21" t="n">
        <f aca="false">SUM(D28:F28)</f>
        <v>1680</v>
      </c>
      <c r="H28" s="21" t="n">
        <f aca="false">C28/(1+$B$2)^$B28</f>
        <v>22.0728608440387</v>
      </c>
      <c r="I28" s="21" t="n">
        <f aca="false">G28/(1+$B$2)^$B28</f>
        <v>309.020051816542</v>
      </c>
      <c r="K28" s="21" t="n">
        <v>480</v>
      </c>
      <c r="L28" s="21" t="n">
        <v>700</v>
      </c>
      <c r="M28" s="21" t="n">
        <v>550</v>
      </c>
      <c r="N28" s="21" t="n">
        <v>750</v>
      </c>
      <c r="O28" s="21" t="n">
        <f aca="false">SUM(L28:N28)</f>
        <v>2000</v>
      </c>
      <c r="P28" s="21" t="n">
        <f aca="false">K28/(1+$B$2)^$B28</f>
        <v>88.2914433761549</v>
      </c>
      <c r="Q28" s="21" t="n">
        <f aca="false">O28/(1+$B$2)^$B28</f>
        <v>367.881014067312</v>
      </c>
      <c r="S28" s="21" t="n">
        <v>325</v>
      </c>
      <c r="T28" s="21" t="n">
        <v>200</v>
      </c>
      <c r="U28" s="21" t="n">
        <v>950</v>
      </c>
      <c r="V28" s="21" t="n">
        <v>150</v>
      </c>
      <c r="W28" s="21" t="n">
        <f aca="false">SUM(T28:V28)</f>
        <v>1300</v>
      </c>
      <c r="X28" s="21" t="n">
        <f aca="false">S28/(1+$B$2)^$B28</f>
        <v>59.7806647859382</v>
      </c>
      <c r="Y28" s="21" t="n">
        <f aca="false">W28/(1+$B$2)^$B28</f>
        <v>239.122659143753</v>
      </c>
      <c r="AA28" s="21" t="n">
        <v>145</v>
      </c>
      <c r="AB28" s="21" t="n">
        <v>1300</v>
      </c>
      <c r="AC28" s="21" t="n">
        <v>250</v>
      </c>
      <c r="AD28" s="21" t="n">
        <v>500</v>
      </c>
      <c r="AE28" s="21" t="n">
        <f aca="false">SUM(AB28:AD28)</f>
        <v>2050</v>
      </c>
      <c r="AF28" s="21" t="n">
        <f aca="false">AA28/(1+$B$2)^$B28</f>
        <v>26.6713735198801</v>
      </c>
      <c r="AG28" s="21" t="n">
        <f aca="false">AE28/(1+$B$2)^$B28</f>
        <v>377.078039418995</v>
      </c>
    </row>
    <row r="29" customFormat="false" ht="15" hidden="true" customHeight="false" outlineLevel="1" collapsed="false">
      <c r="B29" s="0" t="n">
        <v>23</v>
      </c>
      <c r="C29" s="21" t="n">
        <v>120</v>
      </c>
      <c r="D29" s="21" t="n">
        <v>580</v>
      </c>
      <c r="E29" s="21" t="n">
        <v>700</v>
      </c>
      <c r="F29" s="21" t="n">
        <v>400</v>
      </c>
      <c r="G29" s="21" t="n">
        <f aca="false">SUM(D29:F29)</f>
        <v>1680</v>
      </c>
      <c r="H29" s="21" t="n">
        <f aca="false">C29/(1+$B$2)^$B29</f>
        <v>20.4378341148507</v>
      </c>
      <c r="I29" s="21" t="n">
        <f aca="false">G29/(1+$B$2)^$B29</f>
        <v>286.129677607909</v>
      </c>
      <c r="K29" s="21" t="n">
        <v>480</v>
      </c>
      <c r="L29" s="21" t="n">
        <v>700</v>
      </c>
      <c r="M29" s="21" t="n">
        <v>550</v>
      </c>
      <c r="N29" s="21" t="n">
        <v>750</v>
      </c>
      <c r="O29" s="21" t="n">
        <f aca="false">SUM(L29:N29)</f>
        <v>2000</v>
      </c>
      <c r="P29" s="21" t="n">
        <f aca="false">K29/(1+$B$2)^$B29</f>
        <v>81.7513364594027</v>
      </c>
      <c r="Q29" s="21" t="n">
        <f aca="false">O29/(1+$B$2)^$B29</f>
        <v>340.630568580845</v>
      </c>
      <c r="S29" s="21" t="n">
        <v>325</v>
      </c>
      <c r="T29" s="21" t="n">
        <v>200</v>
      </c>
      <c r="U29" s="21" t="n">
        <v>950</v>
      </c>
      <c r="V29" s="21" t="n">
        <v>150</v>
      </c>
      <c r="W29" s="21" t="n">
        <f aca="false">SUM(T29:V29)</f>
        <v>1300</v>
      </c>
      <c r="X29" s="21" t="n">
        <f aca="false">S29/(1+$B$2)^$B29</f>
        <v>55.3524673943872</v>
      </c>
      <c r="Y29" s="21" t="n">
        <f aca="false">W29/(1+$B$2)^$B29</f>
        <v>221.409869577549</v>
      </c>
      <c r="AA29" s="21" t="n">
        <v>145</v>
      </c>
      <c r="AB29" s="21" t="n">
        <v>1300</v>
      </c>
      <c r="AC29" s="21" t="n">
        <v>250</v>
      </c>
      <c r="AD29" s="21" t="n">
        <v>500</v>
      </c>
      <c r="AE29" s="21" t="n">
        <f aca="false">SUM(AB29:AD29)</f>
        <v>2050</v>
      </c>
      <c r="AF29" s="21" t="n">
        <f aca="false">AA29/(1+$B$2)^$B29</f>
        <v>24.6957162221112</v>
      </c>
      <c r="AG29" s="21" t="n">
        <f aca="false">AE29/(1+$B$2)^$B29</f>
        <v>349.146332795366</v>
      </c>
    </row>
    <row r="30" customFormat="false" ht="15" hidden="true" customHeight="false" outlineLevel="1" collapsed="false">
      <c r="B30" s="0" t="n">
        <v>24</v>
      </c>
      <c r="C30" s="21" t="n">
        <v>120</v>
      </c>
      <c r="D30" s="21" t="n">
        <v>580</v>
      </c>
      <c r="E30" s="21" t="n">
        <v>700</v>
      </c>
      <c r="F30" s="21" t="n">
        <v>400</v>
      </c>
      <c r="G30" s="21" t="n">
        <f aca="false">SUM(D30:F30)</f>
        <v>1680</v>
      </c>
      <c r="H30" s="21" t="n">
        <f aca="false">C30/(1+$B$2)^$B30</f>
        <v>18.9239204767136</v>
      </c>
      <c r="I30" s="21" t="n">
        <f aca="false">G30/(1+$B$2)^$B30</f>
        <v>264.93488667399</v>
      </c>
      <c r="K30" s="21" t="n">
        <v>480</v>
      </c>
      <c r="L30" s="21" t="n">
        <v>700</v>
      </c>
      <c r="M30" s="21" t="n">
        <v>550</v>
      </c>
      <c r="N30" s="21" t="n">
        <v>750</v>
      </c>
      <c r="O30" s="21" t="n">
        <f aca="false">SUM(L30:N30)</f>
        <v>2000</v>
      </c>
      <c r="P30" s="21" t="n">
        <f aca="false">K30/(1+$B$2)^$B30</f>
        <v>75.6956819068543</v>
      </c>
      <c r="Q30" s="21" t="n">
        <f aca="false">O30/(1+$B$2)^$B30</f>
        <v>315.398674611893</v>
      </c>
      <c r="S30" s="21" t="n">
        <v>325</v>
      </c>
      <c r="T30" s="21" t="n">
        <v>200</v>
      </c>
      <c r="U30" s="21" t="n">
        <v>950</v>
      </c>
      <c r="V30" s="21" t="n">
        <v>150</v>
      </c>
      <c r="W30" s="21" t="n">
        <f aca="false">SUM(T30:V30)</f>
        <v>1300</v>
      </c>
      <c r="X30" s="21" t="n">
        <f aca="false">S30/(1+$B$2)^$B30</f>
        <v>51.2522846244326</v>
      </c>
      <c r="Y30" s="21" t="n">
        <f aca="false">W30/(1+$B$2)^$B30</f>
        <v>205.009138497731</v>
      </c>
      <c r="AA30" s="21" t="n">
        <v>145</v>
      </c>
      <c r="AB30" s="21" t="n">
        <v>1300</v>
      </c>
      <c r="AC30" s="21" t="n">
        <v>250</v>
      </c>
      <c r="AD30" s="21" t="n">
        <v>500</v>
      </c>
      <c r="AE30" s="21" t="n">
        <f aca="false">SUM(AB30:AD30)</f>
        <v>2050</v>
      </c>
      <c r="AF30" s="21" t="n">
        <f aca="false">AA30/(1+$B$2)^$B30</f>
        <v>22.8664039093622</v>
      </c>
      <c r="AG30" s="21" t="n">
        <f aca="false">AE30/(1+$B$2)^$B30</f>
        <v>323.28364147719</v>
      </c>
    </row>
    <row r="31" customFormat="false" ht="15" hidden="true" customHeight="false" outlineLevel="1" collapsed="false">
      <c r="B31" s="0" t="n">
        <v>25</v>
      </c>
      <c r="C31" s="21" t="n">
        <v>120</v>
      </c>
      <c r="D31" s="21" t="n">
        <v>580</v>
      </c>
      <c r="E31" s="21" t="n">
        <v>700</v>
      </c>
      <c r="F31" s="21" t="n">
        <v>400</v>
      </c>
      <c r="G31" s="21" t="n">
        <f aca="false">SUM(D31:F31)</f>
        <v>1680</v>
      </c>
      <c r="H31" s="21" t="n">
        <f aca="false">C31/(1+$B$2)^$B31</f>
        <v>17.5221485895496</v>
      </c>
      <c r="I31" s="21" t="n">
        <f aca="false">G31/(1+$B$2)^$B31</f>
        <v>245.310080253695</v>
      </c>
      <c r="K31" s="21" t="n">
        <v>480</v>
      </c>
      <c r="L31" s="21" t="n">
        <v>700</v>
      </c>
      <c r="M31" s="21" t="n">
        <v>550</v>
      </c>
      <c r="N31" s="21" t="n">
        <v>750</v>
      </c>
      <c r="O31" s="21" t="n">
        <f aca="false">SUM(L31:N31)</f>
        <v>2000</v>
      </c>
      <c r="P31" s="21" t="n">
        <f aca="false">K31/(1+$B$2)^$B31</f>
        <v>70.0885943581985</v>
      </c>
      <c r="Q31" s="21" t="n">
        <f aca="false">O31/(1+$B$2)^$B31</f>
        <v>292.035809825827</v>
      </c>
      <c r="S31" s="21" t="n">
        <v>325</v>
      </c>
      <c r="T31" s="21" t="n">
        <v>200</v>
      </c>
      <c r="U31" s="21" t="n">
        <v>950</v>
      </c>
      <c r="V31" s="21" t="n">
        <v>150</v>
      </c>
      <c r="W31" s="21" t="n">
        <f aca="false">SUM(T31:V31)</f>
        <v>1300</v>
      </c>
      <c r="X31" s="21" t="n">
        <f aca="false">S31/(1+$B$2)^$B31</f>
        <v>47.4558190966969</v>
      </c>
      <c r="Y31" s="21" t="n">
        <f aca="false">W31/(1+$B$2)^$B31</f>
        <v>189.823276386787</v>
      </c>
      <c r="AA31" s="21" t="n">
        <v>145</v>
      </c>
      <c r="AB31" s="21" t="n">
        <v>1300</v>
      </c>
      <c r="AC31" s="21" t="n">
        <v>250</v>
      </c>
      <c r="AD31" s="21" t="n">
        <v>500</v>
      </c>
      <c r="AE31" s="21" t="n">
        <f aca="false">SUM(AB31:AD31)</f>
        <v>2050</v>
      </c>
      <c r="AF31" s="21" t="n">
        <f aca="false">AA31/(1+$B$2)^$B31</f>
        <v>21.1725962123725</v>
      </c>
      <c r="AG31" s="21" t="n">
        <f aca="false">AE31/(1+$B$2)^$B31</f>
        <v>299.336705071473</v>
      </c>
    </row>
    <row r="32" customFormat="false" ht="15" hidden="true" customHeight="false" outlineLevel="1" collapsed="false">
      <c r="B32" s="0" t="n">
        <v>26</v>
      </c>
      <c r="C32" s="21" t="n">
        <v>120</v>
      </c>
      <c r="D32" s="21" t="n">
        <v>580</v>
      </c>
      <c r="E32" s="21" t="n">
        <v>700</v>
      </c>
      <c r="F32" s="21" t="n">
        <v>400</v>
      </c>
      <c r="G32" s="21" t="n">
        <f aca="false">SUM(D32:F32)</f>
        <v>1680</v>
      </c>
      <c r="H32" s="21" t="n">
        <f aca="false">C32/(1+$B$2)^$B32</f>
        <v>16.2242116569904</v>
      </c>
      <c r="I32" s="21" t="n">
        <f aca="false">G32/(1+$B$2)^$B32</f>
        <v>227.138963197865</v>
      </c>
      <c r="K32" s="21" t="n">
        <v>480</v>
      </c>
      <c r="L32" s="21" t="n">
        <v>700</v>
      </c>
      <c r="M32" s="21" t="n">
        <v>550</v>
      </c>
      <c r="N32" s="21" t="n">
        <v>750</v>
      </c>
      <c r="O32" s="21" t="n">
        <f aca="false">SUM(L32:N32)</f>
        <v>2000</v>
      </c>
      <c r="P32" s="21" t="n">
        <f aca="false">K32/(1+$B$2)^$B32</f>
        <v>64.8968466279615</v>
      </c>
      <c r="Q32" s="21" t="n">
        <f aca="false">O32/(1+$B$2)^$B32</f>
        <v>270.403527616506</v>
      </c>
      <c r="S32" s="21" t="n">
        <v>325</v>
      </c>
      <c r="T32" s="21" t="n">
        <v>200</v>
      </c>
      <c r="U32" s="21" t="n">
        <v>950</v>
      </c>
      <c r="V32" s="21" t="n">
        <v>150</v>
      </c>
      <c r="W32" s="21" t="n">
        <f aca="false">SUM(T32:V32)</f>
        <v>1300</v>
      </c>
      <c r="X32" s="21" t="n">
        <f aca="false">S32/(1+$B$2)^$B32</f>
        <v>43.9405732376823</v>
      </c>
      <c r="Y32" s="21" t="n">
        <f aca="false">W32/(1+$B$2)^$B32</f>
        <v>175.762292950729</v>
      </c>
      <c r="AA32" s="21" t="n">
        <v>145</v>
      </c>
      <c r="AB32" s="21" t="n">
        <v>1300</v>
      </c>
      <c r="AC32" s="21" t="n">
        <v>250</v>
      </c>
      <c r="AD32" s="21" t="n">
        <v>500</v>
      </c>
      <c r="AE32" s="21" t="n">
        <f aca="false">SUM(AB32:AD32)</f>
        <v>2050</v>
      </c>
      <c r="AF32" s="21" t="n">
        <f aca="false">AA32/(1+$B$2)^$B32</f>
        <v>19.6042557521967</v>
      </c>
      <c r="AG32" s="21" t="n">
        <f aca="false">AE32/(1+$B$2)^$B32</f>
        <v>277.163615806919</v>
      </c>
    </row>
    <row r="33" customFormat="false" ht="15" hidden="true" customHeight="false" outlineLevel="1" collapsed="false">
      <c r="B33" s="0" t="n">
        <v>27</v>
      </c>
      <c r="C33" s="21" t="n">
        <v>120</v>
      </c>
      <c r="D33" s="21" t="n">
        <v>580</v>
      </c>
      <c r="E33" s="21" t="n">
        <v>700</v>
      </c>
      <c r="F33" s="21" t="n">
        <v>400</v>
      </c>
      <c r="G33" s="21" t="n">
        <f aca="false">SUM(D33:F33)</f>
        <v>1680</v>
      </c>
      <c r="H33" s="21" t="n">
        <f aca="false">C33/(1+$B$2)^$B33</f>
        <v>15.022418200917</v>
      </c>
      <c r="I33" s="21" t="n">
        <f aca="false">G33/(1+$B$2)^$B33</f>
        <v>210.313854812838</v>
      </c>
      <c r="K33" s="21" t="n">
        <v>480</v>
      </c>
      <c r="L33" s="21" t="n">
        <v>700</v>
      </c>
      <c r="M33" s="21" t="n">
        <v>550</v>
      </c>
      <c r="N33" s="21" t="n">
        <v>750</v>
      </c>
      <c r="O33" s="21" t="n">
        <f aca="false">SUM(L33:N33)</f>
        <v>2000</v>
      </c>
      <c r="P33" s="21" t="n">
        <f aca="false">K33/(1+$B$2)^$B33</f>
        <v>60.0896728036681</v>
      </c>
      <c r="Q33" s="21" t="n">
        <f aca="false">O33/(1+$B$2)^$B33</f>
        <v>250.37363668195</v>
      </c>
      <c r="S33" s="21" t="n">
        <v>325</v>
      </c>
      <c r="T33" s="21" t="n">
        <v>200</v>
      </c>
      <c r="U33" s="21" t="n">
        <v>950</v>
      </c>
      <c r="V33" s="21" t="n">
        <v>150</v>
      </c>
      <c r="W33" s="21" t="n">
        <f aca="false">SUM(T33:V33)</f>
        <v>1300</v>
      </c>
      <c r="X33" s="21" t="n">
        <f aca="false">S33/(1+$B$2)^$B33</f>
        <v>40.6857159608169</v>
      </c>
      <c r="Y33" s="21" t="n">
        <f aca="false">W33/(1+$B$2)^$B33</f>
        <v>162.742863843268</v>
      </c>
      <c r="AA33" s="21" t="n">
        <v>145</v>
      </c>
      <c r="AB33" s="21" t="n">
        <v>1300</v>
      </c>
      <c r="AC33" s="21" t="n">
        <v>250</v>
      </c>
      <c r="AD33" s="21" t="n">
        <v>500</v>
      </c>
      <c r="AE33" s="21" t="n">
        <f aca="false">SUM(AB33:AD33)</f>
        <v>2050</v>
      </c>
      <c r="AF33" s="21" t="n">
        <f aca="false">AA33/(1+$B$2)^$B33</f>
        <v>18.1520886594414</v>
      </c>
      <c r="AG33" s="21" t="n">
        <f aca="false">AE33/(1+$B$2)^$B33</f>
        <v>256.632977598999</v>
      </c>
    </row>
    <row r="34" customFormat="false" ht="15" hidden="true" customHeight="false" outlineLevel="1" collapsed="false">
      <c r="B34" s="0" t="n">
        <v>28</v>
      </c>
      <c r="C34" s="21" t="n">
        <v>120</v>
      </c>
      <c r="D34" s="21" t="n">
        <v>580</v>
      </c>
      <c r="E34" s="21" t="n">
        <v>700</v>
      </c>
      <c r="F34" s="21" t="n">
        <v>400</v>
      </c>
      <c r="G34" s="21" t="n">
        <f aca="false">SUM(D34:F34)</f>
        <v>1680</v>
      </c>
      <c r="H34" s="21" t="n">
        <f aca="false">C34/(1+$B$2)^$B34</f>
        <v>13.9096464823306</v>
      </c>
      <c r="I34" s="21" t="n">
        <f aca="false">G34/(1+$B$2)^$B34</f>
        <v>194.735050752628</v>
      </c>
      <c r="K34" s="21" t="n">
        <v>480</v>
      </c>
      <c r="L34" s="21" t="n">
        <v>700</v>
      </c>
      <c r="M34" s="21" t="n">
        <v>550</v>
      </c>
      <c r="N34" s="21" t="n">
        <v>750</v>
      </c>
      <c r="O34" s="21" t="n">
        <f aca="false">SUM(L34:N34)</f>
        <v>2000</v>
      </c>
      <c r="P34" s="21" t="n">
        <f aca="false">K34/(1+$B$2)^$B34</f>
        <v>55.6385859293223</v>
      </c>
      <c r="Q34" s="21" t="n">
        <f aca="false">O34/(1+$B$2)^$B34</f>
        <v>231.827441372176</v>
      </c>
      <c r="S34" s="21" t="n">
        <v>325</v>
      </c>
      <c r="T34" s="21" t="n">
        <v>200</v>
      </c>
      <c r="U34" s="21" t="n">
        <v>950</v>
      </c>
      <c r="V34" s="21" t="n">
        <v>150</v>
      </c>
      <c r="W34" s="21" t="n">
        <f aca="false">SUM(T34:V34)</f>
        <v>1300</v>
      </c>
      <c r="X34" s="21" t="n">
        <f aca="false">S34/(1+$B$2)^$B34</f>
        <v>37.6719592229786</v>
      </c>
      <c r="Y34" s="21" t="n">
        <f aca="false">W34/(1+$B$2)^$B34</f>
        <v>150.687836891915</v>
      </c>
      <c r="AA34" s="21" t="n">
        <v>145</v>
      </c>
      <c r="AB34" s="21" t="n">
        <v>1300</v>
      </c>
      <c r="AC34" s="21" t="n">
        <v>250</v>
      </c>
      <c r="AD34" s="21" t="n">
        <v>500</v>
      </c>
      <c r="AE34" s="21" t="n">
        <f aca="false">SUM(AB34:AD34)</f>
        <v>2050</v>
      </c>
      <c r="AF34" s="21" t="n">
        <f aca="false">AA34/(1+$B$2)^$B34</f>
        <v>16.8074894994828</v>
      </c>
      <c r="AG34" s="21" t="n">
        <f aca="false">AE34/(1+$B$2)^$B34</f>
        <v>237.623127406481</v>
      </c>
    </row>
    <row r="35" customFormat="false" ht="15" hidden="true" customHeight="false" outlineLevel="1" collapsed="false">
      <c r="B35" s="0" t="n">
        <v>29</v>
      </c>
      <c r="C35" s="21" t="n">
        <v>120</v>
      </c>
      <c r="D35" s="21" t="n">
        <v>580</v>
      </c>
      <c r="E35" s="21" t="n">
        <v>700</v>
      </c>
      <c r="F35" s="21" t="n">
        <v>400</v>
      </c>
      <c r="G35" s="21" t="n">
        <f aca="false">SUM(D35:F35)</f>
        <v>1680</v>
      </c>
      <c r="H35" s="21" t="n">
        <f aca="false">C35/(1+$B$2)^$B35</f>
        <v>12.8793022984542</v>
      </c>
      <c r="I35" s="21" t="n">
        <f aca="false">G35/(1+$B$2)^$B35</f>
        <v>180.310232178359</v>
      </c>
      <c r="K35" s="21" t="n">
        <v>480</v>
      </c>
      <c r="L35" s="21" t="n">
        <v>700</v>
      </c>
      <c r="M35" s="21" t="n">
        <v>550</v>
      </c>
      <c r="N35" s="21" t="n">
        <v>750</v>
      </c>
      <c r="O35" s="21" t="n">
        <f aca="false">SUM(L35:N35)</f>
        <v>2000</v>
      </c>
      <c r="P35" s="21" t="n">
        <f aca="false">K35/(1+$B$2)^$B35</f>
        <v>51.5172091938169</v>
      </c>
      <c r="Q35" s="21" t="n">
        <f aca="false">O35/(1+$B$2)^$B35</f>
        <v>214.655038307571</v>
      </c>
      <c r="S35" s="21" t="n">
        <v>325</v>
      </c>
      <c r="T35" s="21" t="n">
        <v>200</v>
      </c>
      <c r="U35" s="21" t="n">
        <v>950</v>
      </c>
      <c r="V35" s="21" t="n">
        <v>150</v>
      </c>
      <c r="W35" s="21" t="n">
        <f aca="false">SUM(T35:V35)</f>
        <v>1300</v>
      </c>
      <c r="X35" s="21" t="n">
        <f aca="false">S35/(1+$B$2)^$B35</f>
        <v>34.8814437249802</v>
      </c>
      <c r="Y35" s="21" t="n">
        <f aca="false">W35/(1+$B$2)^$B35</f>
        <v>139.525774899921</v>
      </c>
      <c r="AA35" s="21" t="n">
        <v>145</v>
      </c>
      <c r="AB35" s="21" t="n">
        <v>1300</v>
      </c>
      <c r="AC35" s="21" t="n">
        <v>250</v>
      </c>
      <c r="AD35" s="21" t="n">
        <v>500</v>
      </c>
      <c r="AE35" s="21" t="n">
        <f aca="false">SUM(AB35:AD35)</f>
        <v>2050</v>
      </c>
      <c r="AF35" s="21" t="n">
        <f aca="false">AA35/(1+$B$2)^$B35</f>
        <v>15.5624902772989</v>
      </c>
      <c r="AG35" s="21" t="n">
        <f aca="false">AE35/(1+$B$2)^$B35</f>
        <v>220.02141426526</v>
      </c>
    </row>
    <row r="36" customFormat="false" ht="15" hidden="true" customHeight="false" outlineLevel="1" collapsed="false">
      <c r="B36" s="0" t="n">
        <v>30</v>
      </c>
      <c r="C36" s="21" t="n">
        <v>120</v>
      </c>
      <c r="D36" s="21" t="n">
        <v>580</v>
      </c>
      <c r="E36" s="21" t="n">
        <v>700</v>
      </c>
      <c r="F36" s="21" t="n">
        <v>400</v>
      </c>
      <c r="G36" s="21" t="n">
        <f aca="false">SUM(D36:F36)</f>
        <v>1680</v>
      </c>
      <c r="H36" s="21" t="n">
        <f aca="false">C36/(1+$B$2)^$B36</f>
        <v>11.9252799059761</v>
      </c>
      <c r="I36" s="21" t="n">
        <f aca="false">G36/(1+$B$2)^$B36</f>
        <v>166.953918683666</v>
      </c>
      <c r="K36" s="21" t="n">
        <v>480</v>
      </c>
      <c r="L36" s="21" t="n">
        <v>700</v>
      </c>
      <c r="M36" s="21" t="n">
        <v>550</v>
      </c>
      <c r="N36" s="21" t="n">
        <v>750</v>
      </c>
      <c r="O36" s="21" t="n">
        <f aca="false">SUM(L36:N36)</f>
        <v>2000</v>
      </c>
      <c r="P36" s="21" t="n">
        <f aca="false">K36/(1+$B$2)^$B36</f>
        <v>47.7011196239046</v>
      </c>
      <c r="Q36" s="21" t="n">
        <f aca="false">O36/(1+$B$2)^$B36</f>
        <v>198.754665099602</v>
      </c>
      <c r="S36" s="21" t="n">
        <v>325</v>
      </c>
      <c r="T36" s="21" t="n">
        <v>200</v>
      </c>
      <c r="U36" s="21" t="n">
        <v>950</v>
      </c>
      <c r="V36" s="21" t="n">
        <v>150</v>
      </c>
      <c r="W36" s="21" t="n">
        <f aca="false">SUM(T36:V36)</f>
        <v>1300</v>
      </c>
      <c r="X36" s="21" t="n">
        <f aca="false">S36/(1+$B$2)^$B36</f>
        <v>32.2976330786854</v>
      </c>
      <c r="Y36" s="21" t="n">
        <f aca="false">W36/(1+$B$2)^$B36</f>
        <v>129.190532314742</v>
      </c>
      <c r="AA36" s="21" t="n">
        <v>145</v>
      </c>
      <c r="AB36" s="21" t="n">
        <v>1300</v>
      </c>
      <c r="AC36" s="21" t="n">
        <v>250</v>
      </c>
      <c r="AD36" s="21" t="n">
        <v>500</v>
      </c>
      <c r="AE36" s="21" t="n">
        <f aca="false">SUM(AB36:AD36)</f>
        <v>2050</v>
      </c>
      <c r="AF36" s="21" t="n">
        <f aca="false">AA36/(1+$B$2)^$B36</f>
        <v>14.4097132197212</v>
      </c>
      <c r="AG36" s="21" t="n">
        <f aca="false">AE36/(1+$B$2)^$B36</f>
        <v>203.723531727092</v>
      </c>
    </row>
    <row r="37" customFormat="false" ht="15" hidden="true" customHeight="false" outlineLevel="1" collapsed="false">
      <c r="B37" s="0" t="n">
        <v>31</v>
      </c>
      <c r="C37" s="21" t="n">
        <v>120</v>
      </c>
      <c r="D37" s="21" t="n">
        <v>580</v>
      </c>
      <c r="E37" s="21" t="n">
        <v>700</v>
      </c>
      <c r="F37" s="21" t="n">
        <v>400</v>
      </c>
      <c r="G37" s="21" t="n">
        <f aca="false">SUM(D37:F37)</f>
        <v>1680</v>
      </c>
      <c r="H37" s="21" t="n">
        <f aca="false">C37/(1+$B$2)^$B37</f>
        <v>11.0419258388668</v>
      </c>
      <c r="I37" s="21" t="n">
        <f aca="false">G37/(1+$B$2)^$B37</f>
        <v>154.586961744135</v>
      </c>
      <c r="K37" s="21" t="n">
        <v>480</v>
      </c>
      <c r="L37" s="21" t="n">
        <v>700</v>
      </c>
      <c r="M37" s="21" t="n">
        <v>550</v>
      </c>
      <c r="N37" s="21" t="n">
        <v>750</v>
      </c>
      <c r="O37" s="21" t="n">
        <f aca="false">SUM(L37:N37)</f>
        <v>2000</v>
      </c>
      <c r="P37" s="21" t="n">
        <f aca="false">K37/(1+$B$2)^$B37</f>
        <v>44.1677033554672</v>
      </c>
      <c r="Q37" s="21" t="n">
        <f aca="false">O37/(1+$B$2)^$B37</f>
        <v>184.032097314447</v>
      </c>
      <c r="S37" s="21" t="n">
        <v>325</v>
      </c>
      <c r="T37" s="21" t="n">
        <v>200</v>
      </c>
      <c r="U37" s="21" t="n">
        <v>950</v>
      </c>
      <c r="V37" s="21" t="n">
        <v>150</v>
      </c>
      <c r="W37" s="21" t="n">
        <f aca="false">SUM(T37:V37)</f>
        <v>1300</v>
      </c>
      <c r="X37" s="21" t="n">
        <f aca="false">S37/(1+$B$2)^$B37</f>
        <v>29.9052158135976</v>
      </c>
      <c r="Y37" s="21" t="n">
        <f aca="false">W37/(1+$B$2)^$B37</f>
        <v>119.62086325439</v>
      </c>
      <c r="AA37" s="21" t="n">
        <v>145</v>
      </c>
      <c r="AB37" s="21" t="n">
        <v>1300</v>
      </c>
      <c r="AC37" s="21" t="n">
        <v>250</v>
      </c>
      <c r="AD37" s="21" t="n">
        <v>500</v>
      </c>
      <c r="AE37" s="21" t="n">
        <f aca="false">SUM(AB37:AD37)</f>
        <v>2050</v>
      </c>
      <c r="AF37" s="21" t="n">
        <f aca="false">AA37/(1+$B$2)^$B37</f>
        <v>13.3423270552974</v>
      </c>
      <c r="AG37" s="21" t="n">
        <f aca="false">AE37/(1+$B$2)^$B37</f>
        <v>188.632899747308</v>
      </c>
    </row>
    <row r="38" customFormat="false" ht="15" hidden="true" customHeight="false" outlineLevel="1" collapsed="false">
      <c r="B38" s="0" t="n">
        <v>32</v>
      </c>
      <c r="C38" s="21" t="n">
        <v>120</v>
      </c>
      <c r="D38" s="21" t="n">
        <v>580</v>
      </c>
      <c r="E38" s="21" t="n">
        <v>700</v>
      </c>
      <c r="F38" s="21" t="n">
        <v>400</v>
      </c>
      <c r="G38" s="21" t="n">
        <f aca="false">SUM(D38:F38)</f>
        <v>1680</v>
      </c>
      <c r="H38" s="21" t="n">
        <f aca="false">C38/(1+$B$2)^$B38</f>
        <v>10.2240054063581</v>
      </c>
      <c r="I38" s="21" t="n">
        <f aca="false">G38/(1+$B$2)^$B38</f>
        <v>143.136075689014</v>
      </c>
      <c r="K38" s="21" t="n">
        <v>480</v>
      </c>
      <c r="L38" s="21" t="n">
        <v>700</v>
      </c>
      <c r="M38" s="21" t="n">
        <v>550</v>
      </c>
      <c r="N38" s="21" t="n">
        <v>750</v>
      </c>
      <c r="O38" s="21" t="n">
        <f aca="false">SUM(L38:N38)</f>
        <v>2000</v>
      </c>
      <c r="P38" s="21" t="n">
        <f aca="false">K38/(1+$B$2)^$B38</f>
        <v>40.8960216254326</v>
      </c>
      <c r="Q38" s="21" t="n">
        <f aca="false">O38/(1+$B$2)^$B38</f>
        <v>170.400090105969</v>
      </c>
      <c r="S38" s="21" t="n">
        <v>325</v>
      </c>
      <c r="T38" s="21" t="n">
        <v>200</v>
      </c>
      <c r="U38" s="21" t="n">
        <v>950</v>
      </c>
      <c r="V38" s="21" t="n">
        <v>150</v>
      </c>
      <c r="W38" s="21" t="n">
        <f aca="false">SUM(T38:V38)</f>
        <v>1300</v>
      </c>
      <c r="X38" s="21" t="n">
        <f aca="false">S38/(1+$B$2)^$B38</f>
        <v>27.69001464222</v>
      </c>
      <c r="Y38" s="21" t="n">
        <f aca="false">W38/(1+$B$2)^$B38</f>
        <v>110.76005856888</v>
      </c>
      <c r="AA38" s="21" t="n">
        <v>145</v>
      </c>
      <c r="AB38" s="21" t="n">
        <v>1300</v>
      </c>
      <c r="AC38" s="21" t="n">
        <v>250</v>
      </c>
      <c r="AD38" s="21" t="n">
        <v>500</v>
      </c>
      <c r="AE38" s="21" t="n">
        <f aca="false">SUM(AB38:AD38)</f>
        <v>2050</v>
      </c>
      <c r="AF38" s="21" t="n">
        <f aca="false">AA38/(1+$B$2)^$B38</f>
        <v>12.3540065326828</v>
      </c>
      <c r="AG38" s="21" t="n">
        <f aca="false">AE38/(1+$B$2)^$B38</f>
        <v>174.660092358618</v>
      </c>
    </row>
    <row r="39" customFormat="false" ht="15" hidden="true" customHeight="false" outlineLevel="1" collapsed="false">
      <c r="B39" s="0" t="n">
        <v>33</v>
      </c>
      <c r="C39" s="21" t="n">
        <v>120</v>
      </c>
      <c r="D39" s="21" t="n">
        <v>580</v>
      </c>
      <c r="E39" s="21" t="n">
        <v>700</v>
      </c>
      <c r="F39" s="21" t="n">
        <v>400</v>
      </c>
      <c r="G39" s="21" t="n">
        <f aca="false">SUM(D39:F39)</f>
        <v>1680</v>
      </c>
      <c r="H39" s="21" t="n">
        <f aca="false">C39/(1+$B$2)^$B39</f>
        <v>9.46667167255384</v>
      </c>
      <c r="I39" s="21" t="n">
        <f aca="false">G39/(1+$B$2)^$B39</f>
        <v>132.533403415754</v>
      </c>
      <c r="K39" s="21" t="n">
        <v>480</v>
      </c>
      <c r="L39" s="21" t="n">
        <v>700</v>
      </c>
      <c r="M39" s="21" t="n">
        <v>550</v>
      </c>
      <c r="N39" s="21" t="n">
        <v>750</v>
      </c>
      <c r="O39" s="21" t="n">
        <f aca="false">SUM(L39:N39)</f>
        <v>2000</v>
      </c>
      <c r="P39" s="21" t="n">
        <f aca="false">K39/(1+$B$2)^$B39</f>
        <v>37.8666866902153</v>
      </c>
      <c r="Q39" s="21" t="n">
        <f aca="false">O39/(1+$B$2)^$B39</f>
        <v>157.777861209231</v>
      </c>
      <c r="S39" s="21" t="n">
        <v>325</v>
      </c>
      <c r="T39" s="21" t="n">
        <v>200</v>
      </c>
      <c r="U39" s="21" t="n">
        <v>950</v>
      </c>
      <c r="V39" s="21" t="n">
        <v>150</v>
      </c>
      <c r="W39" s="21" t="n">
        <f aca="false">SUM(T39:V39)</f>
        <v>1300</v>
      </c>
      <c r="X39" s="21" t="n">
        <f aca="false">S39/(1+$B$2)^$B39</f>
        <v>25.6389024465</v>
      </c>
      <c r="Y39" s="21" t="n">
        <f aca="false">W39/(1+$B$2)^$B39</f>
        <v>102.555609786</v>
      </c>
      <c r="AA39" s="21" t="n">
        <v>145</v>
      </c>
      <c r="AB39" s="21" t="n">
        <v>1300</v>
      </c>
      <c r="AC39" s="21" t="n">
        <v>250</v>
      </c>
      <c r="AD39" s="21" t="n">
        <v>500</v>
      </c>
      <c r="AE39" s="21" t="n">
        <f aca="false">SUM(AB39:AD39)</f>
        <v>2050</v>
      </c>
      <c r="AF39" s="21" t="n">
        <f aca="false">AA39/(1+$B$2)^$B39</f>
        <v>11.4388949376692</v>
      </c>
      <c r="AG39" s="21" t="n">
        <f aca="false">AE39/(1+$B$2)^$B39</f>
        <v>161.722307739461</v>
      </c>
    </row>
    <row r="40" customFormat="false" ht="15" hidden="true" customHeight="false" outlineLevel="1" collapsed="false">
      <c r="B40" s="0" t="n">
        <v>34</v>
      </c>
      <c r="C40" s="21" t="n">
        <v>120</v>
      </c>
      <c r="D40" s="21" t="n">
        <v>580</v>
      </c>
      <c r="E40" s="21" t="n">
        <v>700</v>
      </c>
      <c r="F40" s="21" t="n">
        <v>400</v>
      </c>
      <c r="G40" s="21" t="n">
        <f aca="false">SUM(D40:F40)</f>
        <v>1680</v>
      </c>
      <c r="H40" s="21" t="n">
        <f aca="false">C40/(1+$B$2)^$B40</f>
        <v>8.76543673384614</v>
      </c>
      <c r="I40" s="21" t="n">
        <f aca="false">G40/(1+$B$2)^$B40</f>
        <v>122.716114273846</v>
      </c>
      <c r="K40" s="21" t="n">
        <v>480</v>
      </c>
      <c r="L40" s="21" t="n">
        <v>700</v>
      </c>
      <c r="M40" s="21" t="n">
        <v>550</v>
      </c>
      <c r="N40" s="21" t="n">
        <v>750</v>
      </c>
      <c r="O40" s="21" t="n">
        <f aca="false">SUM(L40:N40)</f>
        <v>2000</v>
      </c>
      <c r="P40" s="21" t="n">
        <f aca="false">K40/(1+$B$2)^$B40</f>
        <v>35.0617469353846</v>
      </c>
      <c r="Q40" s="21" t="n">
        <f aca="false">O40/(1+$B$2)^$B40</f>
        <v>146.090612230769</v>
      </c>
      <c r="S40" s="21" t="n">
        <v>325</v>
      </c>
      <c r="T40" s="21" t="n">
        <v>200</v>
      </c>
      <c r="U40" s="21" t="n">
        <v>950</v>
      </c>
      <c r="V40" s="21" t="n">
        <v>150</v>
      </c>
      <c r="W40" s="21" t="n">
        <f aca="false">SUM(T40:V40)</f>
        <v>1300</v>
      </c>
      <c r="X40" s="21" t="n">
        <f aca="false">S40/(1+$B$2)^$B40</f>
        <v>23.7397244875</v>
      </c>
      <c r="Y40" s="21" t="n">
        <f aca="false">W40/(1+$B$2)^$B40</f>
        <v>94.9588979499999</v>
      </c>
      <c r="AA40" s="21" t="n">
        <v>145</v>
      </c>
      <c r="AB40" s="21" t="n">
        <v>1300</v>
      </c>
      <c r="AC40" s="21" t="n">
        <v>250</v>
      </c>
      <c r="AD40" s="21" t="n">
        <v>500</v>
      </c>
      <c r="AE40" s="21" t="n">
        <f aca="false">SUM(AB40:AD40)</f>
        <v>2050</v>
      </c>
      <c r="AF40" s="21" t="n">
        <f aca="false">AA40/(1+$B$2)^$B40</f>
        <v>10.5915693867308</v>
      </c>
      <c r="AG40" s="21" t="n">
        <f aca="false">AE40/(1+$B$2)^$B40</f>
        <v>149.742877536538</v>
      </c>
    </row>
    <row r="41" customFormat="false" ht="15" hidden="true" customHeight="false" outlineLevel="1" collapsed="false">
      <c r="B41" s="0" t="n">
        <v>35</v>
      </c>
      <c r="C41" s="21" t="n">
        <v>120</v>
      </c>
      <c r="D41" s="21" t="n">
        <v>580</v>
      </c>
      <c r="E41" s="21" t="n">
        <v>700</v>
      </c>
      <c r="F41" s="21" t="n">
        <v>400</v>
      </c>
      <c r="G41" s="21" t="n">
        <f aca="false">SUM(D41:F41)</f>
        <v>1680</v>
      </c>
      <c r="H41" s="21" t="n">
        <f aca="false">C41/(1+$B$2)^$B41</f>
        <v>8.11614512393162</v>
      </c>
      <c r="I41" s="21" t="n">
        <f aca="false">G41/(1+$B$2)^$B41</f>
        <v>113.626031735043</v>
      </c>
      <c r="K41" s="21" t="n">
        <v>480</v>
      </c>
      <c r="L41" s="21" t="n">
        <v>700</v>
      </c>
      <c r="M41" s="21" t="n">
        <v>550</v>
      </c>
      <c r="N41" s="21" t="n">
        <v>750</v>
      </c>
      <c r="O41" s="21" t="n">
        <f aca="false">SUM(L41:N41)</f>
        <v>2000</v>
      </c>
      <c r="P41" s="21" t="n">
        <f aca="false">K41/(1+$B$2)^$B41</f>
        <v>32.4645804957265</v>
      </c>
      <c r="Q41" s="21" t="n">
        <f aca="false">O41/(1+$B$2)^$B41</f>
        <v>135.26908539886</v>
      </c>
      <c r="S41" s="21" t="n">
        <v>325</v>
      </c>
      <c r="T41" s="21" t="n">
        <v>200</v>
      </c>
      <c r="U41" s="21" t="n">
        <v>950</v>
      </c>
      <c r="V41" s="21" t="n">
        <v>150</v>
      </c>
      <c r="W41" s="21" t="n">
        <f aca="false">SUM(T41:V41)</f>
        <v>1300</v>
      </c>
      <c r="X41" s="21" t="n">
        <f aca="false">S41/(1+$B$2)^$B41</f>
        <v>21.9812263773148</v>
      </c>
      <c r="Y41" s="21" t="n">
        <f aca="false">W41/(1+$B$2)^$B41</f>
        <v>87.9249055092592</v>
      </c>
      <c r="AA41" s="21" t="n">
        <v>145</v>
      </c>
      <c r="AB41" s="21" t="n">
        <v>1300</v>
      </c>
      <c r="AC41" s="21" t="n">
        <v>250</v>
      </c>
      <c r="AD41" s="21" t="n">
        <v>500</v>
      </c>
      <c r="AE41" s="21" t="n">
        <f aca="false">SUM(AB41:AD41)</f>
        <v>2050</v>
      </c>
      <c r="AF41" s="21" t="n">
        <f aca="false">AA41/(1+$B$2)^$B41</f>
        <v>9.80700869141737</v>
      </c>
      <c r="AG41" s="21" t="n">
        <f aca="false">AE41/(1+$B$2)^$B41</f>
        <v>138.650812533832</v>
      </c>
    </row>
    <row r="42" customFormat="false" ht="15" hidden="true" customHeight="false" outlineLevel="1" collapsed="false">
      <c r="B42" s="0" t="n">
        <v>36</v>
      </c>
      <c r="C42" s="21" t="n">
        <v>120</v>
      </c>
      <c r="D42" s="21" t="n">
        <v>580</v>
      </c>
      <c r="E42" s="21" t="n">
        <v>700</v>
      </c>
      <c r="F42" s="21" t="n">
        <v>400</v>
      </c>
      <c r="G42" s="21" t="n">
        <f aca="false">SUM(D42:F42)</f>
        <v>1680</v>
      </c>
      <c r="H42" s="21" t="n">
        <f aca="false">C42/(1+$B$2)^$B42</f>
        <v>7.51494918882557</v>
      </c>
      <c r="I42" s="21" t="n">
        <f aca="false">G42/(1+$B$2)^$B42</f>
        <v>105.209288643558</v>
      </c>
      <c r="K42" s="21" t="n">
        <v>480</v>
      </c>
      <c r="L42" s="21" t="n">
        <v>700</v>
      </c>
      <c r="M42" s="21" t="n">
        <v>550</v>
      </c>
      <c r="N42" s="21" t="n">
        <v>750</v>
      </c>
      <c r="O42" s="21" t="n">
        <f aca="false">SUM(L42:N42)</f>
        <v>2000</v>
      </c>
      <c r="P42" s="21" t="n">
        <f aca="false">K42/(1+$B$2)^$B42</f>
        <v>30.0597967553023</v>
      </c>
      <c r="Q42" s="21" t="n">
        <f aca="false">O42/(1+$B$2)^$B42</f>
        <v>125.249153147093</v>
      </c>
      <c r="S42" s="21" t="n">
        <v>325</v>
      </c>
      <c r="T42" s="21" t="n">
        <v>200</v>
      </c>
      <c r="U42" s="21" t="n">
        <v>950</v>
      </c>
      <c r="V42" s="21" t="n">
        <v>150</v>
      </c>
      <c r="W42" s="21" t="n">
        <f aca="false">SUM(T42:V42)</f>
        <v>1300</v>
      </c>
      <c r="X42" s="21" t="n">
        <f aca="false">S42/(1+$B$2)^$B42</f>
        <v>20.3529873864026</v>
      </c>
      <c r="Y42" s="21" t="n">
        <f aca="false">W42/(1+$B$2)^$B42</f>
        <v>81.4119495456103</v>
      </c>
      <c r="AA42" s="21" t="n">
        <v>145</v>
      </c>
      <c r="AB42" s="21" t="n">
        <v>1300</v>
      </c>
      <c r="AC42" s="21" t="n">
        <v>250</v>
      </c>
      <c r="AD42" s="21" t="n">
        <v>500</v>
      </c>
      <c r="AE42" s="21" t="n">
        <f aca="false">SUM(AB42:AD42)</f>
        <v>2050</v>
      </c>
      <c r="AF42" s="21" t="n">
        <f aca="false">AA42/(1+$B$2)^$B42</f>
        <v>9.08056360316423</v>
      </c>
      <c r="AG42" s="21" t="n">
        <f aca="false">AE42/(1+$B$2)^$B42</f>
        <v>128.38038197577</v>
      </c>
    </row>
    <row r="43" customFormat="false" ht="15" hidden="true" customHeight="false" outlineLevel="1" collapsed="false">
      <c r="B43" s="0" t="n">
        <v>37</v>
      </c>
      <c r="C43" s="21" t="n">
        <v>120</v>
      </c>
      <c r="D43" s="21" t="n">
        <v>580</v>
      </c>
      <c r="E43" s="21" t="n">
        <v>700</v>
      </c>
      <c r="F43" s="21" t="n">
        <v>400</v>
      </c>
      <c r="G43" s="21" t="n">
        <f aca="false">SUM(D43:F43)</f>
        <v>1680</v>
      </c>
      <c r="H43" s="21" t="n">
        <f aca="false">C43/(1+$B$2)^$B43</f>
        <v>6.9582862859496</v>
      </c>
      <c r="I43" s="21" t="n">
        <f aca="false">G43/(1+$B$2)^$B43</f>
        <v>97.4160080032944</v>
      </c>
      <c r="K43" s="21" t="n">
        <v>480</v>
      </c>
      <c r="L43" s="21" t="n">
        <v>700</v>
      </c>
      <c r="M43" s="21" t="n">
        <v>550</v>
      </c>
      <c r="N43" s="21" t="n">
        <v>750</v>
      </c>
      <c r="O43" s="21" t="n">
        <f aca="false">SUM(L43:N43)</f>
        <v>2000</v>
      </c>
      <c r="P43" s="21" t="n">
        <f aca="false">K43/(1+$B$2)^$B43</f>
        <v>27.8331451437984</v>
      </c>
      <c r="Q43" s="21" t="n">
        <f aca="false">O43/(1+$B$2)^$B43</f>
        <v>115.97143809916</v>
      </c>
      <c r="S43" s="21" t="n">
        <v>325</v>
      </c>
      <c r="T43" s="21" t="n">
        <v>200</v>
      </c>
      <c r="U43" s="21" t="n">
        <v>950</v>
      </c>
      <c r="V43" s="21" t="n">
        <v>150</v>
      </c>
      <c r="W43" s="21" t="n">
        <f aca="false">SUM(T43:V43)</f>
        <v>1300</v>
      </c>
      <c r="X43" s="21" t="n">
        <f aca="false">S43/(1+$B$2)^$B43</f>
        <v>18.8453586911135</v>
      </c>
      <c r="Y43" s="21" t="n">
        <f aca="false">W43/(1+$B$2)^$B43</f>
        <v>75.381434764454</v>
      </c>
      <c r="AA43" s="21" t="n">
        <v>145</v>
      </c>
      <c r="AB43" s="21" t="n">
        <v>1300</v>
      </c>
      <c r="AC43" s="21" t="n">
        <v>250</v>
      </c>
      <c r="AD43" s="21" t="n">
        <v>500</v>
      </c>
      <c r="AE43" s="21" t="n">
        <f aca="false">SUM(AB43:AD43)</f>
        <v>2050</v>
      </c>
      <c r="AF43" s="21" t="n">
        <f aca="false">AA43/(1+$B$2)^$B43</f>
        <v>8.4079292621891</v>
      </c>
      <c r="AG43" s="21" t="n">
        <f aca="false">AE43/(1+$B$2)^$B43</f>
        <v>118.870724051639</v>
      </c>
    </row>
    <row r="44" customFormat="false" ht="15" hidden="true" customHeight="false" outlineLevel="1" collapsed="false">
      <c r="B44" s="0" t="n">
        <v>38</v>
      </c>
      <c r="C44" s="21" t="n">
        <v>120</v>
      </c>
      <c r="D44" s="21" t="n">
        <v>580</v>
      </c>
      <c r="E44" s="21" t="n">
        <v>700</v>
      </c>
      <c r="F44" s="21" t="n">
        <v>400</v>
      </c>
      <c r="G44" s="21" t="n">
        <f aca="false">SUM(D44:F44)</f>
        <v>1680</v>
      </c>
      <c r="H44" s="21" t="n">
        <f aca="false">C44/(1+$B$2)^$B44</f>
        <v>6.44285767217556</v>
      </c>
      <c r="I44" s="21" t="n">
        <f aca="false">G44/(1+$B$2)^$B44</f>
        <v>90.2000074104578</v>
      </c>
      <c r="K44" s="21" t="n">
        <v>480</v>
      </c>
      <c r="L44" s="21" t="n">
        <v>700</v>
      </c>
      <c r="M44" s="21" t="n">
        <v>550</v>
      </c>
      <c r="N44" s="21" t="n">
        <v>750</v>
      </c>
      <c r="O44" s="21" t="n">
        <f aca="false">SUM(L44:N44)</f>
        <v>2000</v>
      </c>
      <c r="P44" s="21" t="n">
        <f aca="false">K44/(1+$B$2)^$B44</f>
        <v>25.7714306887022</v>
      </c>
      <c r="Q44" s="21" t="n">
        <f aca="false">O44/(1+$B$2)^$B44</f>
        <v>107.380961202926</v>
      </c>
      <c r="S44" s="21" t="n">
        <v>325</v>
      </c>
      <c r="T44" s="21" t="n">
        <v>200</v>
      </c>
      <c r="U44" s="21" t="n">
        <v>950</v>
      </c>
      <c r="V44" s="21" t="n">
        <v>150</v>
      </c>
      <c r="W44" s="21" t="n">
        <f aca="false">SUM(T44:V44)</f>
        <v>1300</v>
      </c>
      <c r="X44" s="21" t="n">
        <f aca="false">S44/(1+$B$2)^$B44</f>
        <v>17.4494061954755</v>
      </c>
      <c r="Y44" s="21" t="n">
        <f aca="false">W44/(1+$B$2)^$B44</f>
        <v>69.7976247819019</v>
      </c>
      <c r="AA44" s="21" t="n">
        <v>145</v>
      </c>
      <c r="AB44" s="21" t="n">
        <v>1300</v>
      </c>
      <c r="AC44" s="21" t="n">
        <v>250</v>
      </c>
      <c r="AD44" s="21" t="n">
        <v>500</v>
      </c>
      <c r="AE44" s="21" t="n">
        <f aca="false">SUM(AB44:AD44)</f>
        <v>2050</v>
      </c>
      <c r="AF44" s="21" t="n">
        <f aca="false">AA44/(1+$B$2)^$B44</f>
        <v>7.78511968721213</v>
      </c>
      <c r="AG44" s="21" t="n">
        <f aca="false">AE44/(1+$B$2)^$B44</f>
        <v>110.065485232999</v>
      </c>
    </row>
    <row r="45" customFormat="false" ht="15" hidden="true" customHeight="false" outlineLevel="1" collapsed="false">
      <c r="B45" s="0" t="n">
        <v>39</v>
      </c>
      <c r="C45" s="21" t="n">
        <v>120</v>
      </c>
      <c r="D45" s="21" t="n">
        <v>580</v>
      </c>
      <c r="E45" s="21" t="n">
        <v>700</v>
      </c>
      <c r="F45" s="21" t="n">
        <v>400</v>
      </c>
      <c r="G45" s="21" t="n">
        <f aca="false">SUM(D45:F45)</f>
        <v>1680</v>
      </c>
      <c r="H45" s="21" t="n">
        <f aca="false">C45/(1+$B$2)^$B45</f>
        <v>5.96560895571811</v>
      </c>
      <c r="I45" s="21" t="n">
        <f aca="false">G45/(1+$B$2)^$B45</f>
        <v>83.5185253800535</v>
      </c>
      <c r="K45" s="21" t="n">
        <v>480</v>
      </c>
      <c r="L45" s="21" t="n">
        <v>700</v>
      </c>
      <c r="M45" s="21" t="n">
        <v>550</v>
      </c>
      <c r="N45" s="21" t="n">
        <v>750</v>
      </c>
      <c r="O45" s="21" t="n">
        <f aca="false">SUM(L45:N45)</f>
        <v>2000</v>
      </c>
      <c r="P45" s="21" t="n">
        <f aca="false">K45/(1+$B$2)^$B45</f>
        <v>23.8624358228724</v>
      </c>
      <c r="Q45" s="21" t="n">
        <f aca="false">O45/(1+$B$2)^$B45</f>
        <v>99.4268159286351</v>
      </c>
      <c r="S45" s="21" t="n">
        <v>325</v>
      </c>
      <c r="T45" s="21" t="n">
        <v>200</v>
      </c>
      <c r="U45" s="21" t="n">
        <v>950</v>
      </c>
      <c r="V45" s="21" t="n">
        <v>150</v>
      </c>
      <c r="W45" s="21" t="n">
        <f aca="false">SUM(T45:V45)</f>
        <v>1300</v>
      </c>
      <c r="X45" s="21" t="n">
        <f aca="false">S45/(1+$B$2)^$B45</f>
        <v>16.1568575884032</v>
      </c>
      <c r="Y45" s="21" t="n">
        <f aca="false">W45/(1+$B$2)^$B45</f>
        <v>64.6274303536128</v>
      </c>
      <c r="AA45" s="21" t="n">
        <v>145</v>
      </c>
      <c r="AB45" s="21" t="n">
        <v>1300</v>
      </c>
      <c r="AC45" s="21" t="n">
        <v>250</v>
      </c>
      <c r="AD45" s="21" t="n">
        <v>500</v>
      </c>
      <c r="AE45" s="21" t="n">
        <f aca="false">SUM(AB45:AD45)</f>
        <v>2050</v>
      </c>
      <c r="AF45" s="21" t="n">
        <f aca="false">AA45/(1+$B$2)^$B45</f>
        <v>7.20844415482605</v>
      </c>
      <c r="AG45" s="21" t="n">
        <f aca="false">AE45/(1+$B$2)^$B45</f>
        <v>101.912486326851</v>
      </c>
    </row>
    <row r="46" customFormat="false" ht="15" hidden="true" customHeight="false" outlineLevel="1" collapsed="false">
      <c r="B46" s="0" t="n">
        <v>40</v>
      </c>
      <c r="C46" s="21" t="n">
        <v>120</v>
      </c>
      <c r="D46" s="21" t="n">
        <v>580</v>
      </c>
      <c r="E46" s="21" t="n">
        <v>700</v>
      </c>
      <c r="F46" s="21" t="n">
        <v>400</v>
      </c>
      <c r="G46" s="21" t="n">
        <f aca="false">SUM(D46:F46)</f>
        <v>1680</v>
      </c>
      <c r="H46" s="21" t="n">
        <f aca="false">C46/(1+$B$2)^$B46</f>
        <v>5.52371199603528</v>
      </c>
      <c r="I46" s="21" t="n">
        <f aca="false">G46/(1+$B$2)^$B46</f>
        <v>77.331967944494</v>
      </c>
      <c r="K46" s="21" t="n">
        <v>480</v>
      </c>
      <c r="L46" s="21" t="n">
        <v>700</v>
      </c>
      <c r="M46" s="21" t="n">
        <v>550</v>
      </c>
      <c r="N46" s="21" t="n">
        <v>750</v>
      </c>
      <c r="O46" s="21" t="n">
        <f aca="false">SUM(L46:N46)</f>
        <v>2000</v>
      </c>
      <c r="P46" s="21" t="n">
        <f aca="false">K46/(1+$B$2)^$B46</f>
        <v>22.0948479841411</v>
      </c>
      <c r="Q46" s="21" t="n">
        <f aca="false">O46/(1+$B$2)^$B46</f>
        <v>92.0618666005881</v>
      </c>
      <c r="S46" s="21" t="n">
        <v>325</v>
      </c>
      <c r="T46" s="21" t="n">
        <v>200</v>
      </c>
      <c r="U46" s="21" t="n">
        <v>950</v>
      </c>
      <c r="V46" s="21" t="n">
        <v>150</v>
      </c>
      <c r="W46" s="21" t="n">
        <f aca="false">SUM(T46:V46)</f>
        <v>1300</v>
      </c>
      <c r="X46" s="21" t="n">
        <f aca="false">S46/(1+$B$2)^$B46</f>
        <v>14.9600533225956</v>
      </c>
      <c r="Y46" s="21" t="n">
        <f aca="false">W46/(1+$B$2)^$B46</f>
        <v>59.8402132903822</v>
      </c>
      <c r="AA46" s="21" t="n">
        <v>145</v>
      </c>
      <c r="AB46" s="21" t="n">
        <v>1300</v>
      </c>
      <c r="AC46" s="21" t="n">
        <v>250</v>
      </c>
      <c r="AD46" s="21" t="n">
        <v>500</v>
      </c>
      <c r="AE46" s="21" t="n">
        <f aca="false">SUM(AB46:AD46)</f>
        <v>2050</v>
      </c>
      <c r="AF46" s="21" t="n">
        <f aca="false">AA46/(1+$B$2)^$B46</f>
        <v>6.67448532854263</v>
      </c>
      <c r="AG46" s="21" t="n">
        <f aca="false">AE46/(1+$B$2)^$B46</f>
        <v>94.3634132656027</v>
      </c>
    </row>
    <row r="47" customFormat="false" ht="15" hidden="true" customHeight="false" outlineLevel="1" collapsed="false">
      <c r="B47" s="0" t="n">
        <v>41</v>
      </c>
      <c r="C47" s="21" t="n">
        <v>120</v>
      </c>
      <c r="D47" s="21" t="n">
        <v>580</v>
      </c>
      <c r="E47" s="21" t="n">
        <v>700</v>
      </c>
      <c r="F47" s="21" t="n">
        <v>400</v>
      </c>
      <c r="G47" s="21" t="n">
        <f aca="false">SUM(D47:F47)</f>
        <v>1680</v>
      </c>
      <c r="H47" s="21" t="n">
        <f aca="false">C47/(1+$B$2)^$B47</f>
        <v>5.11454814447711</v>
      </c>
      <c r="I47" s="21" t="n">
        <f aca="false">G47/(1+$B$2)^$B47</f>
        <v>71.6036740226796</v>
      </c>
      <c r="K47" s="21" t="n">
        <v>480</v>
      </c>
      <c r="L47" s="21" t="n">
        <v>700</v>
      </c>
      <c r="M47" s="21" t="n">
        <v>550</v>
      </c>
      <c r="N47" s="21" t="n">
        <v>750</v>
      </c>
      <c r="O47" s="21" t="n">
        <f aca="false">SUM(L47:N47)</f>
        <v>2000</v>
      </c>
      <c r="P47" s="21" t="n">
        <f aca="false">K47/(1+$B$2)^$B47</f>
        <v>20.4581925779085</v>
      </c>
      <c r="Q47" s="21" t="n">
        <f aca="false">O47/(1+$B$2)^$B47</f>
        <v>85.2424690746186</v>
      </c>
      <c r="S47" s="21" t="n">
        <v>325</v>
      </c>
      <c r="T47" s="21" t="n">
        <v>200</v>
      </c>
      <c r="U47" s="21" t="n">
        <v>950</v>
      </c>
      <c r="V47" s="21" t="n">
        <v>150</v>
      </c>
      <c r="W47" s="21" t="n">
        <f aca="false">SUM(T47:V47)</f>
        <v>1300</v>
      </c>
      <c r="X47" s="21" t="n">
        <f aca="false">S47/(1+$B$2)^$B47</f>
        <v>13.8519012246255</v>
      </c>
      <c r="Y47" s="21" t="n">
        <f aca="false">W47/(1+$B$2)^$B47</f>
        <v>55.4076048985021</v>
      </c>
      <c r="AA47" s="21" t="n">
        <v>145</v>
      </c>
      <c r="AB47" s="21" t="n">
        <v>1300</v>
      </c>
      <c r="AC47" s="21" t="n">
        <v>250</v>
      </c>
      <c r="AD47" s="21" t="n">
        <v>500</v>
      </c>
      <c r="AE47" s="21" t="n">
        <f aca="false">SUM(AB47:AD47)</f>
        <v>2050</v>
      </c>
      <c r="AF47" s="21" t="n">
        <f aca="false">AA47/(1+$B$2)^$B47</f>
        <v>6.18007900790985</v>
      </c>
      <c r="AG47" s="21" t="n">
        <f aca="false">AE47/(1+$B$2)^$B47</f>
        <v>87.373530801484</v>
      </c>
    </row>
    <row r="48" customFormat="false" ht="15" hidden="true" customHeight="false" outlineLevel="1" collapsed="false">
      <c r="B48" s="0" t="n">
        <v>42</v>
      </c>
      <c r="C48" s="21" t="n">
        <v>120</v>
      </c>
      <c r="D48" s="21" t="n">
        <v>580</v>
      </c>
      <c r="E48" s="21" t="n">
        <v>700</v>
      </c>
      <c r="F48" s="21" t="n">
        <v>400</v>
      </c>
      <c r="G48" s="21" t="n">
        <f aca="false">SUM(D48:F48)</f>
        <v>1680</v>
      </c>
      <c r="H48" s="21" t="n">
        <f aca="false">C48/(1+$B$2)^$B48</f>
        <v>4.7356927263677</v>
      </c>
      <c r="I48" s="21" t="n">
        <f aca="false">G48/(1+$B$2)^$B48</f>
        <v>66.2996981691478</v>
      </c>
      <c r="K48" s="21" t="n">
        <v>480</v>
      </c>
      <c r="L48" s="21" t="n">
        <v>700</v>
      </c>
      <c r="M48" s="21" t="n">
        <v>550</v>
      </c>
      <c r="N48" s="21" t="n">
        <v>750</v>
      </c>
      <c r="O48" s="21" t="n">
        <f aca="false">SUM(L48:N48)</f>
        <v>2000</v>
      </c>
      <c r="P48" s="21" t="n">
        <f aca="false">K48/(1+$B$2)^$B48</f>
        <v>18.9427709054708</v>
      </c>
      <c r="Q48" s="21" t="n">
        <f aca="false">O48/(1+$B$2)^$B48</f>
        <v>78.9282121061283</v>
      </c>
      <c r="S48" s="21" t="n">
        <v>325</v>
      </c>
      <c r="T48" s="21" t="n">
        <v>200</v>
      </c>
      <c r="U48" s="21" t="n">
        <v>950</v>
      </c>
      <c r="V48" s="21" t="n">
        <v>150</v>
      </c>
      <c r="W48" s="21" t="n">
        <f aca="false">SUM(T48:V48)</f>
        <v>1300</v>
      </c>
      <c r="X48" s="21" t="n">
        <f aca="false">S48/(1+$B$2)^$B48</f>
        <v>12.8258344672458</v>
      </c>
      <c r="Y48" s="21" t="n">
        <f aca="false">W48/(1+$B$2)^$B48</f>
        <v>51.3033378689834</v>
      </c>
      <c r="AA48" s="21" t="n">
        <v>145</v>
      </c>
      <c r="AB48" s="21" t="n">
        <v>1300</v>
      </c>
      <c r="AC48" s="21" t="n">
        <v>250</v>
      </c>
      <c r="AD48" s="21" t="n">
        <v>500</v>
      </c>
      <c r="AE48" s="21" t="n">
        <f aca="false">SUM(AB48:AD48)</f>
        <v>2050</v>
      </c>
      <c r="AF48" s="21" t="n">
        <f aca="false">AA48/(1+$B$2)^$B48</f>
        <v>5.7222953776943</v>
      </c>
      <c r="AG48" s="21" t="n">
        <f aca="false">AE48/(1+$B$2)^$B48</f>
        <v>80.9014174087815</v>
      </c>
    </row>
    <row r="49" customFormat="false" ht="15" hidden="true" customHeight="false" outlineLevel="1" collapsed="false">
      <c r="B49" s="0" t="n">
        <v>43</v>
      </c>
      <c r="C49" s="21" t="n">
        <v>120</v>
      </c>
      <c r="D49" s="21" t="n">
        <v>580</v>
      </c>
      <c r="E49" s="21" t="n">
        <v>700</v>
      </c>
      <c r="F49" s="21" t="n">
        <v>400</v>
      </c>
      <c r="G49" s="21" t="n">
        <f aca="false">SUM(D49:F49)</f>
        <v>1680</v>
      </c>
      <c r="H49" s="21" t="n">
        <f aca="false">C49/(1+$B$2)^$B49</f>
        <v>4.38490067256268</v>
      </c>
      <c r="I49" s="21" t="n">
        <f aca="false">G49/(1+$B$2)^$B49</f>
        <v>61.3886094158776</v>
      </c>
      <c r="K49" s="21" t="n">
        <v>480</v>
      </c>
      <c r="L49" s="21" t="n">
        <v>700</v>
      </c>
      <c r="M49" s="21" t="n">
        <v>550</v>
      </c>
      <c r="N49" s="21" t="n">
        <v>750</v>
      </c>
      <c r="O49" s="21" t="n">
        <f aca="false">SUM(L49:N49)</f>
        <v>2000</v>
      </c>
      <c r="P49" s="21" t="n">
        <f aca="false">K49/(1+$B$2)^$B49</f>
        <v>17.5396026902507</v>
      </c>
      <c r="Q49" s="21" t="n">
        <f aca="false">O49/(1+$B$2)^$B49</f>
        <v>73.0816778760447</v>
      </c>
      <c r="S49" s="21" t="n">
        <v>325</v>
      </c>
      <c r="T49" s="21" t="n">
        <v>200</v>
      </c>
      <c r="U49" s="21" t="n">
        <v>950</v>
      </c>
      <c r="V49" s="21" t="n">
        <v>150</v>
      </c>
      <c r="W49" s="21" t="n">
        <f aca="false">SUM(T49:V49)</f>
        <v>1300</v>
      </c>
      <c r="X49" s="21" t="n">
        <f aca="false">S49/(1+$B$2)^$B49</f>
        <v>11.8757726548573</v>
      </c>
      <c r="Y49" s="21" t="n">
        <f aca="false">W49/(1+$B$2)^$B49</f>
        <v>47.5030906194291</v>
      </c>
      <c r="AA49" s="21" t="n">
        <v>145</v>
      </c>
      <c r="AB49" s="21" t="n">
        <v>1300</v>
      </c>
      <c r="AC49" s="21" t="n">
        <v>250</v>
      </c>
      <c r="AD49" s="21" t="n">
        <v>500</v>
      </c>
      <c r="AE49" s="21" t="n">
        <f aca="false">SUM(AB49:AD49)</f>
        <v>2050</v>
      </c>
      <c r="AF49" s="21" t="n">
        <f aca="false">AA49/(1+$B$2)^$B49</f>
        <v>5.29842164601324</v>
      </c>
      <c r="AG49" s="21" t="n">
        <f aca="false">AE49/(1+$B$2)^$B49</f>
        <v>74.9087198229458</v>
      </c>
    </row>
    <row r="50" customFormat="false" ht="15" hidden="true" customHeight="false" outlineLevel="1" collapsed="false">
      <c r="B50" s="0" t="n">
        <v>44</v>
      </c>
      <c r="C50" s="21" t="n">
        <v>120</v>
      </c>
      <c r="D50" s="21" t="n">
        <v>580</v>
      </c>
      <c r="E50" s="21" t="n">
        <v>700</v>
      </c>
      <c r="F50" s="21" t="n">
        <v>400</v>
      </c>
      <c r="G50" s="21" t="n">
        <f aca="false">SUM(D50:F50)</f>
        <v>1680</v>
      </c>
      <c r="H50" s="21" t="n">
        <f aca="false">C50/(1+$B$2)^$B50</f>
        <v>4.06009321533582</v>
      </c>
      <c r="I50" s="21" t="n">
        <f aca="false">G50/(1+$B$2)^$B50</f>
        <v>56.8413050147014</v>
      </c>
      <c r="K50" s="21" t="n">
        <v>480</v>
      </c>
      <c r="L50" s="21" t="n">
        <v>700</v>
      </c>
      <c r="M50" s="21" t="n">
        <v>550</v>
      </c>
      <c r="N50" s="21" t="n">
        <v>750</v>
      </c>
      <c r="O50" s="21" t="n">
        <f aca="false">SUM(L50:N50)</f>
        <v>2000</v>
      </c>
      <c r="P50" s="21" t="n">
        <f aca="false">K50/(1+$B$2)^$B50</f>
        <v>16.2403728613433</v>
      </c>
      <c r="Q50" s="21" t="n">
        <f aca="false">O50/(1+$B$2)^$B50</f>
        <v>67.668220255597</v>
      </c>
      <c r="S50" s="21" t="n">
        <v>325</v>
      </c>
      <c r="T50" s="21" t="n">
        <v>200</v>
      </c>
      <c r="U50" s="21" t="n">
        <v>950</v>
      </c>
      <c r="V50" s="21" t="n">
        <v>150</v>
      </c>
      <c r="W50" s="21" t="n">
        <f aca="false">SUM(T50:V50)</f>
        <v>1300</v>
      </c>
      <c r="X50" s="21" t="n">
        <f aca="false">S50/(1+$B$2)^$B50</f>
        <v>10.9960857915345</v>
      </c>
      <c r="Y50" s="21" t="n">
        <f aca="false">W50/(1+$B$2)^$B50</f>
        <v>43.984343166138</v>
      </c>
      <c r="AA50" s="21" t="n">
        <v>145</v>
      </c>
      <c r="AB50" s="21" t="n">
        <v>1300</v>
      </c>
      <c r="AC50" s="21" t="n">
        <v>250</v>
      </c>
      <c r="AD50" s="21" t="n">
        <v>500</v>
      </c>
      <c r="AE50" s="21" t="n">
        <f aca="false">SUM(AB50:AD50)</f>
        <v>2050</v>
      </c>
      <c r="AF50" s="21" t="n">
        <f aca="false">AA50/(1+$B$2)^$B50</f>
        <v>4.90594596853078</v>
      </c>
      <c r="AG50" s="21" t="n">
        <f aca="false">AE50/(1+$B$2)^$B50</f>
        <v>69.3599257619869</v>
      </c>
    </row>
    <row r="51" customFormat="false" ht="15" hidden="false" customHeight="false" outlineLevel="0" collapsed="false">
      <c r="B51" s="0" t="n">
        <v>45</v>
      </c>
      <c r="C51" s="21" t="n">
        <v>120</v>
      </c>
      <c r="D51" s="21" t="n">
        <v>580</v>
      </c>
      <c r="E51" s="21" t="n">
        <v>700</v>
      </c>
      <c r="F51" s="21" t="n">
        <v>400</v>
      </c>
      <c r="G51" s="21" t="n">
        <f aca="false">SUM(D51:F51)</f>
        <v>1680</v>
      </c>
      <c r="H51" s="21" t="n">
        <f aca="false">C51/(1+$B$2)^$B51</f>
        <v>3.75934556975539</v>
      </c>
      <c r="I51" s="21" t="n">
        <f aca="false">G51/(1+$B$2)^$B51</f>
        <v>52.6308379765754</v>
      </c>
      <c r="K51" s="21" t="n">
        <v>480</v>
      </c>
      <c r="L51" s="21" t="n">
        <v>700</v>
      </c>
      <c r="M51" s="21" t="n">
        <v>550</v>
      </c>
      <c r="N51" s="21" t="n">
        <v>750</v>
      </c>
      <c r="O51" s="21" t="n">
        <f aca="false">SUM(L51:N51)</f>
        <v>2000</v>
      </c>
      <c r="P51" s="21" t="n">
        <f aca="false">K51/(1+$B$2)^$B51</f>
        <v>15.0373822790215</v>
      </c>
      <c r="Q51" s="21" t="n">
        <f aca="false">O51/(1+$B$2)^$B51</f>
        <v>62.6557594959231</v>
      </c>
      <c r="S51" s="21" t="n">
        <v>325</v>
      </c>
      <c r="T51" s="21" t="n">
        <v>200</v>
      </c>
      <c r="U51" s="21" t="n">
        <v>950</v>
      </c>
      <c r="V51" s="21" t="n">
        <v>150</v>
      </c>
      <c r="W51" s="21" t="n">
        <f aca="false">SUM(T51:V51)</f>
        <v>1300</v>
      </c>
      <c r="X51" s="21" t="n">
        <f aca="false">S51/(1+$B$2)^$B51</f>
        <v>10.1815609180875</v>
      </c>
      <c r="Y51" s="21" t="n">
        <f aca="false">W51/(1+$B$2)^$B51</f>
        <v>40.72624367235</v>
      </c>
      <c r="AA51" s="21" t="n">
        <v>145</v>
      </c>
      <c r="AB51" s="21" t="n">
        <v>1300</v>
      </c>
      <c r="AC51" s="21" t="n">
        <v>250</v>
      </c>
      <c r="AD51" s="21" t="n">
        <v>500</v>
      </c>
      <c r="AE51" s="21" t="n">
        <f aca="false">SUM(AB51:AD51)</f>
        <v>2050</v>
      </c>
      <c r="AF51" s="21" t="n">
        <f aca="false">AA51/(1+$B$2)^$B51</f>
        <v>4.54254256345442</v>
      </c>
      <c r="AG51" s="21" t="n">
        <f aca="false">AE51/(1+$B$2)^$B51</f>
        <v>64.2221534833212</v>
      </c>
    </row>
    <row r="53" customFormat="false" ht="15" hidden="false" customHeight="false" outlineLevel="0" collapsed="false">
      <c r="B53" s="61" t="s">
        <v>392</v>
      </c>
      <c r="C53" s="61"/>
      <c r="D53" s="61"/>
      <c r="E53" s="61"/>
      <c r="F53" s="61"/>
      <c r="G53" s="61"/>
      <c r="H53" s="231" t="n">
        <f aca="false">SUM(H6:H51)</f>
        <v>13953.008180378</v>
      </c>
      <c r="I53" s="231" t="n">
        <f aca="false">SUM(I6:I51)</f>
        <v>20342.1145252928</v>
      </c>
      <c r="K53" s="61"/>
      <c r="L53" s="61"/>
      <c r="M53" s="61"/>
      <c r="N53" s="61"/>
      <c r="O53" s="61"/>
      <c r="P53" s="231" t="n">
        <f aca="false">SUM(P6:P51)</f>
        <v>16812.0327215122</v>
      </c>
      <c r="Q53" s="231" t="n">
        <f aca="false">SUM(Q6:Q51)</f>
        <v>24216.8030063009</v>
      </c>
      <c r="S53" s="61"/>
      <c r="T53" s="61"/>
      <c r="U53" s="61"/>
      <c r="V53" s="61"/>
      <c r="W53" s="61"/>
      <c r="X53" s="231" t="n">
        <f aca="false">SUM(X6:X51)</f>
        <v>16435.2304885239</v>
      </c>
      <c r="Y53" s="231" t="n">
        <f aca="false">SUM(Y6:Y51)</f>
        <v>15740.9219540956</v>
      </c>
      <c r="AA53" s="61"/>
      <c r="AB53" s="61"/>
      <c r="AC53" s="61"/>
      <c r="AD53" s="61"/>
      <c r="AE53" s="61"/>
      <c r="AF53" s="231" t="n">
        <f aca="false">SUM(AF6:AF51)</f>
        <v>18555.7182179568</v>
      </c>
      <c r="AG53" s="231" t="n">
        <f aca="false">SUM(AG6:AG51)</f>
        <v>24822.2230814585</v>
      </c>
    </row>
    <row r="54" customFormat="false" ht="15" hidden="false" customHeight="false" outlineLevel="0" collapsed="false">
      <c r="B54" s="0" t="s">
        <v>575</v>
      </c>
      <c r="G54" s="55"/>
      <c r="I54" s="232" t="n">
        <f aca="false">I53/H53</f>
        <v>1.45790171282919</v>
      </c>
      <c r="O54" s="55"/>
      <c r="Q54" s="1" t="n">
        <f aca="false">Q53/P53</f>
        <v>1.4404446748021</v>
      </c>
      <c r="W54" s="55"/>
      <c r="Y54" s="1" t="n">
        <f aca="false">Y53/X53</f>
        <v>0.957754864775818</v>
      </c>
      <c r="AE54" s="55"/>
      <c r="AG54" s="1" t="n">
        <f aca="false">AG53/AF53</f>
        <v>1.33771287049603</v>
      </c>
    </row>
    <row r="55" customFormat="false" ht="15" hidden="false" customHeight="false" outlineLevel="0" collapsed="false">
      <c r="B55" s="0" t="s">
        <v>576</v>
      </c>
      <c r="G55" s="55"/>
      <c r="I55" s="28" t="n">
        <v>1</v>
      </c>
      <c r="O55" s="55"/>
      <c r="Q55" s="28" t="n">
        <v>3</v>
      </c>
      <c r="W55" s="55"/>
      <c r="Y55" s="28" t="n">
        <v>2</v>
      </c>
      <c r="AE55" s="55"/>
      <c r="AG55" s="28" t="n">
        <v>4</v>
      </c>
    </row>
    <row r="56" customFormat="false" ht="15" hidden="false" customHeight="false" outlineLevel="0" collapsed="false">
      <c r="B56" s="0" t="s">
        <v>577</v>
      </c>
      <c r="G56" s="55"/>
      <c r="I56" s="1"/>
    </row>
    <row r="58" customFormat="false" ht="15" hidden="false" customHeight="false" outlineLevel="0" collapsed="false">
      <c r="P58" s="0" t="s">
        <v>578</v>
      </c>
    </row>
    <row r="59" customFormat="false" ht="15" hidden="false" customHeight="false" outlineLevel="0" collapsed="false">
      <c r="A59" s="0" t="s">
        <v>579</v>
      </c>
      <c r="C59" s="233" t="s">
        <v>580</v>
      </c>
      <c r="D59" s="233"/>
      <c r="E59" s="233"/>
      <c r="F59" s="233"/>
      <c r="G59" s="233"/>
      <c r="H59" s="233"/>
      <c r="I59" s="233"/>
      <c r="K59" s="233" t="s">
        <v>581</v>
      </c>
      <c r="L59" s="233"/>
      <c r="M59" s="233"/>
      <c r="N59" s="233"/>
      <c r="O59" s="233"/>
      <c r="P59" s="233"/>
      <c r="Q59" s="233"/>
      <c r="S59" s="234" t="s">
        <v>582</v>
      </c>
      <c r="T59" s="234"/>
      <c r="U59" s="234"/>
      <c r="V59" s="234"/>
      <c r="W59" s="234"/>
      <c r="X59" s="234"/>
      <c r="Y59" s="234"/>
      <c r="AA59" s="233" t="s">
        <v>583</v>
      </c>
      <c r="AB59" s="233"/>
      <c r="AC59" s="233"/>
      <c r="AD59" s="233"/>
      <c r="AE59" s="233"/>
      <c r="AF59" s="233"/>
      <c r="AG59" s="233"/>
    </row>
    <row r="60" customFormat="false" ht="15" hidden="false" customHeight="false" outlineLevel="0" collapsed="false">
      <c r="B60" s="0" t="s">
        <v>584</v>
      </c>
      <c r="Q60" s="24" t="n">
        <f aca="false">P53-$H53</f>
        <v>2859.02454113419</v>
      </c>
      <c r="S60" s="72"/>
      <c r="T60" s="72"/>
      <c r="U60" s="72"/>
      <c r="V60" s="72"/>
      <c r="W60" s="72"/>
      <c r="X60" s="235"/>
      <c r="Y60" s="235" t="n">
        <f aca="false">X53-$H53</f>
        <v>2482.22230814586</v>
      </c>
      <c r="AF60" s="24"/>
      <c r="AG60" s="24" t="n">
        <f aca="false">AF53-$P53</f>
        <v>1743.68549644458</v>
      </c>
    </row>
    <row r="61" customFormat="false" ht="15" hidden="false" customHeight="false" outlineLevel="0" collapsed="false">
      <c r="B61" s="0" t="s">
        <v>585</v>
      </c>
      <c r="Q61" s="24" t="n">
        <f aca="false">Q53-$I53</f>
        <v>3874.68848100815</v>
      </c>
      <c r="S61" s="72"/>
      <c r="T61" s="72"/>
      <c r="U61" s="72"/>
      <c r="V61" s="72"/>
      <c r="W61" s="72"/>
      <c r="X61" s="72"/>
      <c r="Y61" s="235" t="n">
        <f aca="false">Y53-$I53</f>
        <v>-4601.19257119718</v>
      </c>
      <c r="AG61" s="24" t="n">
        <f aca="false">AG53-$Q53</f>
        <v>605.420075157526</v>
      </c>
    </row>
    <row r="62" customFormat="false" ht="15" hidden="false" customHeight="false" outlineLevel="0" collapsed="false">
      <c r="B62" s="0" t="s">
        <v>586</v>
      </c>
      <c r="I62" s="236" t="n">
        <f aca="false">I54</f>
        <v>1.45790171282919</v>
      </c>
      <c r="Q62" s="141" t="n">
        <f aca="false">(Q61)/(Q60)</f>
        <v>1.35524841611574</v>
      </c>
      <c r="S62" s="72"/>
      <c r="T62" s="72"/>
      <c r="U62" s="72"/>
      <c r="V62" s="72"/>
      <c r="W62" s="72"/>
      <c r="X62" s="72"/>
      <c r="Y62" s="237" t="n">
        <f aca="false">(Y61)/(Y60)</f>
        <v>-1.85365853658536</v>
      </c>
      <c r="AG62" s="141" t="n">
        <f aca="false">(AG61)/(AG60)</f>
        <v>0.347207151973215</v>
      </c>
    </row>
    <row r="63" customFormat="false" ht="15" hidden="false" customHeight="false" outlineLevel="0" collapsed="false">
      <c r="B63" s="0" t="s">
        <v>587</v>
      </c>
      <c r="I63" s="4" t="s">
        <v>588</v>
      </c>
      <c r="Q63" s="4" t="s">
        <v>588</v>
      </c>
      <c r="S63" s="72"/>
      <c r="T63" s="72"/>
      <c r="U63" s="72"/>
      <c r="V63" s="72"/>
      <c r="W63" s="72"/>
      <c r="X63" s="72"/>
      <c r="Y63" s="238" t="s">
        <v>589</v>
      </c>
      <c r="AG63" s="4" t="s">
        <v>589</v>
      </c>
    </row>
    <row r="64" customFormat="false" ht="15" hidden="false" customHeight="false" outlineLevel="0" collapsed="false">
      <c r="B64" s="0" t="s">
        <v>590</v>
      </c>
    </row>
    <row r="66" customFormat="false" ht="15" hidden="false" customHeight="false" outlineLevel="0" collapsed="false">
      <c r="B66" s="0" t="s">
        <v>591</v>
      </c>
    </row>
    <row r="67" customFormat="false" ht="15" hidden="false" customHeight="false" outlineLevel="0" collapsed="false">
      <c r="B67" s="0" t="s">
        <v>592</v>
      </c>
      <c r="I67" s="24" t="n">
        <f aca="false">I53-H53</f>
        <v>6389.10634491475</v>
      </c>
      <c r="Q67" s="239" t="n">
        <f aca="false">Q53-P53</f>
        <v>7404.77028478871</v>
      </c>
      <c r="Y67" s="24" t="n">
        <f aca="false">Y53-X53</f>
        <v>-694.308534428286</v>
      </c>
      <c r="AG67" s="24" t="n">
        <f aca="false">AG53-AF53</f>
        <v>6266.50486350165</v>
      </c>
    </row>
    <row r="69" customFormat="false" ht="15" hidden="false" customHeight="false" outlineLevel="0" collapsed="false">
      <c r="B69" s="65" t="s">
        <v>593</v>
      </c>
    </row>
  </sheetData>
  <mergeCells count="4">
    <mergeCell ref="C59:I59"/>
    <mergeCell ref="K59:Q59"/>
    <mergeCell ref="S59:Y59"/>
    <mergeCell ref="AA59:AG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A32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N19" activeCellId="0" sqref="N19"/>
    </sheetView>
  </sheetViews>
  <sheetFormatPr defaultColWidth="8.54296875" defaultRowHeight="15" zeroHeight="false" outlineLevelRow="1" outlineLevelCol="1"/>
  <cols>
    <col collapsed="false" customWidth="true" hidden="false" outlineLevel="0" max="1" min="1" style="0" width="6.85"/>
    <col collapsed="false" customWidth="true" hidden="false" outlineLevel="0" max="2" min="2" style="0" width="13.15"/>
    <col collapsed="false" customWidth="true" hidden="false" outlineLevel="0" max="3" min="3" style="0" width="17.29"/>
    <col collapsed="false" customWidth="true" hidden="false" outlineLevel="0" max="4" min="4" style="0" width="2.86"/>
    <col collapsed="false" customWidth="true" hidden="false" outlineLevel="0" max="5" min="5" style="0" width="10.57"/>
    <col collapsed="false" customWidth="true" hidden="false" outlineLevel="0" max="6" min="6" style="0" width="6.85"/>
    <col collapsed="false" customWidth="true" hidden="false" outlineLevel="0" max="7" min="7" style="0" width="3.42"/>
    <col collapsed="false" customWidth="true" hidden="false" outlineLevel="0" max="8" min="8" style="0" width="10.57"/>
    <col collapsed="false" customWidth="true" hidden="false" outlineLevel="0" max="10" min="10" style="0" width="2.57"/>
    <col collapsed="false" customWidth="true" hidden="false" outlineLevel="0" max="11" min="11" style="0" width="11.57"/>
    <col collapsed="false" customWidth="true" hidden="false" outlineLevel="0" max="13" min="13" style="0" width="3.29"/>
    <col collapsed="false" customWidth="true" hidden="false" outlineLevel="0" max="14" min="14" style="0" width="11.14"/>
    <col collapsed="false" customWidth="true" hidden="true" outlineLevel="1" max="16" min="16" style="0" width="2.71"/>
    <col collapsed="false" customWidth="true" hidden="true" outlineLevel="1" max="17" min="17" style="0" width="9.86"/>
    <col collapsed="false" customWidth="true" hidden="true" outlineLevel="1" max="18" min="18" style="0" width="8.71"/>
    <col collapsed="false" customWidth="true" hidden="false" outlineLevel="0" max="19" min="19" style="0" width="2.57"/>
    <col collapsed="false" customWidth="true" hidden="true" outlineLevel="1" max="20" min="20" style="0" width="10.29"/>
    <col collapsed="false" customWidth="true" hidden="true" outlineLevel="1" max="21" min="21" style="0" width="8.29"/>
    <col collapsed="false" customWidth="true" hidden="false" outlineLevel="0" max="22" min="22" style="0" width="2.57"/>
    <col collapsed="false" customWidth="true" hidden="true" outlineLevel="1" max="23" min="23" style="0" width="10.42"/>
    <col collapsed="false" customWidth="false" hidden="true" outlineLevel="1" max="24" min="24" style="0" width="8.57"/>
    <col collapsed="false" customWidth="true" hidden="false" outlineLevel="0" max="25" min="25" style="0" width="3.29"/>
    <col collapsed="false" customWidth="true" hidden="false" outlineLevel="0" max="26" min="26" style="0" width="13.29"/>
    <col collapsed="false" customWidth="true" hidden="false" outlineLevel="0" max="27" min="27" style="0" width="7.86"/>
  </cols>
  <sheetData>
    <row r="2" customFormat="false" ht="15" hidden="false" customHeight="false" outlineLevel="0" collapsed="false">
      <c r="B2" s="5" t="s">
        <v>594</v>
      </c>
      <c r="C2" s="5"/>
      <c r="E2" s="5" t="s">
        <v>595</v>
      </c>
      <c r="F2" s="5"/>
      <c r="H2" s="5" t="s">
        <v>596</v>
      </c>
      <c r="I2" s="5"/>
      <c r="K2" s="5" t="s">
        <v>597</v>
      </c>
      <c r="L2" s="5"/>
      <c r="N2" s="5" t="s">
        <v>598</v>
      </c>
      <c r="O2" s="5"/>
      <c r="Q2" s="5" t="s">
        <v>599</v>
      </c>
      <c r="R2" s="5"/>
      <c r="T2" s="5" t="s">
        <v>600</v>
      </c>
      <c r="U2" s="5"/>
      <c r="W2" s="5" t="s">
        <v>601</v>
      </c>
      <c r="X2" s="5"/>
      <c r="Z2" s="5" t="s">
        <v>602</v>
      </c>
      <c r="AA2" s="5"/>
    </row>
    <row r="4" customFormat="false" ht="15" hidden="false" customHeight="false" outlineLevel="0" collapsed="false">
      <c r="B4" s="0" t="s">
        <v>0</v>
      </c>
      <c r="C4" s="34" t="n">
        <v>0.1</v>
      </c>
      <c r="F4" s="34" t="n">
        <v>0.1</v>
      </c>
      <c r="I4" s="34" t="n">
        <v>0.1</v>
      </c>
      <c r="L4" s="34" t="n">
        <v>0.1</v>
      </c>
      <c r="O4" s="34" t="n">
        <v>0.1</v>
      </c>
      <c r="R4" s="34" t="n">
        <v>0.1</v>
      </c>
      <c r="U4" s="34" t="n">
        <v>0.1</v>
      </c>
      <c r="X4" s="34" t="n">
        <v>0.1</v>
      </c>
      <c r="Z4" s="0" t="s">
        <v>0</v>
      </c>
      <c r="AA4" s="34" t="n">
        <v>0.1</v>
      </c>
    </row>
    <row r="6" customFormat="false" ht="30" hidden="false" customHeight="false" outlineLevel="0" collapsed="false">
      <c r="A6" s="0" t="s">
        <v>33</v>
      </c>
      <c r="B6" s="10" t="s">
        <v>418</v>
      </c>
      <c r="C6" s="46" t="s">
        <v>393</v>
      </c>
      <c r="E6" s="10" t="s">
        <v>418</v>
      </c>
      <c r="F6" s="4" t="s">
        <v>413</v>
      </c>
      <c r="H6" s="10" t="s">
        <v>418</v>
      </c>
      <c r="I6" s="4" t="s">
        <v>413</v>
      </c>
      <c r="K6" s="10" t="s">
        <v>418</v>
      </c>
      <c r="L6" s="4" t="s">
        <v>413</v>
      </c>
      <c r="N6" s="10" t="s">
        <v>418</v>
      </c>
      <c r="O6" s="4" t="s">
        <v>413</v>
      </c>
      <c r="Q6" s="10" t="s">
        <v>418</v>
      </c>
      <c r="R6" s="4" t="s">
        <v>413</v>
      </c>
      <c r="T6" s="10" t="s">
        <v>418</v>
      </c>
      <c r="U6" s="4" t="s">
        <v>413</v>
      </c>
      <c r="W6" s="10" t="s">
        <v>418</v>
      </c>
      <c r="X6" s="4" t="s">
        <v>413</v>
      </c>
      <c r="Z6" s="10" t="s">
        <v>418</v>
      </c>
      <c r="AA6" s="4" t="s">
        <v>413</v>
      </c>
    </row>
    <row r="7" customFormat="false" ht="15" hidden="false" customHeight="false" outlineLevel="0" collapsed="false">
      <c r="A7" s="4" t="n">
        <v>0</v>
      </c>
      <c r="B7" s="0" t="n">
        <v>-1500</v>
      </c>
      <c r="C7" s="36" t="n">
        <f aca="false">B7/(1+$C$4)^A7</f>
        <v>-1500</v>
      </c>
      <c r="E7" s="0" t="n">
        <v>-600</v>
      </c>
      <c r="F7" s="36" t="n">
        <f aca="false">E7/(1+$C$4)^A7</f>
        <v>-600</v>
      </c>
      <c r="H7" s="0" t="n">
        <v>-1000</v>
      </c>
      <c r="I7" s="36" t="n">
        <f aca="false">H7/(1+$C$4)^A7</f>
        <v>-1000</v>
      </c>
      <c r="K7" s="0" t="n">
        <v>-900</v>
      </c>
      <c r="L7" s="36" t="n">
        <f aca="false">K7/(1+$C$4)^A7</f>
        <v>-900</v>
      </c>
      <c r="N7" s="0" t="n">
        <v>-500</v>
      </c>
      <c r="O7" s="36" t="n">
        <f aca="false">N7/(1+$C$4)^$A7</f>
        <v>-500</v>
      </c>
      <c r="Q7" s="0" t="n">
        <f aca="false">E7+H7</f>
        <v>-1600</v>
      </c>
      <c r="R7" s="36" t="n">
        <f aca="false">Q7/(1+$C$4)^A7</f>
        <v>-1600</v>
      </c>
      <c r="T7" s="0" t="n">
        <f aca="false">E7+K7</f>
        <v>-1500</v>
      </c>
      <c r="U7" s="36" t="n">
        <f aca="false">T7/(1+$C$4)^$A7</f>
        <v>-1500</v>
      </c>
      <c r="W7" s="0" t="n">
        <f aca="false">H7+N7</f>
        <v>-1500</v>
      </c>
      <c r="X7" s="36" t="n">
        <f aca="false">W7/(1+$C$4)^$A7</f>
        <v>-1500</v>
      </c>
      <c r="Z7" s="0" t="n">
        <v>-1500</v>
      </c>
      <c r="AA7" s="36" t="n">
        <f aca="false">Z7/(1+$C$4)^D7</f>
        <v>-1500</v>
      </c>
    </row>
    <row r="8" customFormat="false" ht="15" hidden="false" customHeight="false" outlineLevel="0" collapsed="false">
      <c r="A8" s="4" t="n">
        <v>1</v>
      </c>
      <c r="B8" s="36" t="n">
        <v>2000</v>
      </c>
      <c r="C8" s="36" t="n">
        <f aca="false">B8/(1+$C$4)^A8</f>
        <v>1818.18181818182</v>
      </c>
      <c r="E8" s="36" t="n">
        <v>850</v>
      </c>
      <c r="F8" s="36" t="n">
        <f aca="false">E8/(1+$C$4)^A8</f>
        <v>772.727272727273</v>
      </c>
      <c r="H8" s="36" t="n">
        <v>1400</v>
      </c>
      <c r="I8" s="36" t="n">
        <f aca="false">H8/(1+$C$4)^A8</f>
        <v>1272.72727272727</v>
      </c>
      <c r="K8" s="36" t="n">
        <v>1050</v>
      </c>
      <c r="L8" s="36" t="n">
        <f aca="false">K8/(1+$C$4)^A8</f>
        <v>954.545454545455</v>
      </c>
      <c r="N8" s="36" t="n">
        <v>700</v>
      </c>
      <c r="O8" s="36" t="n">
        <f aca="false">N8/(1+$C$4)^$A8</f>
        <v>636.363636363636</v>
      </c>
      <c r="Q8" s="0" t="n">
        <f aca="false">E8+H8</f>
        <v>2250</v>
      </c>
      <c r="R8" s="36" t="n">
        <f aca="false">Q8/(1+$C$4)^A8</f>
        <v>2045.45454545455</v>
      </c>
      <c r="T8" s="0" t="n">
        <f aca="false">E8+K8</f>
        <v>1900</v>
      </c>
      <c r="U8" s="36" t="n">
        <f aca="false">T8/(1+$C$4)^$A8</f>
        <v>1727.27272727273</v>
      </c>
      <c r="W8" s="0" t="n">
        <f aca="false">H8+N8</f>
        <v>2100</v>
      </c>
      <c r="X8" s="36" t="n">
        <f aca="false">W8/(1+$C$4)^$A8</f>
        <v>1909.09090909091</v>
      </c>
      <c r="Z8" s="36" t="n">
        <v>1650</v>
      </c>
      <c r="AA8" s="36" t="n">
        <f aca="false">Z8/(1+$C$4)^D8</f>
        <v>1650</v>
      </c>
    </row>
    <row r="9" customFormat="false" ht="15" hidden="false" customHeight="false" outlineLevel="0" collapsed="false">
      <c r="B9" s="45"/>
      <c r="C9" s="1"/>
      <c r="E9" s="45"/>
      <c r="F9" s="1"/>
      <c r="H9" s="45"/>
      <c r="I9" s="1"/>
      <c r="K9" s="45"/>
      <c r="L9" s="1"/>
      <c r="N9" s="45"/>
      <c r="O9" s="1"/>
      <c r="Q9" s="45"/>
      <c r="R9" s="1"/>
    </row>
    <row r="10" customFormat="false" ht="15" hidden="false" customHeight="false" outlineLevel="0" collapsed="false">
      <c r="B10" s="1"/>
      <c r="C10" s="1"/>
      <c r="E10" s="1"/>
      <c r="F10" s="1"/>
      <c r="H10" s="1"/>
      <c r="I10" s="1"/>
      <c r="K10" s="1"/>
      <c r="L10" s="1"/>
      <c r="N10" s="1"/>
      <c r="O10" s="1"/>
      <c r="Q10" s="1"/>
      <c r="R10" s="1"/>
    </row>
    <row r="11" customFormat="false" ht="15" hidden="false" customHeight="false" outlineLevel="1" collapsed="false">
      <c r="A11" s="0" t="s">
        <v>497</v>
      </c>
      <c r="C11" s="240" t="n">
        <f aca="false">SUM(C7:C8)</f>
        <v>318.181818181818</v>
      </c>
      <c r="D11" s="78"/>
      <c r="E11" s="78"/>
      <c r="F11" s="36" t="n">
        <f aca="false">SUM(F7:F8)</f>
        <v>172.727272727273</v>
      </c>
      <c r="G11" s="78"/>
      <c r="H11" s="78"/>
      <c r="I11" s="36" t="n">
        <f aca="false">SUM(I7:I8)</f>
        <v>272.727272727273</v>
      </c>
      <c r="K11" s="78"/>
      <c r="L11" s="36" t="n">
        <f aca="false">SUM(L7:L8)</f>
        <v>54.5454545454545</v>
      </c>
      <c r="N11" s="78"/>
      <c r="O11" s="36" t="n">
        <f aca="false">SUM(O7:O8)</f>
        <v>136.363636363636</v>
      </c>
      <c r="Q11" s="78"/>
      <c r="R11" s="241" t="n">
        <f aca="false">SUM(R7:R8)</f>
        <v>445.454545454545</v>
      </c>
      <c r="T11" s="78"/>
      <c r="U11" s="36" t="n">
        <f aca="false">SUM(U7:U8)</f>
        <v>227.272727272727</v>
      </c>
      <c r="W11" s="78"/>
      <c r="X11" s="240" t="n">
        <f aca="false">SUM(X7:X8)</f>
        <v>409.090909090909</v>
      </c>
      <c r="Z11" s="78"/>
      <c r="AA11" s="36" t="n">
        <f aca="false">SUM(AA7:AA8)</f>
        <v>150</v>
      </c>
    </row>
    <row r="12" customFormat="false" ht="15" hidden="false" customHeight="false" outlineLevel="1" collapsed="false">
      <c r="A12" s="0" t="s">
        <v>469</v>
      </c>
      <c r="C12" s="180" t="n">
        <f aca="false">C8/-C7</f>
        <v>1.21212121212121</v>
      </c>
      <c r="F12" s="180" t="n">
        <f aca="false">F8/-F7</f>
        <v>1.28787878787879</v>
      </c>
      <c r="I12" s="180" t="n">
        <f aca="false">I8/-I7</f>
        <v>1.27272727272727</v>
      </c>
      <c r="L12" s="180" t="n">
        <f aca="false">L8/-L7</f>
        <v>1.06060606060606</v>
      </c>
      <c r="O12" s="180" t="n">
        <f aca="false">O8/-O7</f>
        <v>1.27272727272727</v>
      </c>
      <c r="R12" s="180" t="n">
        <f aca="false">R8/-R7</f>
        <v>1.27840909090909</v>
      </c>
      <c r="U12" s="180" t="n">
        <f aca="false">U8/-U7</f>
        <v>1.15151515151515</v>
      </c>
      <c r="X12" s="180" t="n">
        <f aca="false">X8/-X7</f>
        <v>1.27272727272727</v>
      </c>
      <c r="AA12" s="180" t="n">
        <f aca="false">AA8/-AA7</f>
        <v>1.1</v>
      </c>
    </row>
    <row r="13" customFormat="false" ht="15" hidden="false" customHeight="false" outlineLevel="0" collapsed="false">
      <c r="A13" s="0" t="s">
        <v>446</v>
      </c>
      <c r="C13" s="55" t="n">
        <f aca="false">IRR(B7:B8)</f>
        <v>0.333333333333333</v>
      </c>
      <c r="F13" s="242" t="n">
        <f aca="false">IRR(E7:E8)</f>
        <v>0.416666666666667</v>
      </c>
      <c r="I13" s="55" t="n">
        <f aca="false">IRR(H7:H8)</f>
        <v>0.4</v>
      </c>
      <c r="L13" s="55" t="n">
        <f aca="false">IRR(K7:K8)</f>
        <v>0.166666666666667</v>
      </c>
      <c r="O13" s="55" t="n">
        <f aca="false">IRR(N7:N8)</f>
        <v>0.4</v>
      </c>
      <c r="R13" s="243" t="n">
        <f aca="false">IRR(Q7:Q8)</f>
        <v>0.40625</v>
      </c>
      <c r="U13" s="55" t="n">
        <f aca="false">IRR(T7:T8)</f>
        <v>0.266666666666667</v>
      </c>
      <c r="X13" s="242" t="n">
        <f aca="false">IRR(W7:W8)</f>
        <v>0.4</v>
      </c>
      <c r="AA13" s="55" t="n">
        <f aca="false">IRR(Z7:Z8)</f>
        <v>0.1</v>
      </c>
    </row>
    <row r="15" customFormat="false" ht="15" hidden="false" customHeight="false" outlineLevel="0" collapsed="false">
      <c r="A15" s="0" t="s">
        <v>603</v>
      </c>
      <c r="I15" s="56"/>
      <c r="L15" s="56" t="n">
        <f aca="false">F11+L11</f>
        <v>227.272727272727</v>
      </c>
      <c r="O15" s="56" t="n">
        <f aca="false">I11+O11</f>
        <v>409.090909090909</v>
      </c>
    </row>
    <row r="16" customFormat="false" ht="15" hidden="false" customHeight="false" outlineLevel="0" collapsed="false">
      <c r="A16" s="0" t="s">
        <v>604</v>
      </c>
    </row>
    <row r="17" customFormat="false" ht="15" hidden="false" customHeight="false" outlineLevel="0" collapsed="false">
      <c r="A17" s="0" t="s">
        <v>605</v>
      </c>
    </row>
    <row r="18" customFormat="false" ht="15" hidden="false" customHeight="false" outlineLevel="0" collapsed="false">
      <c r="A18" s="0" t="s">
        <v>606</v>
      </c>
    </row>
    <row r="20" customFormat="false" ht="15" hidden="false" customHeight="false" outlineLevel="0" collapsed="false">
      <c r="A20" s="0" t="s">
        <v>607</v>
      </c>
      <c r="G20" s="0" t="s">
        <v>608</v>
      </c>
    </row>
    <row r="22" customFormat="false" ht="15" hidden="false" customHeight="false" outlineLevel="0" collapsed="false">
      <c r="A22" s="0" t="s">
        <v>609</v>
      </c>
      <c r="G22" s="0" t="s">
        <v>610</v>
      </c>
    </row>
    <row r="23" customFormat="false" ht="15" hidden="false" customHeight="false" outlineLevel="0" collapsed="false">
      <c r="G23" s="0" t="s">
        <v>611</v>
      </c>
    </row>
    <row r="24" customFormat="false" ht="15" hidden="false" customHeight="false" outlineLevel="0" collapsed="false">
      <c r="G24" s="0" t="s">
        <v>612</v>
      </c>
    </row>
    <row r="25" customFormat="false" ht="15" hidden="false" customHeight="false" outlineLevel="0" collapsed="false">
      <c r="A25" s="0" t="s">
        <v>613</v>
      </c>
    </row>
    <row r="26" customFormat="false" ht="15" hidden="false" customHeight="false" outlineLevel="0" collapsed="false">
      <c r="A26" s="0" t="s">
        <v>614</v>
      </c>
    </row>
    <row r="28" customFormat="false" ht="15" hidden="false" customHeight="false" outlineLevel="1" collapsed="false">
      <c r="A28" s="0" t="s">
        <v>615</v>
      </c>
    </row>
    <row r="29" customFormat="false" ht="15" hidden="false" customHeight="false" outlineLevel="1" collapsed="false">
      <c r="A29" s="0" t="s">
        <v>616</v>
      </c>
    </row>
    <row r="30" customFormat="false" ht="15" hidden="false" customHeight="false" outlineLevel="1" collapsed="false">
      <c r="A30" s="0" t="s">
        <v>617</v>
      </c>
    </row>
    <row r="31" customFormat="false" ht="15" hidden="false" customHeight="false" outlineLevel="1" collapsed="false">
      <c r="A31" s="0" t="s">
        <v>618</v>
      </c>
    </row>
    <row r="32" customFormat="false" ht="15" hidden="false" customHeight="false" outlineLevel="1" collapsed="false">
      <c r="A32" s="0" t="s">
        <v>619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9" activeCellId="0" sqref="H1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57"/>
    <col collapsed="false" customWidth="true" hidden="false" outlineLevel="0" max="3" min="3" style="0" width="13.15"/>
    <col collapsed="false" customWidth="true" hidden="false" outlineLevel="0" max="4" min="4" style="0" width="15.71"/>
    <col collapsed="false" customWidth="true" hidden="false" outlineLevel="0" max="5" min="5" style="0" width="5.42"/>
    <col collapsed="false" customWidth="true" hidden="false" outlineLevel="0" max="6" min="6" style="0" width="6.57"/>
    <col collapsed="false" customWidth="true" hidden="false" outlineLevel="0" max="7" min="7" style="0" width="14.29"/>
    <col collapsed="false" customWidth="true" hidden="false" outlineLevel="0" max="8" min="8" style="0" width="20.57"/>
    <col collapsed="false" customWidth="true" hidden="false" outlineLevel="0" max="9" min="9" style="0" width="4"/>
    <col collapsed="false" customWidth="true" hidden="false" outlineLevel="0" max="10" min="10" style="0" width="7"/>
    <col collapsed="false" customWidth="true" hidden="false" outlineLevel="0" max="11" min="11" style="0" width="12.15"/>
    <col collapsed="false" customWidth="true" hidden="false" outlineLevel="0" max="12" min="12" style="0" width="20.71"/>
  </cols>
  <sheetData>
    <row r="1" customFormat="false" ht="15" hidden="false" customHeight="false" outlineLevel="0" collapsed="false">
      <c r="A1" s="29" t="s">
        <v>620</v>
      </c>
    </row>
    <row r="2" customFormat="false" ht="15" hidden="false" customHeight="false" outlineLevel="0" collapsed="false">
      <c r="C2" s="29" t="s">
        <v>621</v>
      </c>
      <c r="D2" s="29" t="s">
        <v>622</v>
      </c>
      <c r="F2" s="29" t="s">
        <v>623</v>
      </c>
      <c r="J2" s="29" t="s">
        <v>624</v>
      </c>
    </row>
    <row r="3" customFormat="false" ht="15" hidden="false" customHeight="false" outlineLevel="0" collapsed="false">
      <c r="B3" s="0" t="s">
        <v>625</v>
      </c>
      <c r="C3" s="244" t="n">
        <v>2000</v>
      </c>
      <c r="D3" s="244" t="n">
        <v>3000</v>
      </c>
    </row>
    <row r="4" customFormat="false" ht="15" hidden="false" customHeight="false" outlineLevel="0" collapsed="false">
      <c r="B4" s="0" t="s">
        <v>626</v>
      </c>
      <c r="C4" s="13" t="n">
        <v>450</v>
      </c>
      <c r="D4" s="13" t="n">
        <v>600</v>
      </c>
      <c r="G4" s="0" t="s">
        <v>0</v>
      </c>
      <c r="H4" s="213" t="n">
        <v>0.08</v>
      </c>
      <c r="L4" s="213" t="n">
        <v>0.08</v>
      </c>
    </row>
    <row r="6" customFormat="false" ht="15" hidden="false" customHeight="false" outlineLevel="0" collapsed="false">
      <c r="B6" s="0" t="s">
        <v>627</v>
      </c>
      <c r="C6" s="13" t="n">
        <v>100</v>
      </c>
      <c r="D6" s="13" t="n">
        <v>700</v>
      </c>
    </row>
    <row r="7" customFormat="false" ht="15" hidden="false" customHeight="false" outlineLevel="0" collapsed="false">
      <c r="B7" s="0" t="s">
        <v>0</v>
      </c>
      <c r="C7" s="38" t="n">
        <v>0.08</v>
      </c>
      <c r="F7" s="0" t="s">
        <v>33</v>
      </c>
      <c r="G7" s="0" t="s">
        <v>628</v>
      </c>
      <c r="H7" s="0" t="s">
        <v>629</v>
      </c>
      <c r="J7" s="0" t="s">
        <v>33</v>
      </c>
      <c r="K7" s="0" t="s">
        <v>628</v>
      </c>
      <c r="L7" s="0" t="s">
        <v>629</v>
      </c>
    </row>
    <row r="9" customFormat="false" ht="15" hidden="false" customHeight="false" outlineLevel="0" collapsed="false">
      <c r="B9" s="0" t="s">
        <v>630</v>
      </c>
      <c r="C9" s="245" t="n">
        <f aca="false">C3/C4</f>
        <v>4.44444444444445</v>
      </c>
      <c r="D9" s="245" t="n">
        <f aca="false">D3/D4</f>
        <v>5</v>
      </c>
      <c r="F9" s="0" t="n">
        <v>0</v>
      </c>
      <c r="G9" s="160" t="n">
        <v>-2000</v>
      </c>
      <c r="H9" s="36" t="n">
        <f aca="false">G9/(1+$H$4)^F9</f>
        <v>-2000</v>
      </c>
      <c r="J9" s="0" t="n">
        <v>0</v>
      </c>
      <c r="K9" s="160" t="n">
        <v>-3000</v>
      </c>
      <c r="L9" s="36" t="n">
        <f aca="false">K9/(1+$H$4)^J9</f>
        <v>-3000</v>
      </c>
    </row>
    <row r="10" customFormat="false" ht="15" hidden="false" customHeight="false" outlineLevel="0" collapsed="false">
      <c r="F10" s="0" t="n">
        <v>1</v>
      </c>
      <c r="G10" s="160" t="n">
        <v>450</v>
      </c>
      <c r="H10" s="36" t="n">
        <f aca="false">G10/(1+$H$4)^F10</f>
        <v>416.666666666667</v>
      </c>
      <c r="J10" s="0" t="n">
        <v>1</v>
      </c>
      <c r="K10" s="160" t="n">
        <v>600</v>
      </c>
      <c r="L10" s="36" t="n">
        <f aca="false">K10/(1+$H$4)^J10</f>
        <v>555.555555555556</v>
      </c>
    </row>
    <row r="11" customFormat="false" ht="15" hidden="false" customHeight="false" outlineLevel="0" collapsed="false">
      <c r="F11" s="0" t="n">
        <v>2</v>
      </c>
      <c r="G11" s="160" t="n">
        <v>450</v>
      </c>
      <c r="H11" s="36" t="n">
        <f aca="false">G11/(1+$H$4)^F11</f>
        <v>385.802469135802</v>
      </c>
      <c r="J11" s="0" t="n">
        <v>2</v>
      </c>
      <c r="K11" s="160" t="n">
        <v>600</v>
      </c>
      <c r="L11" s="36" t="n">
        <f aca="false">K11/(1+$H$4)^J11</f>
        <v>514.40329218107</v>
      </c>
    </row>
    <row r="12" customFormat="false" ht="15" hidden="false" customHeight="false" outlineLevel="0" collapsed="false">
      <c r="F12" s="0" t="n">
        <v>3</v>
      </c>
      <c r="G12" s="160" t="n">
        <v>450</v>
      </c>
      <c r="H12" s="36" t="n">
        <f aca="false">G12/(1+$H$4)^F12</f>
        <v>357.224508459076</v>
      </c>
      <c r="J12" s="0" t="n">
        <v>3</v>
      </c>
      <c r="K12" s="160" t="n">
        <v>600</v>
      </c>
      <c r="L12" s="36" t="n">
        <f aca="false">K12/(1+$H$4)^J12</f>
        <v>476.299344612102</v>
      </c>
    </row>
    <row r="13" customFormat="false" ht="15" hidden="false" customHeight="false" outlineLevel="0" collapsed="false">
      <c r="F13" s="78" t="n">
        <v>4</v>
      </c>
      <c r="G13" s="160" t="n">
        <v>450</v>
      </c>
      <c r="H13" s="36" t="n">
        <f aca="false">G13/(1+$H$4)^F13</f>
        <v>330.763433758404</v>
      </c>
      <c r="J13" s="0" t="n">
        <v>4</v>
      </c>
      <c r="K13" s="160" t="n">
        <v>600</v>
      </c>
      <c r="L13" s="36" t="n">
        <f aca="false">K13/(1+$H$4)^J13</f>
        <v>441.017911677872</v>
      </c>
    </row>
    <row r="14" customFormat="false" ht="15" hidden="false" customHeight="false" outlineLevel="0" collapsed="false">
      <c r="F14" s="0" t="n">
        <v>5</v>
      </c>
      <c r="G14" s="160" t="n">
        <v>450</v>
      </c>
      <c r="H14" s="36" t="n">
        <f aca="false">G14/(1+$H$4)^F14</f>
        <v>306.262438665189</v>
      </c>
      <c r="J14" s="0" t="n">
        <v>5</v>
      </c>
      <c r="K14" s="160" t="n">
        <v>600</v>
      </c>
      <c r="L14" s="36" t="n">
        <f aca="false">K14/(1+$H$4)^J14</f>
        <v>408.349918220252</v>
      </c>
    </row>
    <row r="15" customFormat="false" ht="15" hidden="false" customHeight="false" outlineLevel="0" collapsed="false">
      <c r="F15" s="0" t="n">
        <v>6</v>
      </c>
      <c r="G15" s="160" t="n">
        <f aca="false">C4+C6</f>
        <v>550</v>
      </c>
      <c r="H15" s="36" t="n">
        <f aca="false">G15/(1+$H$4)^F15</f>
        <v>346.593294785708</v>
      </c>
      <c r="J15" s="78" t="n">
        <v>6</v>
      </c>
      <c r="K15" s="160" t="n">
        <f aca="false">D4+D6</f>
        <v>1300</v>
      </c>
      <c r="L15" s="36" t="n">
        <f aca="false">K15/(1+$H$4)^J15</f>
        <v>819.220514948036</v>
      </c>
    </row>
    <row r="17" customFormat="false" ht="15" hidden="false" customHeight="false" outlineLevel="0" collapsed="false">
      <c r="B17" s="65"/>
      <c r="F17" s="0" t="s">
        <v>631</v>
      </c>
      <c r="G17" s="217"/>
      <c r="H17" s="246" t="n">
        <f aca="false">SUM(H9:H15)</f>
        <v>143.312811470845</v>
      </c>
      <c r="K17" s="217"/>
      <c r="L17" s="246" t="n">
        <f aca="false">SUM(L9:L15)</f>
        <v>214.846537194887</v>
      </c>
    </row>
    <row r="18" customFormat="false" ht="15" hidden="false" customHeight="false" outlineLevel="0" collapsed="false">
      <c r="B18" s="65"/>
    </row>
    <row r="19" customFormat="false" ht="15" hidden="false" customHeight="false" outlineLevel="0" collapsed="false">
      <c r="F19" s="0" t="s">
        <v>632</v>
      </c>
      <c r="H19" s="247" t="n">
        <f aca="false">-G9/G10</f>
        <v>4.44444444444445</v>
      </c>
      <c r="J19" s="0" t="s">
        <v>633</v>
      </c>
      <c r="L19" s="247" t="n">
        <f aca="false">-K9/K10</f>
        <v>5</v>
      </c>
    </row>
    <row r="21" customFormat="false" ht="15" hidden="false" customHeight="false" outlineLevel="0" collapsed="false">
      <c r="F21" s="0" t="s">
        <v>634</v>
      </c>
    </row>
    <row r="22" customFormat="false" ht="15" hidden="false" customHeight="false" outlineLevel="0" collapsed="false">
      <c r="F22" s="0" t="s">
        <v>635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J20" activeCellId="0" sqref="J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31.71"/>
    <col collapsed="false" customWidth="true" hidden="false" outlineLevel="0" max="3" min="3" style="0" width="30.29"/>
    <col collapsed="false" customWidth="true" hidden="false" outlineLevel="0" max="4" min="4" style="0" width="24"/>
    <col collapsed="false" customWidth="true" hidden="false" outlineLevel="0" max="5" min="5" style="0" width="2.71"/>
    <col collapsed="false" customWidth="true" hidden="false" outlineLevel="0" max="6" min="6" style="0" width="4.14"/>
    <col collapsed="false" customWidth="true" hidden="false" outlineLevel="0" max="7" min="7" style="0" width="15"/>
    <col collapsed="false" customWidth="true" hidden="false" outlineLevel="0" max="9" min="8" style="0" width="22.57"/>
    <col collapsed="false" customWidth="true" hidden="false" outlineLevel="0" max="10" min="10" style="0" width="20.29"/>
    <col collapsed="false" customWidth="true" hidden="false" outlineLevel="0" max="11" min="11" style="0" width="4"/>
    <col collapsed="false" customWidth="true" hidden="false" outlineLevel="0" max="12" min="12" style="0" width="14.86"/>
    <col collapsed="false" customWidth="true" hidden="false" outlineLevel="0" max="13" min="13" style="0" width="23.57"/>
    <col collapsed="false" customWidth="true" hidden="false" outlineLevel="0" max="14" min="14" style="0" width="22.57"/>
    <col collapsed="false" customWidth="true" hidden="false" outlineLevel="0" max="15" min="15" style="0" width="20.71"/>
  </cols>
  <sheetData>
    <row r="1" customFormat="false" ht="15" hidden="false" customHeight="false" outlineLevel="0" collapsed="false">
      <c r="A1" s="29" t="s">
        <v>636</v>
      </c>
      <c r="C1" s="29" t="s">
        <v>637</v>
      </c>
      <c r="D1" s="29" t="s">
        <v>638</v>
      </c>
      <c r="E1" s="29"/>
      <c r="G1" s="29" t="s">
        <v>637</v>
      </c>
      <c r="L1" s="29" t="s">
        <v>638</v>
      </c>
    </row>
    <row r="2" customFormat="false" ht="15" hidden="false" customHeight="false" outlineLevel="0" collapsed="false">
      <c r="B2" s="0" t="s">
        <v>625</v>
      </c>
      <c r="C2" s="248" t="n">
        <v>30000</v>
      </c>
      <c r="D2" s="248" t="n">
        <v>35000</v>
      </c>
      <c r="E2" s="248"/>
    </row>
    <row r="3" customFormat="false" ht="15" hidden="false" customHeight="false" outlineLevel="0" collapsed="false">
      <c r="B3" s="0" t="s">
        <v>639</v>
      </c>
      <c r="C3" s="0" t="s">
        <v>640</v>
      </c>
      <c r="D3" s="0" t="s">
        <v>641</v>
      </c>
      <c r="H3" s="0" t="s">
        <v>642</v>
      </c>
      <c r="J3" s="213" t="n">
        <v>0.1</v>
      </c>
      <c r="M3" s="0" t="s">
        <v>642</v>
      </c>
      <c r="O3" s="213" t="n">
        <v>0.1</v>
      </c>
    </row>
    <row r="4" customFormat="false" ht="15" hidden="false" customHeight="false" outlineLevel="0" collapsed="false">
      <c r="B4" s="0" t="s">
        <v>643</v>
      </c>
      <c r="C4" s="0" t="s">
        <v>644</v>
      </c>
      <c r="D4" s="0" t="s">
        <v>645</v>
      </c>
      <c r="H4" s="0" t="s">
        <v>646</v>
      </c>
      <c r="M4" s="0" t="s">
        <v>646</v>
      </c>
    </row>
    <row r="5" customFormat="false" ht="15" hidden="false" customHeight="false" outlineLevel="0" collapsed="false">
      <c r="B5" s="0" t="s">
        <v>647</v>
      </c>
      <c r="D5" s="0" t="s">
        <v>648</v>
      </c>
      <c r="H5" s="0" t="s">
        <v>637</v>
      </c>
      <c r="M5" s="0" t="s">
        <v>637</v>
      </c>
    </row>
    <row r="6" customFormat="false" ht="15" hidden="false" customHeight="false" outlineLevel="0" collapsed="false">
      <c r="B6" s="0" t="s">
        <v>649</v>
      </c>
      <c r="C6" s="4" t="n">
        <v>8</v>
      </c>
      <c r="D6" s="4" t="n">
        <v>8</v>
      </c>
      <c r="E6" s="4"/>
      <c r="G6" s="0" t="s">
        <v>33</v>
      </c>
      <c r="H6" s="0" t="s">
        <v>628</v>
      </c>
      <c r="I6" s="0" t="s">
        <v>650</v>
      </c>
      <c r="J6" s="0" t="s">
        <v>629</v>
      </c>
      <c r="L6" s="0" t="s">
        <v>33</v>
      </c>
      <c r="M6" s="0" t="s">
        <v>628</v>
      </c>
      <c r="N6" s="0" t="s">
        <v>650</v>
      </c>
      <c r="O6" s="0" t="s">
        <v>629</v>
      </c>
    </row>
    <row r="8" customFormat="false" ht="15" hidden="false" customHeight="false" outlineLevel="0" collapsed="false">
      <c r="B8" s="0" t="s">
        <v>651</v>
      </c>
      <c r="G8" s="0" t="n">
        <v>0</v>
      </c>
      <c r="H8" s="160" t="n">
        <v>-30000</v>
      </c>
      <c r="I8" s="56" t="n">
        <f aca="false">H8</f>
        <v>-30000</v>
      </c>
      <c r="J8" s="36" t="n">
        <f aca="false">H8/(1+$J$3)^G8</f>
        <v>-30000</v>
      </c>
      <c r="L8" s="0" t="n">
        <v>0</v>
      </c>
      <c r="M8" s="160" t="n">
        <v>-35000</v>
      </c>
      <c r="N8" s="56" t="n">
        <f aca="false">M8</f>
        <v>-35000</v>
      </c>
      <c r="O8" s="36" t="n">
        <f aca="false">M8/(1+$J$3)^L8</f>
        <v>-35000</v>
      </c>
    </row>
    <row r="9" customFormat="false" ht="15" hidden="false" customHeight="false" outlineLevel="0" collapsed="false">
      <c r="G9" s="0" t="n">
        <v>1</v>
      </c>
      <c r="H9" s="160" t="n">
        <v>12000</v>
      </c>
      <c r="I9" s="56" t="n">
        <f aca="false">I8+H9</f>
        <v>-18000</v>
      </c>
      <c r="J9" s="36" t="n">
        <f aca="false">H9/(1+$J$3)^G9</f>
        <v>10909.0909090909</v>
      </c>
      <c r="L9" s="0" t="n">
        <v>1</v>
      </c>
      <c r="M9" s="160" t="n">
        <v>1000</v>
      </c>
      <c r="N9" s="56" t="n">
        <f aca="false">N8+M9</f>
        <v>-34000</v>
      </c>
      <c r="O9" s="36" t="n">
        <f aca="false">M9/(1+$J$3)^L9</f>
        <v>909.090909090909</v>
      </c>
    </row>
    <row r="10" customFormat="false" ht="15" hidden="false" customHeight="false" outlineLevel="0" collapsed="false">
      <c r="G10" s="0" t="n">
        <v>2</v>
      </c>
      <c r="H10" s="160" t="n">
        <v>9000</v>
      </c>
      <c r="I10" s="56" t="n">
        <f aca="false">I9+H10</f>
        <v>-9000</v>
      </c>
      <c r="J10" s="36" t="n">
        <f aca="false">H10/(1+$J$3)^G10</f>
        <v>7438.01652892562</v>
      </c>
      <c r="L10" s="0" t="n">
        <v>2</v>
      </c>
      <c r="M10" s="160" t="n">
        <v>4000</v>
      </c>
      <c r="N10" s="56" t="n">
        <f aca="false">N9+M10</f>
        <v>-30000</v>
      </c>
      <c r="O10" s="36" t="n">
        <f aca="false">M10/(1+$J$3)^L10</f>
        <v>3305.78512396694</v>
      </c>
    </row>
    <row r="11" customFormat="false" ht="15" hidden="false" customHeight="false" outlineLevel="0" collapsed="false">
      <c r="G11" s="0" t="n">
        <v>3</v>
      </c>
      <c r="H11" s="160" t="n">
        <v>6000</v>
      </c>
      <c r="I11" s="56" t="n">
        <f aca="false">I10+H11</f>
        <v>-3000</v>
      </c>
      <c r="J11" s="36" t="n">
        <f aca="false">H11/(1+$J$3)^G11</f>
        <v>4507.88880540947</v>
      </c>
      <c r="L11" s="0" t="n">
        <v>3</v>
      </c>
      <c r="M11" s="160" t="n">
        <v>7000</v>
      </c>
      <c r="N11" s="56" t="n">
        <f aca="false">N10+M11</f>
        <v>-23000</v>
      </c>
      <c r="O11" s="36" t="n">
        <f aca="false">M11/(1+$J$3)^L11</f>
        <v>5259.20360631104</v>
      </c>
    </row>
    <row r="12" customFormat="false" ht="15" hidden="false" customHeight="false" outlineLevel="0" collapsed="false">
      <c r="G12" s="202" t="n">
        <v>4</v>
      </c>
      <c r="H12" s="160" t="n">
        <v>3000</v>
      </c>
      <c r="I12" s="249" t="n">
        <f aca="false">I11+H12</f>
        <v>0</v>
      </c>
      <c r="J12" s="36" t="n">
        <f aca="false">H12/(1+$J$3)^G12</f>
        <v>2049.04036609521</v>
      </c>
      <c r="L12" s="0" t="n">
        <v>4</v>
      </c>
      <c r="M12" s="160" t="n">
        <v>10000</v>
      </c>
      <c r="N12" s="161" t="n">
        <f aca="false">N11+M12</f>
        <v>-13000</v>
      </c>
      <c r="O12" s="36" t="n">
        <f aca="false">M12/(1+$J$3)^L12</f>
        <v>6830.13455365071</v>
      </c>
    </row>
    <row r="13" customFormat="false" ht="15" hidden="false" customHeight="false" outlineLevel="0" collapsed="false">
      <c r="G13" s="0" t="n">
        <v>5</v>
      </c>
      <c r="H13" s="160" t="n">
        <v>0</v>
      </c>
      <c r="I13" s="56" t="n">
        <f aca="false">I12+H13</f>
        <v>0</v>
      </c>
      <c r="J13" s="36" t="n">
        <f aca="false">H13/(1+$J$3)^G13</f>
        <v>0</v>
      </c>
      <c r="L13" s="202" t="n">
        <v>5</v>
      </c>
      <c r="M13" s="160" t="n">
        <v>13000</v>
      </c>
      <c r="N13" s="249" t="n">
        <f aca="false">N12+M13</f>
        <v>0</v>
      </c>
      <c r="O13" s="36" t="n">
        <f aca="false">M13/(1+$J$3)^L13</f>
        <v>8071.97719976901</v>
      </c>
    </row>
    <row r="14" customFormat="false" ht="15" hidden="false" customHeight="false" outlineLevel="0" collapsed="false">
      <c r="G14" s="0" t="n">
        <v>6</v>
      </c>
      <c r="H14" s="160"/>
      <c r="I14" s="56" t="n">
        <f aca="false">I13+H14</f>
        <v>0</v>
      </c>
      <c r="J14" s="36" t="n">
        <f aca="false">H14/(1+$J$3)^G14</f>
        <v>0</v>
      </c>
      <c r="L14" s="78" t="n">
        <v>6</v>
      </c>
      <c r="M14" s="160" t="n">
        <v>16000</v>
      </c>
      <c r="N14" s="161" t="n">
        <f aca="false">N13+M14</f>
        <v>16000</v>
      </c>
      <c r="O14" s="36" t="n">
        <f aca="false">M14/(1+$J$3)^L14</f>
        <v>9031.58288086044</v>
      </c>
    </row>
    <row r="15" customFormat="false" ht="15" hidden="false" customHeight="false" outlineLevel="0" collapsed="false">
      <c r="G15" s="0" t="n">
        <v>7</v>
      </c>
      <c r="H15" s="160"/>
      <c r="I15" s="56" t="n">
        <f aca="false">I14+H15</f>
        <v>0</v>
      </c>
      <c r="J15" s="36" t="n">
        <f aca="false">H15/(1+$J$3)^G15</f>
        <v>0</v>
      </c>
      <c r="L15" s="0" t="n">
        <v>7</v>
      </c>
      <c r="M15" s="160" t="n">
        <v>19000</v>
      </c>
      <c r="N15" s="56" t="n">
        <f aca="false">N14+M15</f>
        <v>35000</v>
      </c>
      <c r="O15" s="36" t="n">
        <f aca="false">M15/(1+$J$3)^L15</f>
        <v>9750.00424638342</v>
      </c>
    </row>
    <row r="16" customFormat="false" ht="15" hidden="false" customHeight="false" outlineLevel="0" collapsed="false">
      <c r="G16" s="0" t="n">
        <v>8</v>
      </c>
      <c r="H16" s="160"/>
      <c r="I16" s="56" t="n">
        <f aca="false">I15+H16</f>
        <v>0</v>
      </c>
      <c r="J16" s="36" t="n">
        <f aca="false">H16/(1+$J$3)^G16</f>
        <v>0</v>
      </c>
      <c r="L16" s="0" t="n">
        <v>8</v>
      </c>
      <c r="M16" s="160" t="n">
        <v>22000</v>
      </c>
      <c r="N16" s="56" t="n">
        <f aca="false">N15+M16</f>
        <v>57000</v>
      </c>
      <c r="O16" s="36" t="n">
        <f aca="false">M16/(1+$J$3)^L16</f>
        <v>10263.1623646141</v>
      </c>
    </row>
    <row r="18" customFormat="false" ht="15" hidden="false" customHeight="false" outlineLevel="0" collapsed="false">
      <c r="G18" s="0" t="s">
        <v>652</v>
      </c>
      <c r="H18" s="217" t="n">
        <f aca="false">SUM(H8:H16)</f>
        <v>0</v>
      </c>
      <c r="I18" s="217"/>
      <c r="J18" s="246" t="n">
        <f aca="false">SUM(J8:J12)</f>
        <v>-5095.9633904788</v>
      </c>
      <c r="L18" s="0" t="s">
        <v>58</v>
      </c>
      <c r="M18" s="217" t="n">
        <f aca="false">SUM(M8:M16)</f>
        <v>57000</v>
      </c>
      <c r="N18" s="217"/>
      <c r="O18" s="246" t="n">
        <f aca="false">SUM(O8:O16)</f>
        <v>18420.9408846466</v>
      </c>
    </row>
    <row r="19" customFormat="false" ht="15" hidden="false" customHeight="false" outlineLevel="0" collapsed="false">
      <c r="G19" s="0" t="s">
        <v>446</v>
      </c>
      <c r="H19" s="55" t="n">
        <f aca="false">IRR(H8:H16)</f>
        <v>1.33226762955019E-015</v>
      </c>
      <c r="I19" s="55"/>
      <c r="L19" s="0" t="s">
        <v>446</v>
      </c>
      <c r="M19" s="55" t="n">
        <f aca="false">IRR(M8:M16)</f>
        <v>0.189874618938708</v>
      </c>
      <c r="N19" s="55"/>
    </row>
    <row r="20" customFormat="false" ht="15" hidden="false" customHeight="false" outlineLevel="0" collapsed="false">
      <c r="G20" s="0" t="s">
        <v>632</v>
      </c>
      <c r="H20" s="19" t="s">
        <v>653</v>
      </c>
      <c r="L20" s="0" t="s">
        <v>632</v>
      </c>
      <c r="M20" s="19" t="s">
        <v>654</v>
      </c>
    </row>
    <row r="23" customFormat="false" ht="15" hidden="false" customHeight="false" outlineLevel="0" collapsed="false">
      <c r="G23" s="0" t="s">
        <v>655</v>
      </c>
    </row>
    <row r="24" customFormat="false" ht="15" hidden="false" customHeight="false" outlineLevel="0" collapsed="false">
      <c r="G24" s="0" t="s">
        <v>635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.29"/>
    <col collapsed="false" customWidth="true" hidden="false" outlineLevel="0" max="3" min="3" style="0" width="7.29"/>
    <col collapsed="false" customWidth="true" hidden="false" outlineLevel="0" max="4" min="4" style="0" width="11.43"/>
    <col collapsed="false" customWidth="true" hidden="false" outlineLevel="0" max="5" min="5" style="0" width="13.15"/>
    <col collapsed="false" customWidth="true" hidden="false" outlineLevel="0" max="6" min="6" style="0" width="6.43"/>
    <col collapsed="false" customWidth="true" hidden="false" outlineLevel="0" max="9" min="9" style="0" width="13.86"/>
    <col collapsed="false" customWidth="true" hidden="false" outlineLevel="0" max="10" min="10" style="0" width="11.14"/>
  </cols>
  <sheetData>
    <row r="1" customFormat="false" ht="15" hidden="false" customHeight="false" outlineLevel="0" collapsed="false">
      <c r="A1" s="29" t="s">
        <v>656</v>
      </c>
    </row>
    <row r="2" customFormat="false" ht="15" hidden="false" customHeight="false" outlineLevel="0" collapsed="false">
      <c r="C2" s="0" t="s">
        <v>657</v>
      </c>
      <c r="G2" s="0" t="s">
        <v>658</v>
      </c>
    </row>
    <row r="3" customFormat="false" ht="30.75" hidden="false" customHeight="false" outlineLevel="0" collapsed="false">
      <c r="C3" s="0" t="s">
        <v>507</v>
      </c>
      <c r="D3" s="0" t="s">
        <v>477</v>
      </c>
      <c r="E3" s="0" t="s">
        <v>659</v>
      </c>
      <c r="G3" s="0" t="s">
        <v>507</v>
      </c>
      <c r="H3" s="0" t="s">
        <v>477</v>
      </c>
      <c r="I3" s="0" t="s">
        <v>659</v>
      </c>
      <c r="J3" s="250" t="s">
        <v>660</v>
      </c>
    </row>
    <row r="4" customFormat="false" ht="15" hidden="false" customHeight="false" outlineLevel="0" collapsed="false">
      <c r="C4" s="0" t="n">
        <v>1</v>
      </c>
      <c r="D4" s="12" t="n">
        <v>100</v>
      </c>
      <c r="E4" s="167" t="n">
        <v>0.2</v>
      </c>
      <c r="G4" s="251" t="n">
        <v>3</v>
      </c>
      <c r="H4" s="21" t="n">
        <v>50</v>
      </c>
      <c r="I4" s="167" t="n">
        <v>0.25</v>
      </c>
      <c r="J4" s="252" t="n">
        <f aca="false">H4</f>
        <v>50</v>
      </c>
    </row>
    <row r="5" customFormat="false" ht="15" hidden="false" customHeight="false" outlineLevel="0" collapsed="false">
      <c r="C5" s="0" t="n">
        <v>2</v>
      </c>
      <c r="D5" s="12" t="n">
        <v>200</v>
      </c>
      <c r="E5" s="167" t="n">
        <v>0.15</v>
      </c>
      <c r="G5" s="253" t="n">
        <v>1</v>
      </c>
      <c r="H5" s="21" t="n">
        <v>100</v>
      </c>
      <c r="I5" s="167" t="n">
        <v>0.2</v>
      </c>
      <c r="J5" s="252" t="n">
        <f aca="false">J4+H5</f>
        <v>150</v>
      </c>
    </row>
    <row r="6" customFormat="false" ht="15" hidden="false" customHeight="false" outlineLevel="0" collapsed="false">
      <c r="C6" s="0" t="n">
        <v>3</v>
      </c>
      <c r="D6" s="12" t="n">
        <v>50</v>
      </c>
      <c r="E6" s="167" t="n">
        <v>0.25</v>
      </c>
      <c r="G6" s="253" t="n">
        <v>4</v>
      </c>
      <c r="H6" s="21" t="n">
        <v>100</v>
      </c>
      <c r="I6" s="167" t="n">
        <v>0.2</v>
      </c>
      <c r="J6" s="252" t="n">
        <f aca="false">J5+H6</f>
        <v>250</v>
      </c>
    </row>
    <row r="7" customFormat="false" ht="15" hidden="false" customHeight="false" outlineLevel="0" collapsed="false">
      <c r="C7" s="0" t="n">
        <v>4</v>
      </c>
      <c r="D7" s="12" t="n">
        <v>100</v>
      </c>
      <c r="E7" s="167" t="n">
        <v>0.2</v>
      </c>
      <c r="G7" s="253" t="n">
        <v>5</v>
      </c>
      <c r="H7" s="21" t="n">
        <v>100</v>
      </c>
      <c r="I7" s="167" t="n">
        <v>0.2</v>
      </c>
      <c r="J7" s="252" t="n">
        <f aca="false">J6+H7</f>
        <v>350</v>
      </c>
    </row>
    <row r="8" customFormat="false" ht="15" hidden="false" customHeight="false" outlineLevel="0" collapsed="false">
      <c r="C8" s="0" t="n">
        <v>5</v>
      </c>
      <c r="D8" s="12" t="n">
        <v>100</v>
      </c>
      <c r="E8" s="167" t="n">
        <v>0.2</v>
      </c>
      <c r="G8" s="253" t="n">
        <v>6</v>
      </c>
      <c r="H8" s="21" t="n">
        <v>100</v>
      </c>
      <c r="I8" s="167" t="n">
        <v>0.18</v>
      </c>
      <c r="J8" s="252" t="n">
        <f aca="false">J7+H8</f>
        <v>450</v>
      </c>
    </row>
    <row r="9" customFormat="false" ht="15.75" hidden="false" customHeight="false" outlineLevel="0" collapsed="false">
      <c r="C9" s="0" t="n">
        <v>6</v>
      </c>
      <c r="D9" s="12" t="n">
        <v>100</v>
      </c>
      <c r="E9" s="167" t="n">
        <v>0.18</v>
      </c>
      <c r="G9" s="254" t="n">
        <v>2</v>
      </c>
      <c r="H9" s="21" t="n">
        <v>200</v>
      </c>
      <c r="I9" s="167" t="n">
        <v>0.15</v>
      </c>
      <c r="J9" s="255" t="n">
        <f aca="false">J8+H9</f>
        <v>650</v>
      </c>
    </row>
    <row r="10" customFormat="false" ht="15" hidden="false" customHeight="false" outlineLevel="0" collapsed="false">
      <c r="C10" s="0" t="n">
        <v>7</v>
      </c>
      <c r="D10" s="12" t="n">
        <v>300</v>
      </c>
      <c r="E10" s="167" t="n">
        <v>0.1</v>
      </c>
      <c r="G10" s="0" t="n">
        <v>9</v>
      </c>
      <c r="H10" s="21" t="n">
        <v>50</v>
      </c>
      <c r="I10" s="167" t="n">
        <v>0.14</v>
      </c>
      <c r="J10" s="252" t="n">
        <f aca="false">J9+H10</f>
        <v>700</v>
      </c>
    </row>
    <row r="11" customFormat="false" ht="15" hidden="false" customHeight="false" outlineLevel="0" collapsed="false">
      <c r="C11" s="0" t="n">
        <v>8</v>
      </c>
      <c r="D11" s="12" t="n">
        <v>300</v>
      </c>
      <c r="E11" s="167" t="n">
        <v>0.12</v>
      </c>
      <c r="G11" s="0" t="n">
        <v>8</v>
      </c>
      <c r="H11" s="21" t="n">
        <v>300</v>
      </c>
      <c r="I11" s="167" t="n">
        <v>0.12</v>
      </c>
      <c r="J11" s="252" t="n">
        <f aca="false">J10+H11</f>
        <v>1000</v>
      </c>
    </row>
    <row r="12" customFormat="false" ht="15" hidden="false" customHeight="false" outlineLevel="0" collapsed="false">
      <c r="C12" s="0" t="n">
        <v>9</v>
      </c>
      <c r="D12" s="12" t="n">
        <v>50</v>
      </c>
      <c r="E12" s="167" t="n">
        <v>0.14</v>
      </c>
      <c r="G12" s="0" t="n">
        <v>7</v>
      </c>
      <c r="H12" s="21" t="n">
        <v>300</v>
      </c>
      <c r="I12" s="167" t="n">
        <v>0.1</v>
      </c>
      <c r="J12" s="252" t="n">
        <f aca="false">J11+H12</f>
        <v>1300</v>
      </c>
    </row>
    <row r="14" customFormat="false" ht="15" hidden="false" customHeight="false" outlineLevel="0" collapsed="false">
      <c r="G14" s="0" t="s">
        <v>661</v>
      </c>
    </row>
    <row r="16" customFormat="false" ht="15" hidden="false" customHeight="false" outlineLevel="0" collapsed="false">
      <c r="G16" s="0" t="s">
        <v>662</v>
      </c>
    </row>
    <row r="17" customFormat="false" ht="15" hidden="false" customHeight="false" outlineLevel="0" collapsed="false">
      <c r="G17" s="32" t="s">
        <v>663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5" activeCellId="0" sqref="D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9"/>
    <col collapsed="false" customWidth="true" hidden="false" outlineLevel="0" max="3" min="3" style="0" width="12"/>
    <col collapsed="false" customWidth="true" hidden="false" outlineLevel="0" max="4" min="4" style="0" width="23.57"/>
    <col collapsed="false" customWidth="true" hidden="false" outlineLevel="0" max="5" min="5" style="0" width="14.71"/>
    <col collapsed="false" customWidth="true" hidden="false" outlineLevel="0" max="7" min="7" style="0" width="13.15"/>
    <col collapsed="false" customWidth="true" hidden="false" outlineLevel="0" max="10" min="10" style="0" width="11"/>
  </cols>
  <sheetData>
    <row r="1" customFormat="false" ht="15" hidden="false" customHeight="false" outlineLevel="0" collapsed="false">
      <c r="A1" s="29" t="s">
        <v>64</v>
      </c>
    </row>
    <row r="2" customFormat="false" ht="15" hidden="false" customHeight="false" outlineLevel="0" collapsed="false">
      <c r="A2" s="32"/>
    </row>
    <row r="3" customFormat="false" ht="15" hidden="false" customHeight="false" outlineLevel="0" collapsed="false">
      <c r="B3" s="5" t="s">
        <v>65</v>
      </c>
      <c r="C3" s="5"/>
      <c r="D3" s="27"/>
    </row>
    <row r="4" customFormat="false" ht="15" hidden="false" customHeight="false" outlineLevel="0" collapsed="false">
      <c r="B4" s="0" t="s">
        <v>66</v>
      </c>
      <c r="C4" s="13" t="n">
        <v>275</v>
      </c>
      <c r="D4" s="21"/>
    </row>
    <row r="5" customFormat="false" ht="15" hidden="false" customHeight="false" outlineLevel="0" collapsed="false">
      <c r="B5" s="0" t="s">
        <v>0</v>
      </c>
      <c r="C5" s="33" t="n">
        <v>0.09</v>
      </c>
      <c r="D5" s="34"/>
      <c r="E5" s="0" t="n">
        <f aca="false">C5/12</f>
        <v>0.0075</v>
      </c>
      <c r="G5" s="0" t="n">
        <v>0.0075</v>
      </c>
    </row>
    <row r="7" customFormat="false" ht="15" hidden="false" customHeight="false" outlineLevel="0" collapsed="false">
      <c r="A7" s="5" t="s">
        <v>12</v>
      </c>
      <c r="B7" s="5" t="s">
        <v>67</v>
      </c>
      <c r="C7" s="5" t="s">
        <v>68</v>
      </c>
      <c r="D7" s="5" t="s">
        <v>69</v>
      </c>
      <c r="G7" s="0" t="n">
        <f aca="false">((1+G5)^60)-1</f>
        <v>0.565681026941573</v>
      </c>
      <c r="H7" s="0" t="n">
        <f aca="false">G7/(0.09/12)</f>
        <v>75.4241369255431</v>
      </c>
    </row>
    <row r="8" customFormat="false" ht="15" hidden="false" customHeight="false" outlineLevel="0" collapsed="false">
      <c r="A8" s="35" t="n">
        <v>36192</v>
      </c>
      <c r="B8" s="24" t="n">
        <f aca="false">C4</f>
        <v>275</v>
      </c>
      <c r="C8" s="36"/>
      <c r="D8" s="36" t="n">
        <f aca="false">B8+C8</f>
        <v>275</v>
      </c>
      <c r="G8" s="0" t="n">
        <f aca="false">((1.0075^60)-1)/0.0075</f>
        <v>75.4241369255431</v>
      </c>
    </row>
    <row r="9" customFormat="false" ht="15" hidden="false" customHeight="false" outlineLevel="0" collapsed="false">
      <c r="A9" s="35" t="n">
        <v>36220</v>
      </c>
      <c r="B9" s="24" t="n">
        <v>275</v>
      </c>
      <c r="C9" s="36" t="n">
        <f aca="false">B9*($C$5/12)</f>
        <v>2.0625</v>
      </c>
      <c r="D9" s="36" t="n">
        <f aca="false">D8+B9+C9</f>
        <v>552.0625</v>
      </c>
      <c r="G9" s="12" t="n">
        <f aca="false">275*G8</f>
        <v>20741.6376545243</v>
      </c>
    </row>
    <row r="10" customFormat="false" ht="15" hidden="false" customHeight="false" outlineLevel="0" collapsed="false">
      <c r="A10" s="35" t="n">
        <v>36251</v>
      </c>
      <c r="B10" s="24" t="n">
        <v>275</v>
      </c>
      <c r="C10" s="36" t="n">
        <f aca="false">D9*($C$5/12)</f>
        <v>4.14046875</v>
      </c>
      <c r="D10" s="36" t="n">
        <f aca="false">D9+B10+C10</f>
        <v>831.20296875</v>
      </c>
    </row>
    <row r="11" customFormat="false" ht="15" hidden="false" customHeight="false" outlineLevel="0" collapsed="false">
      <c r="A11" s="35" t="n">
        <v>36281</v>
      </c>
      <c r="B11" s="24" t="n">
        <v>275</v>
      </c>
      <c r="C11" s="36" t="n">
        <f aca="false">D10*($C$5/12)</f>
        <v>6.234022265625</v>
      </c>
      <c r="D11" s="36" t="n">
        <f aca="false">D10+B11+C11</f>
        <v>1112.43699101563</v>
      </c>
      <c r="J11" s="37" t="n">
        <f aca="false">(1+(0.09/12))^12-1</f>
        <v>0.0938068976709843</v>
      </c>
    </row>
    <row r="12" customFormat="false" ht="15" hidden="false" customHeight="false" outlineLevel="0" collapsed="false">
      <c r="A12" s="35" t="n">
        <v>36312</v>
      </c>
      <c r="B12" s="24" t="n">
        <v>275</v>
      </c>
      <c r="C12" s="36" t="n">
        <f aca="false">D11*($C$5/12)</f>
        <v>8.34327743261719</v>
      </c>
      <c r="D12" s="36" t="n">
        <f aca="false">D11+B12+C12</f>
        <v>1395.78026844824</v>
      </c>
    </row>
    <row r="13" customFormat="false" ht="15" hidden="false" customHeight="false" outlineLevel="0" collapsed="false">
      <c r="A13" s="35" t="n">
        <v>36342</v>
      </c>
      <c r="B13" s="24" t="n">
        <v>275</v>
      </c>
      <c r="C13" s="36" t="n">
        <f aca="false">D12*($C$5/12)</f>
        <v>10.4683520133618</v>
      </c>
      <c r="D13" s="36" t="n">
        <f aca="false">D12+B13+C13</f>
        <v>1681.2486204616</v>
      </c>
    </row>
    <row r="14" customFormat="false" ht="15" hidden="false" customHeight="false" outlineLevel="0" collapsed="false">
      <c r="A14" s="35" t="n">
        <v>36373</v>
      </c>
      <c r="B14" s="24" t="n">
        <v>275</v>
      </c>
      <c r="C14" s="36" t="n">
        <f aca="false">D13*($C$5/12)</f>
        <v>12.609364653462</v>
      </c>
      <c r="D14" s="36" t="n">
        <f aca="false">D13+B14+C14</f>
        <v>1968.85798511507</v>
      </c>
    </row>
    <row r="15" customFormat="false" ht="15" hidden="false" customHeight="false" outlineLevel="0" collapsed="false">
      <c r="A15" s="35" t="n">
        <v>36404</v>
      </c>
      <c r="B15" s="24" t="n">
        <v>275</v>
      </c>
      <c r="C15" s="36" t="n">
        <f aca="false">D14*($C$5/12)</f>
        <v>14.766434888363</v>
      </c>
      <c r="D15" s="36" t="n">
        <f aca="false">D14+B15+C15</f>
        <v>2258.62442000343</v>
      </c>
    </row>
    <row r="16" customFormat="false" ht="15" hidden="false" customHeight="false" outlineLevel="0" collapsed="false">
      <c r="A16" s="35" t="n">
        <v>36434</v>
      </c>
      <c r="B16" s="24" t="n">
        <v>275</v>
      </c>
      <c r="C16" s="36" t="n">
        <f aca="false">D15*($C$5/12)</f>
        <v>16.9396831500257</v>
      </c>
      <c r="D16" s="36" t="n">
        <f aca="false">D15+B16+C16</f>
        <v>2550.56410315346</v>
      </c>
    </row>
    <row r="17" customFormat="false" ht="15" hidden="false" customHeight="false" outlineLevel="0" collapsed="false">
      <c r="A17" s="35" t="n">
        <v>36465</v>
      </c>
      <c r="B17" s="24" t="n">
        <v>275</v>
      </c>
      <c r="C17" s="36" t="n">
        <f aca="false">D16*($C$5/12)</f>
        <v>19.1292307736509</v>
      </c>
      <c r="D17" s="36" t="n">
        <f aca="false">D16+B17+C17</f>
        <v>2844.69333392711</v>
      </c>
    </row>
    <row r="18" customFormat="false" ht="15" hidden="false" customHeight="false" outlineLevel="0" collapsed="false">
      <c r="A18" s="35" t="n">
        <v>36495</v>
      </c>
      <c r="B18" s="24" t="n">
        <v>275</v>
      </c>
      <c r="C18" s="36" t="n">
        <f aca="false">D17*($C$5/12)</f>
        <v>21.3352000044533</v>
      </c>
      <c r="D18" s="36" t="n">
        <f aca="false">D17+B18+C18</f>
        <v>3141.02853393156</v>
      </c>
    </row>
    <row r="19" customFormat="false" ht="15" hidden="false" customHeight="false" outlineLevel="0" collapsed="false">
      <c r="A19" s="35" t="n">
        <v>36526</v>
      </c>
      <c r="B19" s="24" t="n">
        <v>275</v>
      </c>
      <c r="C19" s="36" t="n">
        <f aca="false">D18*($C$5/12)</f>
        <v>23.5577140044867</v>
      </c>
      <c r="D19" s="36" t="n">
        <f aca="false">D18+B19+C19</f>
        <v>3439.58624793605</v>
      </c>
    </row>
    <row r="20" customFormat="false" ht="15" hidden="false" customHeight="false" outlineLevel="0" collapsed="false">
      <c r="A20" s="35" t="n">
        <v>36557</v>
      </c>
      <c r="B20" s="24" t="n">
        <v>275</v>
      </c>
      <c r="C20" s="36" t="n">
        <f aca="false">D19*($C$5/12)</f>
        <v>25.7968968595203</v>
      </c>
      <c r="D20" s="36" t="n">
        <f aca="false">D19+B20+C20</f>
        <v>3740.38314479557</v>
      </c>
    </row>
    <row r="21" customFormat="false" ht="15" hidden="false" customHeight="false" outlineLevel="0" collapsed="false">
      <c r="A21" s="35" t="n">
        <v>36586</v>
      </c>
      <c r="B21" s="24" t="n">
        <v>275</v>
      </c>
      <c r="C21" s="36" t="n">
        <f aca="false">D20*($C$5/12)</f>
        <v>28.0528735859667</v>
      </c>
      <c r="D21" s="36" t="n">
        <f aca="false">D20+B21+C21</f>
        <v>4043.43601838153</v>
      </c>
    </row>
    <row r="22" customFormat="false" ht="15" hidden="false" customHeight="false" outlineLevel="0" collapsed="false">
      <c r="A22" s="35" t="n">
        <v>36617</v>
      </c>
      <c r="B22" s="24" t="n">
        <v>275</v>
      </c>
      <c r="C22" s="36" t="n">
        <f aca="false">D21*($C$5/12)</f>
        <v>30.3257701378615</v>
      </c>
      <c r="D22" s="36" t="n">
        <f aca="false">D21+B22+C22</f>
        <v>4348.7617885194</v>
      </c>
    </row>
    <row r="23" customFormat="false" ht="15" hidden="false" customHeight="false" outlineLevel="0" collapsed="false">
      <c r="A23" s="35" t="n">
        <v>36647</v>
      </c>
      <c r="B23" s="24" t="n">
        <v>275</v>
      </c>
      <c r="C23" s="36" t="n">
        <f aca="false">D22*($C$5/12)</f>
        <v>32.6157134138955</v>
      </c>
      <c r="D23" s="36" t="n">
        <f aca="false">D22+B23+C23</f>
        <v>4656.37750193329</v>
      </c>
    </row>
    <row r="24" customFormat="false" ht="15" hidden="false" customHeight="false" outlineLevel="0" collapsed="false">
      <c r="A24" s="35" t="n">
        <v>36678</v>
      </c>
      <c r="B24" s="24" t="n">
        <v>275</v>
      </c>
      <c r="C24" s="36" t="n">
        <f aca="false">D23*($C$5/12)</f>
        <v>34.9228312644997</v>
      </c>
      <c r="D24" s="36" t="n">
        <f aca="false">D23+B24+C24</f>
        <v>4966.30033319779</v>
      </c>
    </row>
    <row r="25" customFormat="false" ht="15" hidden="false" customHeight="false" outlineLevel="0" collapsed="false">
      <c r="A25" s="35" t="n">
        <v>36708</v>
      </c>
      <c r="B25" s="24" t="n">
        <v>275</v>
      </c>
      <c r="C25" s="36" t="n">
        <f aca="false">D24*($C$5/12)</f>
        <v>37.2472524989834</v>
      </c>
      <c r="D25" s="36" t="n">
        <f aca="false">D24+B25+C25</f>
        <v>5278.54758569677</v>
      </c>
    </row>
    <row r="26" customFormat="false" ht="15" hidden="false" customHeight="false" outlineLevel="0" collapsed="false">
      <c r="A26" s="35" t="n">
        <v>36739</v>
      </c>
      <c r="B26" s="24" t="n">
        <v>275</v>
      </c>
      <c r="C26" s="36" t="n">
        <f aca="false">D25*($C$5/12)</f>
        <v>39.5891068927258</v>
      </c>
      <c r="D26" s="36" t="n">
        <f aca="false">D25+B26+C26</f>
        <v>5593.1366925895</v>
      </c>
    </row>
    <row r="27" customFormat="false" ht="15" hidden="false" customHeight="false" outlineLevel="0" collapsed="false">
      <c r="A27" s="35" t="n">
        <v>36770</v>
      </c>
      <c r="B27" s="24" t="n">
        <v>275</v>
      </c>
      <c r="C27" s="36" t="n">
        <f aca="false">D26*($C$5/12)</f>
        <v>41.9485251944213</v>
      </c>
      <c r="D27" s="36" t="n">
        <f aca="false">D26+B27+C27</f>
        <v>5910.08521778392</v>
      </c>
    </row>
    <row r="28" customFormat="false" ht="15" hidden="false" customHeight="false" outlineLevel="0" collapsed="false">
      <c r="A28" s="35" t="n">
        <v>36800</v>
      </c>
      <c r="B28" s="24" t="n">
        <v>275</v>
      </c>
      <c r="C28" s="36" t="n">
        <f aca="false">D27*($C$5/12)</f>
        <v>44.3256391333794</v>
      </c>
      <c r="D28" s="36" t="n">
        <f aca="false">D27+B28+C28</f>
        <v>6229.4108569173</v>
      </c>
    </row>
    <row r="29" customFormat="false" ht="15" hidden="false" customHeight="false" outlineLevel="0" collapsed="false">
      <c r="A29" s="35" t="n">
        <v>36831</v>
      </c>
      <c r="B29" s="24" t="n">
        <v>275</v>
      </c>
      <c r="C29" s="36" t="n">
        <f aca="false">D28*($C$5/12)</f>
        <v>46.7205814268798</v>
      </c>
      <c r="D29" s="36" t="n">
        <f aca="false">D28+B29+C29</f>
        <v>6551.13143834418</v>
      </c>
    </row>
    <row r="30" customFormat="false" ht="15" hidden="false" customHeight="false" outlineLevel="0" collapsed="false">
      <c r="A30" s="35" t="n">
        <v>36861</v>
      </c>
      <c r="B30" s="24" t="n">
        <v>275</v>
      </c>
      <c r="C30" s="36" t="n">
        <f aca="false">D29*($C$5/12)</f>
        <v>49.1334857875814</v>
      </c>
      <c r="D30" s="36" t="n">
        <f aca="false">D29+B30+C30</f>
        <v>6875.26492413176</v>
      </c>
    </row>
    <row r="31" customFormat="false" ht="15" hidden="false" customHeight="false" outlineLevel="0" collapsed="false">
      <c r="A31" s="35" t="n">
        <v>36892</v>
      </c>
      <c r="B31" s="24" t="n">
        <v>275</v>
      </c>
      <c r="C31" s="36" t="n">
        <f aca="false">D30*($C$5/12)</f>
        <v>51.5644869309882</v>
      </c>
      <c r="D31" s="36" t="n">
        <f aca="false">D30+B31+C31</f>
        <v>7201.82941106275</v>
      </c>
    </row>
    <row r="32" customFormat="false" ht="15" hidden="false" customHeight="false" outlineLevel="0" collapsed="false">
      <c r="A32" s="35" t="n">
        <v>36923</v>
      </c>
      <c r="B32" s="24" t="n">
        <v>275</v>
      </c>
      <c r="C32" s="36" t="n">
        <f aca="false">D31*($C$5/12)</f>
        <v>54.0137205829706</v>
      </c>
      <c r="D32" s="36" t="n">
        <f aca="false">D31+B32+C32</f>
        <v>7530.84313164572</v>
      </c>
    </row>
    <row r="33" customFormat="false" ht="15" hidden="false" customHeight="false" outlineLevel="0" collapsed="false">
      <c r="A33" s="35" t="n">
        <v>36951</v>
      </c>
      <c r="B33" s="24" t="n">
        <v>275</v>
      </c>
      <c r="C33" s="36" t="n">
        <f aca="false">D32*($C$5/12)</f>
        <v>56.4813234873429</v>
      </c>
      <c r="D33" s="36" t="n">
        <f aca="false">D32+B33+C33</f>
        <v>7862.32445513306</v>
      </c>
    </row>
    <row r="34" customFormat="false" ht="15" hidden="false" customHeight="false" outlineLevel="0" collapsed="false">
      <c r="A34" s="35" t="n">
        <v>36982</v>
      </c>
      <c r="B34" s="24" t="n">
        <v>275</v>
      </c>
      <c r="C34" s="36" t="n">
        <f aca="false">D33*($C$5/12)</f>
        <v>58.967433413498</v>
      </c>
      <c r="D34" s="36" t="n">
        <f aca="false">D33+B34+C34</f>
        <v>8196.29188854656</v>
      </c>
    </row>
    <row r="35" customFormat="false" ht="15" hidden="false" customHeight="false" outlineLevel="0" collapsed="false">
      <c r="A35" s="35" t="n">
        <v>37012</v>
      </c>
      <c r="B35" s="24" t="n">
        <v>275</v>
      </c>
      <c r="C35" s="36" t="n">
        <f aca="false">D34*($C$5/12)</f>
        <v>61.4721891640992</v>
      </c>
      <c r="D35" s="36" t="n">
        <f aca="false">D34+B35+C35</f>
        <v>8532.76407771066</v>
      </c>
    </row>
    <row r="36" customFormat="false" ht="15" hidden="false" customHeight="false" outlineLevel="0" collapsed="false">
      <c r="A36" s="35" t="n">
        <v>37043</v>
      </c>
      <c r="B36" s="24" t="n">
        <v>275</v>
      </c>
      <c r="C36" s="36" t="n">
        <f aca="false">D35*($C$5/12)</f>
        <v>63.99573058283</v>
      </c>
      <c r="D36" s="36" t="n">
        <f aca="false">D35+B36+C36</f>
        <v>8871.75980829349</v>
      </c>
    </row>
    <row r="37" customFormat="false" ht="15" hidden="false" customHeight="false" outlineLevel="0" collapsed="false">
      <c r="A37" s="35" t="n">
        <v>37073</v>
      </c>
      <c r="B37" s="24" t="n">
        <v>275</v>
      </c>
      <c r="C37" s="36" t="n">
        <f aca="false">D36*($C$5/12)</f>
        <v>66.5381985622012</v>
      </c>
      <c r="D37" s="36" t="n">
        <f aca="false">D36+B37+C37</f>
        <v>9213.29800685569</v>
      </c>
    </row>
    <row r="38" customFormat="false" ht="15" hidden="false" customHeight="false" outlineLevel="0" collapsed="false">
      <c r="A38" s="35" t="n">
        <v>37104</v>
      </c>
      <c r="B38" s="24" t="n">
        <v>275</v>
      </c>
      <c r="C38" s="36" t="n">
        <f aca="false">D37*($C$5/12)</f>
        <v>69.0997350514177</v>
      </c>
      <c r="D38" s="36" t="n">
        <f aca="false">D37+B38+C38</f>
        <v>9557.39774190711</v>
      </c>
    </row>
    <row r="39" customFormat="false" ht="15" hidden="false" customHeight="false" outlineLevel="0" collapsed="false">
      <c r="A39" s="35" t="n">
        <v>37135</v>
      </c>
      <c r="B39" s="24" t="n">
        <v>275</v>
      </c>
      <c r="C39" s="36" t="n">
        <f aca="false">D38*($C$5/12)</f>
        <v>71.6804830643033</v>
      </c>
      <c r="D39" s="36" t="n">
        <f aca="false">D38+B39+C39</f>
        <v>9904.07822497141</v>
      </c>
    </row>
    <row r="40" customFormat="false" ht="15" hidden="false" customHeight="false" outlineLevel="0" collapsed="false">
      <c r="A40" s="35" t="n">
        <v>37165</v>
      </c>
      <c r="B40" s="24" t="n">
        <v>275</v>
      </c>
      <c r="C40" s="36" t="n">
        <f aca="false">D39*($C$5/12)</f>
        <v>74.2805866872856</v>
      </c>
      <c r="D40" s="36" t="n">
        <f aca="false">D39+B40+C40</f>
        <v>10253.3588116587</v>
      </c>
    </row>
    <row r="41" customFormat="false" ht="15" hidden="false" customHeight="false" outlineLevel="0" collapsed="false">
      <c r="A41" s="35" t="n">
        <v>37196</v>
      </c>
      <c r="B41" s="24" t="n">
        <v>275</v>
      </c>
      <c r="C41" s="36" t="n">
        <f aca="false">D40*($C$5/12)</f>
        <v>76.9001910874402</v>
      </c>
      <c r="D41" s="36" t="n">
        <f aca="false">D40+B41+C41</f>
        <v>10605.2590027461</v>
      </c>
    </row>
    <row r="42" customFormat="false" ht="15" hidden="false" customHeight="false" outlineLevel="0" collapsed="false">
      <c r="A42" s="35" t="n">
        <v>37226</v>
      </c>
      <c r="B42" s="24" t="n">
        <v>275</v>
      </c>
      <c r="C42" s="36" t="n">
        <f aca="false">D41*($C$5/12)</f>
        <v>79.539442520596</v>
      </c>
      <c r="D42" s="36" t="n">
        <f aca="false">D41+B42+C42</f>
        <v>10959.7984452667</v>
      </c>
    </row>
    <row r="43" customFormat="false" ht="15" hidden="false" customHeight="false" outlineLevel="0" collapsed="false">
      <c r="A43" s="35" t="n">
        <v>37257</v>
      </c>
      <c r="B43" s="24" t="n">
        <v>275</v>
      </c>
      <c r="C43" s="36" t="n">
        <f aca="false">D42*($C$5/12)</f>
        <v>82.1984883395005</v>
      </c>
      <c r="D43" s="36" t="n">
        <f aca="false">D42+B43+C43</f>
        <v>11316.9969336062</v>
      </c>
    </row>
    <row r="44" customFormat="false" ht="15" hidden="false" customHeight="false" outlineLevel="0" collapsed="false">
      <c r="A44" s="35" t="n">
        <v>37288</v>
      </c>
      <c r="B44" s="24" t="n">
        <v>275</v>
      </c>
      <c r="C44" s="36" t="n">
        <f aca="false">D43*($C$5/12)</f>
        <v>84.8774770020468</v>
      </c>
      <c r="D44" s="36" t="n">
        <f aca="false">D43+B44+C44</f>
        <v>11676.8744106083</v>
      </c>
    </row>
    <row r="45" customFormat="false" ht="15" hidden="false" customHeight="false" outlineLevel="0" collapsed="false">
      <c r="A45" s="35" t="n">
        <v>37316</v>
      </c>
      <c r="B45" s="24" t="n">
        <v>275</v>
      </c>
      <c r="C45" s="36" t="n">
        <f aca="false">D44*($C$5/12)</f>
        <v>87.5765580795621</v>
      </c>
      <c r="D45" s="36" t="n">
        <f aca="false">D44+B45+C45</f>
        <v>12039.4509686878</v>
      </c>
    </row>
    <row r="46" customFormat="false" ht="15" hidden="false" customHeight="false" outlineLevel="0" collapsed="false">
      <c r="A46" s="35" t="n">
        <v>37347</v>
      </c>
      <c r="B46" s="24" t="n">
        <v>275</v>
      </c>
      <c r="C46" s="36" t="n">
        <f aca="false">D45*($C$5/12)</f>
        <v>90.2958822651588</v>
      </c>
      <c r="D46" s="36" t="n">
        <f aca="false">D45+B46+C46</f>
        <v>12404.746850953</v>
      </c>
    </row>
    <row r="47" customFormat="false" ht="15" hidden="false" customHeight="false" outlineLevel="0" collapsed="false">
      <c r="A47" s="35" t="n">
        <v>37377</v>
      </c>
      <c r="B47" s="24" t="n">
        <v>275</v>
      </c>
      <c r="C47" s="36" t="n">
        <f aca="false">D46*($C$5/12)</f>
        <v>93.0356013821475</v>
      </c>
      <c r="D47" s="36" t="n">
        <f aca="false">D46+B47+C47</f>
        <v>12772.7824523351</v>
      </c>
    </row>
    <row r="48" customFormat="false" ht="15" hidden="false" customHeight="false" outlineLevel="0" collapsed="false">
      <c r="A48" s="35" t="n">
        <v>37408</v>
      </c>
      <c r="B48" s="24" t="n">
        <v>275</v>
      </c>
      <c r="C48" s="36" t="n">
        <f aca="false">D47*($C$5/12)</f>
        <v>95.7958683925136</v>
      </c>
      <c r="D48" s="36" t="n">
        <f aca="false">D47+B48+C48</f>
        <v>13143.5783207277</v>
      </c>
    </row>
    <row r="49" customFormat="false" ht="15" hidden="false" customHeight="false" outlineLevel="0" collapsed="false">
      <c r="A49" s="35" t="n">
        <v>37438</v>
      </c>
      <c r="B49" s="24" t="n">
        <v>275</v>
      </c>
      <c r="C49" s="36" t="n">
        <f aca="false">D48*($C$5/12)</f>
        <v>98.5768374054574</v>
      </c>
      <c r="D49" s="36" t="n">
        <f aca="false">D48+B49+C49</f>
        <v>13517.1551581331</v>
      </c>
    </row>
    <row r="50" customFormat="false" ht="15" hidden="false" customHeight="false" outlineLevel="0" collapsed="false">
      <c r="A50" s="35" t="n">
        <v>37469</v>
      </c>
      <c r="B50" s="24" t="n">
        <v>275</v>
      </c>
      <c r="C50" s="36" t="n">
        <f aca="false">D49*($C$5/12)</f>
        <v>101.378663685998</v>
      </c>
      <c r="D50" s="36" t="n">
        <f aca="false">D49+B50+C50</f>
        <v>13893.5338218191</v>
      </c>
    </row>
    <row r="51" customFormat="false" ht="15" hidden="false" customHeight="false" outlineLevel="0" collapsed="false">
      <c r="A51" s="35" t="n">
        <v>37500</v>
      </c>
      <c r="B51" s="24" t="n">
        <v>275</v>
      </c>
      <c r="C51" s="36" t="n">
        <f aca="false">D50*($C$5/12)</f>
        <v>104.201503663643</v>
      </c>
      <c r="D51" s="36" t="n">
        <f aca="false">D50+B51+C51</f>
        <v>14272.7353254828</v>
      </c>
    </row>
    <row r="52" customFormat="false" ht="15" hidden="false" customHeight="false" outlineLevel="0" collapsed="false">
      <c r="A52" s="35" t="n">
        <v>37530</v>
      </c>
      <c r="B52" s="24" t="n">
        <v>275</v>
      </c>
      <c r="C52" s="36" t="n">
        <f aca="false">D51*($C$5/12)</f>
        <v>107.045514941121</v>
      </c>
      <c r="D52" s="36" t="n">
        <f aca="false">D51+B52+C52</f>
        <v>14654.7808404239</v>
      </c>
    </row>
    <row r="53" customFormat="false" ht="15" hidden="false" customHeight="false" outlineLevel="0" collapsed="false">
      <c r="A53" s="35" t="n">
        <v>37561</v>
      </c>
      <c r="B53" s="24" t="n">
        <v>275</v>
      </c>
      <c r="C53" s="36" t="n">
        <f aca="false">D52*($C$5/12)</f>
        <v>109.910856303179</v>
      </c>
      <c r="D53" s="36" t="n">
        <f aca="false">D52+B53+C53</f>
        <v>15039.6916967271</v>
      </c>
    </row>
    <row r="54" customFormat="false" ht="15" hidden="false" customHeight="false" outlineLevel="0" collapsed="false">
      <c r="A54" s="35" t="n">
        <v>37591</v>
      </c>
      <c r="B54" s="24" t="n">
        <v>275</v>
      </c>
      <c r="C54" s="36" t="n">
        <f aca="false">D53*($C$5/12)</f>
        <v>112.797687725453</v>
      </c>
      <c r="D54" s="36" t="n">
        <f aca="false">D53+B54+C54</f>
        <v>15427.4893844525</v>
      </c>
    </row>
    <row r="55" customFormat="false" ht="15" hidden="false" customHeight="false" outlineLevel="0" collapsed="false">
      <c r="A55" s="35" t="n">
        <v>37622</v>
      </c>
      <c r="B55" s="24" t="n">
        <v>275</v>
      </c>
      <c r="C55" s="36" t="n">
        <f aca="false">D54*($C$5/12)</f>
        <v>115.706170383394</v>
      </c>
      <c r="D55" s="36" t="n">
        <f aca="false">D54+B55+C55</f>
        <v>15818.1955548359</v>
      </c>
    </row>
    <row r="56" customFormat="false" ht="15" hidden="false" customHeight="false" outlineLevel="0" collapsed="false">
      <c r="A56" s="35" t="n">
        <v>37653</v>
      </c>
      <c r="B56" s="24" t="n">
        <v>275</v>
      </c>
      <c r="C56" s="36" t="n">
        <f aca="false">D55*($C$5/12)</f>
        <v>118.636466661269</v>
      </c>
      <c r="D56" s="36" t="n">
        <f aca="false">D55+B56+C56</f>
        <v>16211.8320214972</v>
      </c>
    </row>
    <row r="57" customFormat="false" ht="15" hidden="false" customHeight="false" outlineLevel="0" collapsed="false">
      <c r="A57" s="35" t="n">
        <v>37681</v>
      </c>
      <c r="B57" s="24" t="n">
        <v>275</v>
      </c>
      <c r="C57" s="36" t="n">
        <f aca="false">D56*($C$5/12)</f>
        <v>121.588740161229</v>
      </c>
      <c r="D57" s="36" t="n">
        <f aca="false">D56+B57+C57</f>
        <v>16608.4207616584</v>
      </c>
    </row>
    <row r="58" customFormat="false" ht="15" hidden="false" customHeight="false" outlineLevel="0" collapsed="false">
      <c r="A58" s="35" t="n">
        <v>37712</v>
      </c>
      <c r="B58" s="24" t="n">
        <v>275</v>
      </c>
      <c r="C58" s="36" t="n">
        <f aca="false">D57*($C$5/12)</f>
        <v>124.563155712438</v>
      </c>
      <c r="D58" s="36" t="n">
        <f aca="false">D57+B58+C58</f>
        <v>17007.9839173708</v>
      </c>
    </row>
    <row r="59" customFormat="false" ht="15" hidden="false" customHeight="false" outlineLevel="0" collapsed="false">
      <c r="A59" s="35" t="n">
        <v>37742</v>
      </c>
      <c r="B59" s="24" t="n">
        <v>275</v>
      </c>
      <c r="C59" s="36" t="n">
        <f aca="false">D58*($C$5/12)</f>
        <v>127.559879380281</v>
      </c>
      <c r="D59" s="36" t="n">
        <f aca="false">D58+B59+C59</f>
        <v>17410.5437967511</v>
      </c>
    </row>
    <row r="60" customFormat="false" ht="15" hidden="false" customHeight="false" outlineLevel="0" collapsed="false">
      <c r="A60" s="35" t="n">
        <v>37773</v>
      </c>
      <c r="B60" s="24" t="n">
        <v>275</v>
      </c>
      <c r="C60" s="36" t="n">
        <f aca="false">D59*($C$5/12)</f>
        <v>130.579078475633</v>
      </c>
      <c r="D60" s="36" t="n">
        <f aca="false">D59+B60+C60</f>
        <v>17816.1228752268</v>
      </c>
    </row>
    <row r="61" customFormat="false" ht="15" hidden="false" customHeight="false" outlineLevel="0" collapsed="false">
      <c r="A61" s="35" t="n">
        <v>37803</v>
      </c>
      <c r="B61" s="24" t="n">
        <v>275</v>
      </c>
      <c r="C61" s="36" t="n">
        <f aca="false">D60*($C$5/12)</f>
        <v>133.620921564201</v>
      </c>
      <c r="D61" s="36" t="n">
        <f aca="false">D60+B61+C61</f>
        <v>18224.743796791</v>
      </c>
    </row>
    <row r="62" customFormat="false" ht="15" hidden="false" customHeight="false" outlineLevel="0" collapsed="false">
      <c r="A62" s="35" t="n">
        <v>37834</v>
      </c>
      <c r="B62" s="24" t="n">
        <v>275</v>
      </c>
      <c r="C62" s="36" t="n">
        <f aca="false">D61*($C$5/12)</f>
        <v>136.685578475932</v>
      </c>
      <c r="D62" s="36" t="n">
        <f aca="false">D61+B62+C62</f>
        <v>18636.4293752669</v>
      </c>
    </row>
    <row r="63" customFormat="false" ht="15" hidden="false" customHeight="false" outlineLevel="0" collapsed="false">
      <c r="A63" s="35" t="n">
        <v>37865</v>
      </c>
      <c r="B63" s="24" t="n">
        <v>275</v>
      </c>
      <c r="C63" s="36" t="n">
        <f aca="false">D62*($C$5/12)</f>
        <v>139.773220314502</v>
      </c>
      <c r="D63" s="36" t="n">
        <f aca="false">D62+B63+C63</f>
        <v>19051.2025955814</v>
      </c>
    </row>
    <row r="64" customFormat="false" ht="15" hidden="false" customHeight="false" outlineLevel="0" collapsed="false">
      <c r="A64" s="35" t="n">
        <v>37895</v>
      </c>
      <c r="B64" s="24" t="n">
        <v>275</v>
      </c>
      <c r="C64" s="36" t="n">
        <f aca="false">D63*($C$5/12)</f>
        <v>142.88401946686</v>
      </c>
      <c r="D64" s="36" t="n">
        <f aca="false">D63+B64+C64</f>
        <v>19469.0866150483</v>
      </c>
    </row>
    <row r="65" customFormat="false" ht="15" hidden="false" customHeight="false" outlineLevel="0" collapsed="false">
      <c r="A65" s="35" t="n">
        <v>37926</v>
      </c>
      <c r="B65" s="24" t="n">
        <v>275</v>
      </c>
      <c r="C65" s="36" t="n">
        <f aca="false">D64*($C$5/12)</f>
        <v>146.018149612862</v>
      </c>
      <c r="D65" s="36" t="n">
        <f aca="false">D64+B65+C65</f>
        <v>19890.1047646611</v>
      </c>
    </row>
    <row r="66" customFormat="false" ht="15" hidden="false" customHeight="false" outlineLevel="0" collapsed="false">
      <c r="A66" s="35" t="n">
        <v>37956</v>
      </c>
      <c r="B66" s="24" t="n">
        <v>275</v>
      </c>
      <c r="C66" s="36" t="n">
        <f aca="false">D65*($C$5/12)</f>
        <v>149.175785734958</v>
      </c>
      <c r="D66" s="36" t="n">
        <f aca="false">D65+B66+C66</f>
        <v>20314.2805503961</v>
      </c>
    </row>
    <row r="67" customFormat="false" ht="15" hidden="false" customHeight="false" outlineLevel="0" collapsed="false">
      <c r="A67" s="35" t="n">
        <v>37987</v>
      </c>
      <c r="B67" s="24" t="n">
        <v>275</v>
      </c>
      <c r="C67" s="36" t="n">
        <f aca="false">D66*($C$5/12)</f>
        <v>152.357104127971</v>
      </c>
      <c r="D67" s="36" t="n">
        <f aca="false">D66+B67+C67</f>
        <v>20741.637654524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8" activeCellId="0" sqref="C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9.71"/>
    <col collapsed="false" customWidth="true" hidden="false" outlineLevel="0" max="3" min="3" style="0" width="14"/>
    <col collapsed="false" customWidth="true" hidden="false" outlineLevel="0" max="4" min="4" style="0" width="13.57"/>
    <col collapsed="false" customWidth="true" hidden="false" outlineLevel="0" max="5" min="5" style="0" width="12.42"/>
    <col collapsed="false" customWidth="true" hidden="false" outlineLevel="0" max="10" min="10" style="0" width="20.29"/>
    <col collapsed="false" customWidth="true" hidden="false" outlineLevel="0" max="11" min="11" style="0" width="19"/>
    <col collapsed="false" customWidth="true" hidden="false" outlineLevel="0" max="12" min="12" style="0" width="12"/>
    <col collapsed="false" customWidth="true" hidden="false" outlineLevel="0" max="13" min="13" style="0" width="23.57"/>
    <col collapsed="false" customWidth="true" hidden="false" outlineLevel="0" max="14" min="14" style="0" width="14.71"/>
  </cols>
  <sheetData>
    <row r="1" customFormat="false" ht="15" hidden="false" customHeight="false" outlineLevel="0" collapsed="false">
      <c r="A1" s="29" t="s">
        <v>70</v>
      </c>
    </row>
    <row r="3" customFormat="false" ht="15" hidden="false" customHeight="false" outlineLevel="0" collapsed="false">
      <c r="A3" s="5" t="s">
        <v>71</v>
      </c>
      <c r="B3" s="5"/>
      <c r="C3" s="5"/>
      <c r="J3" s="5" t="s">
        <v>72</v>
      </c>
      <c r="K3" s="5"/>
    </row>
    <row r="4" customFormat="false" ht="15" hidden="false" customHeight="false" outlineLevel="0" collapsed="false">
      <c r="A4" s="0" t="s">
        <v>73</v>
      </c>
      <c r="B4" s="0" t="s">
        <v>74</v>
      </c>
      <c r="C4" s="8" t="n">
        <v>10000</v>
      </c>
    </row>
    <row r="5" customFormat="false" ht="15" hidden="false" customHeight="false" outlineLevel="0" collapsed="false">
      <c r="A5" s="0" t="s">
        <v>0</v>
      </c>
      <c r="B5" s="0" t="s">
        <v>11</v>
      </c>
      <c r="C5" s="38" t="n">
        <v>0.1</v>
      </c>
    </row>
    <row r="6" customFormat="false" ht="15" hidden="false" customHeight="false" outlineLevel="0" collapsed="false">
      <c r="A6" s="0" t="s">
        <v>31</v>
      </c>
      <c r="B6" s="0" t="s">
        <v>10</v>
      </c>
      <c r="C6" s="8" t="n">
        <v>4</v>
      </c>
    </row>
    <row r="7" customFormat="false" ht="15" hidden="false" customHeight="false" outlineLevel="0" collapsed="false">
      <c r="C7" s="0" t="n">
        <f aca="false">C5*(1+C5)^C6/((1+C5)^C6-1)</f>
        <v>0.315470803706098</v>
      </c>
    </row>
    <row r="8" customFormat="false" ht="15" hidden="false" customHeight="false" outlineLevel="0" collapsed="false">
      <c r="A8" s="0" t="s">
        <v>75</v>
      </c>
      <c r="C8" s="39" t="n">
        <f aca="false">ROUND(C4*C7,0)</f>
        <v>3155</v>
      </c>
      <c r="J8" s="0" t="s">
        <v>75</v>
      </c>
      <c r="K8" s="30" t="n">
        <f aca="false">ROUND(PMT(C5,C6,C4),0)</f>
        <v>-3155</v>
      </c>
    </row>
    <row r="9" customFormat="false" ht="15" hidden="false" customHeight="false" outlineLevel="0" collapsed="false">
      <c r="C9" s="0" t="s">
        <v>76</v>
      </c>
      <c r="J9" s="0" t="s">
        <v>76</v>
      </c>
    </row>
    <row r="14" customFormat="false" ht="15" hidden="false" customHeight="false" outlineLevel="0" collapsed="false">
      <c r="A14" s="5" t="s">
        <v>77</v>
      </c>
      <c r="B14" s="5" t="s">
        <v>78</v>
      </c>
      <c r="C14" s="5" t="s">
        <v>68</v>
      </c>
      <c r="D14" s="5" t="s">
        <v>79</v>
      </c>
      <c r="E14" s="40" t="s">
        <v>80</v>
      </c>
    </row>
    <row r="15" customFormat="false" ht="15" hidden="false" customHeight="false" outlineLevel="0" collapsed="false">
      <c r="A15" s="23" t="n">
        <v>1</v>
      </c>
      <c r="B15" s="24" t="n">
        <f aca="false">C4</f>
        <v>10000</v>
      </c>
      <c r="C15" s="36" t="n">
        <f aca="false">B15*$C$5</f>
        <v>1000</v>
      </c>
      <c r="D15" s="14" t="n">
        <f aca="false">$C$8-C15</f>
        <v>2155</v>
      </c>
      <c r="E15" s="31" t="n">
        <f aca="false">B15-D15</f>
        <v>7845</v>
      </c>
    </row>
    <row r="16" customFormat="false" ht="15" hidden="false" customHeight="false" outlineLevel="0" collapsed="false">
      <c r="A16" s="23" t="n">
        <v>2</v>
      </c>
      <c r="B16" s="24" t="n">
        <f aca="false">E15</f>
        <v>7845</v>
      </c>
      <c r="C16" s="36" t="n">
        <f aca="false">B16*$C$5</f>
        <v>784.5</v>
      </c>
      <c r="D16" s="41" t="n">
        <f aca="false">$C$8-C16</f>
        <v>2370.5</v>
      </c>
      <c r="E16" s="31" t="n">
        <f aca="false">B16-D16</f>
        <v>5474.5</v>
      </c>
    </row>
    <row r="17" customFormat="false" ht="15" hidden="false" customHeight="false" outlineLevel="0" collapsed="false">
      <c r="A17" s="23" t="n">
        <v>3</v>
      </c>
      <c r="B17" s="24" t="n">
        <f aca="false">E16</f>
        <v>5474.5</v>
      </c>
      <c r="C17" s="36" t="n">
        <f aca="false">B17*$C$5</f>
        <v>547.45</v>
      </c>
      <c r="D17" s="14" t="n">
        <f aca="false">$C$8-C17</f>
        <v>2607.55</v>
      </c>
      <c r="E17" s="31" t="n">
        <f aca="false">B17-D17</f>
        <v>2866.95</v>
      </c>
    </row>
    <row r="18" customFormat="false" ht="15" hidden="false" customHeight="false" outlineLevel="0" collapsed="false">
      <c r="A18" s="23" t="n">
        <v>4</v>
      </c>
      <c r="B18" s="24" t="n">
        <f aca="false">E17</f>
        <v>2866.95</v>
      </c>
      <c r="C18" s="36" t="n">
        <f aca="false">B18*$C$5</f>
        <v>286.695</v>
      </c>
      <c r="D18" s="14" t="n">
        <f aca="false">$C$8-C18</f>
        <v>2868.305</v>
      </c>
      <c r="E18" s="31" t="n">
        <f aca="false">B18-D18</f>
        <v>-1.35500000000002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6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6.43"/>
    <col collapsed="false" customWidth="true" hidden="false" outlineLevel="0" max="3" min="3" style="0" width="18"/>
  </cols>
  <sheetData>
    <row r="2" customFormat="false" ht="15" hidden="false" customHeight="false" outlineLevel="0" collapsed="false">
      <c r="B2" s="5" t="s">
        <v>81</v>
      </c>
      <c r="C2" s="5"/>
      <c r="F2" s="5" t="s">
        <v>82</v>
      </c>
      <c r="G2" s="5"/>
    </row>
    <row r="4" customFormat="false" ht="15" hidden="false" customHeight="false" outlineLevel="0" collapsed="false">
      <c r="B4" s="0" t="s">
        <v>29</v>
      </c>
      <c r="C4" s="42" t="n">
        <v>0.00720718368927195</v>
      </c>
      <c r="F4" s="0" t="s">
        <v>0</v>
      </c>
    </row>
    <row r="5" customFormat="false" ht="15" hidden="false" customHeight="false" outlineLevel="0" collapsed="false">
      <c r="G5" s="0" t="n">
        <v>0.00720718368927192</v>
      </c>
    </row>
    <row r="6" customFormat="false" ht="15" hidden="false" customHeight="false" outlineLevel="0" collapsed="false">
      <c r="A6" s="0" t="s">
        <v>12</v>
      </c>
      <c r="B6" s="0" t="s">
        <v>50</v>
      </c>
      <c r="C6" s="0" t="s">
        <v>51</v>
      </c>
      <c r="F6" s="0" t="s">
        <v>55</v>
      </c>
    </row>
    <row r="7" customFormat="false" ht="15" hidden="false" customHeight="false" outlineLevel="0" collapsed="false">
      <c r="G7" s="0" t="n">
        <f aca="false">((1+$G$5)^60-1)/($G$5*(1+$G$5)^60)</f>
        <v>48.571428571901</v>
      </c>
    </row>
    <row r="8" customFormat="false" ht="15" hidden="false" customHeight="false" outlineLevel="0" collapsed="false">
      <c r="A8" s="0" t="n">
        <v>1</v>
      </c>
      <c r="B8" s="1" t="n">
        <v>140</v>
      </c>
      <c r="C8" s="1" t="n">
        <f aca="false">B8/(1+$C$4)^A8</f>
        <v>138.998214336794</v>
      </c>
      <c r="F8" s="0" t="s">
        <v>56</v>
      </c>
    </row>
    <row r="9" customFormat="false" ht="15" hidden="false" customHeight="false" outlineLevel="0" collapsed="false">
      <c r="A9" s="0" t="n">
        <v>2</v>
      </c>
      <c r="B9" s="1" t="n">
        <f aca="false">B8</f>
        <v>140</v>
      </c>
      <c r="C9" s="1" t="n">
        <f aca="false">B9/(1+$C$4)^A9</f>
        <v>138.003597062981</v>
      </c>
      <c r="G9" s="0" t="n">
        <v>140</v>
      </c>
    </row>
    <row r="10" customFormat="false" ht="15" hidden="false" customHeight="false" outlineLevel="0" collapsed="false">
      <c r="A10" s="0" t="n">
        <v>3</v>
      </c>
      <c r="B10" s="1" t="n">
        <f aca="false">B9</f>
        <v>140</v>
      </c>
      <c r="C10" s="1" t="n">
        <f aca="false">B10/(1+$C$4)^A10</f>
        <v>137.016096884348</v>
      </c>
      <c r="F10" s="0" t="s">
        <v>57</v>
      </c>
    </row>
    <row r="11" customFormat="false" ht="15" hidden="false" customHeight="false" outlineLevel="0" collapsed="false">
      <c r="A11" s="0" t="n">
        <v>4</v>
      </c>
      <c r="B11" s="1" t="n">
        <f aca="false">B10</f>
        <v>140</v>
      </c>
      <c r="C11" s="1" t="n">
        <f aca="false">B11/(1+$C$4)^A11</f>
        <v>136.035662873725</v>
      </c>
      <c r="G11" s="1" t="n">
        <f aca="false">G7*G9</f>
        <v>6800.00000006615</v>
      </c>
    </row>
    <row r="12" customFormat="false" ht="15" hidden="false" customHeight="false" outlineLevel="0" collapsed="false">
      <c r="A12" s="0" t="n">
        <v>5</v>
      </c>
      <c r="B12" s="1" t="n">
        <f aca="false">B11</f>
        <v>140</v>
      </c>
      <c r="C12" s="1" t="n">
        <f aca="false">B12/(1+$C$4)^A12</f>
        <v>135.062244468357</v>
      </c>
    </row>
    <row r="13" customFormat="false" ht="15" hidden="false" customHeight="false" outlineLevel="0" collapsed="false">
      <c r="A13" s="0" t="n">
        <v>6</v>
      </c>
      <c r="B13" s="1" t="n">
        <v>140</v>
      </c>
      <c r="C13" s="1" t="n">
        <f aca="false">B13/(1+$C$4)^A13</f>
        <v>134.095791467293</v>
      </c>
    </row>
    <row r="14" customFormat="false" ht="15" hidden="false" customHeight="false" outlineLevel="0" collapsed="false">
      <c r="A14" s="0" t="n">
        <v>7</v>
      </c>
      <c r="B14" s="1" t="n">
        <f aca="false">B13</f>
        <v>140</v>
      </c>
      <c r="C14" s="1" t="n">
        <f aca="false">B14/(1+$C$4)^A14</f>
        <v>133.136254028806</v>
      </c>
    </row>
    <row r="15" customFormat="false" ht="15" hidden="false" customHeight="false" outlineLevel="0" collapsed="false">
      <c r="A15" s="0" t="n">
        <v>8</v>
      </c>
      <c r="B15" s="1" t="n">
        <f aca="false">B14</f>
        <v>140</v>
      </c>
      <c r="C15" s="1" t="n">
        <f aca="false">B15/(1+$C$4)^A15</f>
        <v>132.183582667813</v>
      </c>
    </row>
    <row r="16" customFormat="false" ht="15" hidden="false" customHeight="false" outlineLevel="0" collapsed="false">
      <c r="A16" s="0" t="n">
        <v>9</v>
      </c>
      <c r="B16" s="1" t="n">
        <f aca="false">B15</f>
        <v>140</v>
      </c>
      <c r="C16" s="1" t="n">
        <f aca="false">B16/(1+$C$4)^A16</f>
        <v>131.237728253329</v>
      </c>
    </row>
    <row r="17" customFormat="false" ht="15" hidden="false" customHeight="false" outlineLevel="0" collapsed="false">
      <c r="A17" s="0" t="n">
        <v>10</v>
      </c>
      <c r="B17" s="1" t="n">
        <f aca="false">B16</f>
        <v>140</v>
      </c>
      <c r="C17" s="1" t="n">
        <f aca="false">B17/(1+$C$4)^A17</f>
        <v>130.298642005929</v>
      </c>
    </row>
    <row r="18" customFormat="false" ht="15" hidden="false" customHeight="false" outlineLevel="0" collapsed="false">
      <c r="A18" s="0" t="n">
        <v>11</v>
      </c>
      <c r="B18" s="1" t="n">
        <v>140</v>
      </c>
      <c r="C18" s="1" t="n">
        <f aca="false">B18/(1+$C$4)^A18</f>
        <v>129.366275495238</v>
      </c>
    </row>
    <row r="19" customFormat="false" ht="15" hidden="false" customHeight="false" outlineLevel="0" collapsed="false">
      <c r="A19" s="0" t="n">
        <v>12</v>
      </c>
      <c r="B19" s="1" t="n">
        <f aca="false">B18</f>
        <v>140</v>
      </c>
      <c r="C19" s="1" t="n">
        <f aca="false">B19/(1+$C$4)^A19</f>
        <v>128.440580637428</v>
      </c>
    </row>
    <row r="20" customFormat="false" ht="15" hidden="false" customHeight="false" outlineLevel="0" collapsed="false">
      <c r="A20" s="0" t="n">
        <v>13</v>
      </c>
      <c r="B20" s="1" t="n">
        <f aca="false">B19</f>
        <v>140</v>
      </c>
      <c r="C20" s="1" t="n">
        <f aca="false">B20/(1+$C$4)^A20</f>
        <v>127.521509692739</v>
      </c>
    </row>
    <row r="21" customFormat="false" ht="15" hidden="false" customHeight="false" outlineLevel="0" collapsed="false">
      <c r="A21" s="0" t="n">
        <v>14</v>
      </c>
      <c r="B21" s="1" t="n">
        <v>140</v>
      </c>
      <c r="C21" s="1" t="n">
        <f aca="false">B21/(1+$C$4)^A21</f>
        <v>126.60901526302</v>
      </c>
    </row>
    <row r="22" customFormat="false" ht="15" hidden="false" customHeight="false" outlineLevel="0" collapsed="false">
      <c r="A22" s="0" t="n">
        <v>15</v>
      </c>
      <c r="B22" s="1" t="n">
        <f aca="false">B21</f>
        <v>140</v>
      </c>
      <c r="C22" s="1" t="n">
        <f aca="false">B22/(1+$C$4)^A22</f>
        <v>125.703050289284</v>
      </c>
    </row>
    <row r="23" customFormat="false" ht="15" hidden="false" customHeight="false" outlineLevel="0" collapsed="false">
      <c r="A23" s="0" t="n">
        <v>16</v>
      </c>
      <c r="B23" s="1" t="n">
        <f aca="false">B22</f>
        <v>140</v>
      </c>
      <c r="C23" s="1" t="n">
        <f aca="false">B23/(1+$C$4)^A23</f>
        <v>124.803568049276</v>
      </c>
    </row>
    <row r="24" customFormat="false" ht="15" hidden="false" customHeight="false" outlineLevel="0" collapsed="false">
      <c r="A24" s="0" t="n">
        <v>17</v>
      </c>
      <c r="B24" s="1" t="n">
        <v>140</v>
      </c>
      <c r="C24" s="1" t="n">
        <f aca="false">B24/(1+$C$4)^A24</f>
        <v>123.910522155071</v>
      </c>
    </row>
    <row r="25" customFormat="false" ht="15" hidden="false" customHeight="false" outlineLevel="0" collapsed="false">
      <c r="A25" s="0" t="n">
        <v>18</v>
      </c>
      <c r="B25" s="1" t="n">
        <f aca="false">B24</f>
        <v>140</v>
      </c>
      <c r="C25" s="1" t="n">
        <f aca="false">B25/(1+$C$4)^A25</f>
        <v>123.023866550676</v>
      </c>
    </row>
    <row r="26" customFormat="false" ht="15" hidden="false" customHeight="false" outlineLevel="0" collapsed="false">
      <c r="A26" s="0" t="n">
        <v>19</v>
      </c>
      <c r="B26" s="1" t="n">
        <f aca="false">B25</f>
        <v>140</v>
      </c>
      <c r="C26" s="1" t="n">
        <f aca="false">B26/(1+$C$4)^A26</f>
        <v>122.143555509657</v>
      </c>
    </row>
    <row r="27" customFormat="false" ht="15" hidden="false" customHeight="false" outlineLevel="0" collapsed="false">
      <c r="A27" s="0" t="n">
        <v>20</v>
      </c>
      <c r="B27" s="1" t="n">
        <v>140</v>
      </c>
      <c r="C27" s="1" t="n">
        <f aca="false">B27/(1+$C$4)^A27</f>
        <v>121.269543632781</v>
      </c>
    </row>
    <row r="28" customFormat="false" ht="15" hidden="false" customHeight="false" outlineLevel="0" collapsed="false">
      <c r="A28" s="0" t="n">
        <v>21</v>
      </c>
      <c r="B28" s="1" t="n">
        <f aca="false">B27</f>
        <v>140</v>
      </c>
      <c r="C28" s="1" t="n">
        <f aca="false">B28/(1+$C$4)^A28</f>
        <v>120.401785845675</v>
      </c>
    </row>
    <row r="29" customFormat="false" ht="15" hidden="false" customHeight="false" outlineLevel="0" collapsed="false">
      <c r="A29" s="0" t="n">
        <v>22</v>
      </c>
      <c r="B29" s="1" t="n">
        <f aca="false">B28</f>
        <v>140</v>
      </c>
      <c r="C29" s="1" t="n">
        <f aca="false">B29/(1+$C$4)^A29</f>
        <v>119.540237396499</v>
      </c>
    </row>
    <row r="30" customFormat="false" ht="15" hidden="false" customHeight="false" outlineLevel="0" collapsed="false">
      <c r="A30" s="0" t="n">
        <v>23</v>
      </c>
      <c r="B30" s="1" t="n">
        <v>140</v>
      </c>
      <c r="C30" s="1" t="n">
        <f aca="false">B30/(1+$C$4)^A30</f>
        <v>118.684853853641</v>
      </c>
    </row>
    <row r="31" customFormat="false" ht="15" hidden="false" customHeight="false" outlineLevel="0" collapsed="false">
      <c r="A31" s="0" t="n">
        <v>24</v>
      </c>
      <c r="B31" s="1" t="n">
        <f aca="false">B30</f>
        <v>140</v>
      </c>
      <c r="C31" s="1" t="n">
        <f aca="false">B31/(1+$C$4)^A31</f>
        <v>117.835591103425</v>
      </c>
    </row>
    <row r="32" customFormat="false" ht="15" hidden="false" customHeight="false" outlineLevel="0" collapsed="false">
      <c r="A32" s="0" t="n">
        <v>25</v>
      </c>
      <c r="B32" s="1" t="n">
        <f aca="false">B31</f>
        <v>140</v>
      </c>
      <c r="C32" s="1" t="n">
        <f aca="false">B32/(1+$C$4)^A32</f>
        <v>116.992405347834</v>
      </c>
    </row>
    <row r="33" customFormat="false" ht="15" hidden="false" customHeight="false" outlineLevel="0" collapsed="false">
      <c r="A33" s="0" t="n">
        <v>26</v>
      </c>
      <c r="B33" s="1" t="n">
        <v>140</v>
      </c>
      <c r="C33" s="1" t="n">
        <f aca="false">B33/(1+$C$4)^A33</f>
        <v>116.155253102252</v>
      </c>
    </row>
    <row r="34" customFormat="false" ht="15" hidden="false" customHeight="false" outlineLevel="0" collapsed="false">
      <c r="A34" s="0" t="n">
        <v>27</v>
      </c>
      <c r="B34" s="1" t="n">
        <f aca="false">B33</f>
        <v>140</v>
      </c>
      <c r="C34" s="1" t="n">
        <f aca="false">B34/(1+$C$4)^A34</f>
        <v>115.324091193224</v>
      </c>
    </row>
    <row r="35" customFormat="false" ht="15" hidden="false" customHeight="false" outlineLevel="0" collapsed="false">
      <c r="A35" s="0" t="n">
        <v>28</v>
      </c>
      <c r="B35" s="1" t="n">
        <f aca="false">B34</f>
        <v>140</v>
      </c>
      <c r="C35" s="1" t="n">
        <f aca="false">B35/(1+$C$4)^A35</f>
        <v>114.498876756226</v>
      </c>
    </row>
    <row r="36" customFormat="false" ht="15" hidden="false" customHeight="false" outlineLevel="0" collapsed="false">
      <c r="A36" s="0" t="n">
        <v>29</v>
      </c>
      <c r="B36" s="1" t="n">
        <v>140</v>
      </c>
      <c r="C36" s="1" t="n">
        <f aca="false">B36/(1+$C$4)^A36</f>
        <v>113.679567233458</v>
      </c>
    </row>
    <row r="37" customFormat="false" ht="15" hidden="false" customHeight="false" outlineLevel="0" collapsed="false">
      <c r="A37" s="0" t="n">
        <v>30</v>
      </c>
      <c r="B37" s="1" t="n">
        <f aca="false">B36</f>
        <v>140</v>
      </c>
      <c r="C37" s="1" t="n">
        <f aca="false">B37/(1+$C$4)^A37</f>
        <v>112.866120371644</v>
      </c>
    </row>
    <row r="38" customFormat="false" ht="15" hidden="false" customHeight="false" outlineLevel="0" collapsed="false">
      <c r="A38" s="0" t="n">
        <v>31</v>
      </c>
      <c r="B38" s="1" t="n">
        <f aca="false">B37</f>
        <v>140</v>
      </c>
      <c r="C38" s="1" t="n">
        <f aca="false">B38/(1+$C$4)^A38</f>
        <v>112.058494219858</v>
      </c>
    </row>
    <row r="39" customFormat="false" ht="15" hidden="false" customHeight="false" outlineLevel="0" collapsed="false">
      <c r="A39" s="0" t="n">
        <v>32</v>
      </c>
      <c r="B39" s="1" t="n">
        <v>140</v>
      </c>
      <c r="C39" s="1" t="n">
        <f aca="false">B39/(1+$C$4)^A39</f>
        <v>111.256647127359</v>
      </c>
    </row>
    <row r="40" customFormat="false" ht="15" hidden="false" customHeight="false" outlineLevel="0" collapsed="false">
      <c r="A40" s="0" t="n">
        <v>33</v>
      </c>
      <c r="B40" s="1" t="n">
        <f aca="false">B39</f>
        <v>140</v>
      </c>
      <c r="C40" s="1" t="n">
        <f aca="false">B40/(1+$C$4)^A40</f>
        <v>110.460537741441</v>
      </c>
    </row>
    <row r="41" customFormat="false" ht="15" hidden="false" customHeight="false" outlineLevel="0" collapsed="false">
      <c r="A41" s="0" t="n">
        <v>34</v>
      </c>
      <c r="B41" s="1" t="n">
        <f aca="false">B40</f>
        <v>140</v>
      </c>
      <c r="C41" s="1" t="n">
        <f aca="false">B41/(1+$C$4)^A41</f>
        <v>109.670125005302</v>
      </c>
    </row>
    <row r="42" customFormat="false" ht="15" hidden="false" customHeight="false" outlineLevel="0" collapsed="false">
      <c r="A42" s="0" t="n">
        <v>35</v>
      </c>
      <c r="B42" s="1" t="n">
        <v>140</v>
      </c>
      <c r="C42" s="1" t="n">
        <f aca="false">B42/(1+$C$4)^A42</f>
        <v>108.885368155928</v>
      </c>
    </row>
    <row r="43" customFormat="false" ht="15" hidden="false" customHeight="false" outlineLevel="0" collapsed="false">
      <c r="A43" s="0" t="n">
        <v>36</v>
      </c>
      <c r="B43" s="1" t="n">
        <f aca="false">B42</f>
        <v>140</v>
      </c>
      <c r="C43" s="1" t="n">
        <f aca="false">B43/(1+$C$4)^A43</f>
        <v>108.106226721989</v>
      </c>
    </row>
    <row r="44" customFormat="false" ht="15" hidden="false" customHeight="false" outlineLevel="0" collapsed="false">
      <c r="A44" s="0" t="n">
        <v>37</v>
      </c>
      <c r="B44" s="1" t="n">
        <f aca="false">B43</f>
        <v>140</v>
      </c>
      <c r="C44" s="1" t="n">
        <f aca="false">B44/(1+$C$4)^A44</f>
        <v>107.33266052175</v>
      </c>
    </row>
    <row r="45" customFormat="false" ht="15" hidden="false" customHeight="false" outlineLevel="0" collapsed="false">
      <c r="A45" s="0" t="n">
        <v>38</v>
      </c>
      <c r="B45" s="1" t="n">
        <v>140</v>
      </c>
      <c r="C45" s="1" t="n">
        <f aca="false">B45/(1+$C$4)^A45</f>
        <v>106.564629661004</v>
      </c>
    </row>
    <row r="46" customFormat="false" ht="15" hidden="false" customHeight="false" outlineLevel="0" collapsed="false">
      <c r="A46" s="0" t="n">
        <v>39</v>
      </c>
      <c r="B46" s="1" t="n">
        <f aca="false">B45</f>
        <v>140</v>
      </c>
      <c r="C46" s="1" t="n">
        <f aca="false">B46/(1+$C$4)^A46</f>
        <v>105.802094531009</v>
      </c>
    </row>
    <row r="47" customFormat="false" ht="15" hidden="false" customHeight="false" outlineLevel="0" collapsed="false">
      <c r="A47" s="0" t="n">
        <v>40</v>
      </c>
      <c r="B47" s="1" t="n">
        <f aca="false">B46</f>
        <v>140</v>
      </c>
      <c r="C47" s="1" t="n">
        <f aca="false">B47/(1+$C$4)^A47</f>
        <v>105.04501580645</v>
      </c>
    </row>
    <row r="48" customFormat="false" ht="15" hidden="false" customHeight="false" outlineLevel="0" collapsed="false">
      <c r="A48" s="0" t="n">
        <v>41</v>
      </c>
      <c r="B48" s="1" t="n">
        <v>140</v>
      </c>
      <c r="C48" s="1" t="n">
        <f aca="false">B48/(1+$C$4)^A48</f>
        <v>104.293354443406</v>
      </c>
    </row>
    <row r="49" customFormat="false" ht="15" hidden="false" customHeight="false" outlineLevel="0" collapsed="false">
      <c r="A49" s="0" t="n">
        <v>42</v>
      </c>
      <c r="B49" s="1" t="n">
        <f aca="false">B48</f>
        <v>140</v>
      </c>
      <c r="C49" s="1" t="n">
        <f aca="false">B49/(1+$C$4)^A49</f>
        <v>103.547071677341</v>
      </c>
    </row>
    <row r="50" customFormat="false" ht="15" hidden="false" customHeight="false" outlineLevel="0" collapsed="false">
      <c r="A50" s="0" t="n">
        <v>43</v>
      </c>
      <c r="B50" s="1" t="n">
        <f aca="false">B49</f>
        <v>140</v>
      </c>
      <c r="C50" s="1" t="n">
        <f aca="false">B50/(1+$C$4)^A50</f>
        <v>102.806129021103</v>
      </c>
    </row>
    <row r="51" customFormat="false" ht="15" hidden="false" customHeight="false" outlineLevel="0" collapsed="false">
      <c r="A51" s="0" t="n">
        <v>44</v>
      </c>
      <c r="B51" s="1" t="n">
        <v>140</v>
      </c>
      <c r="C51" s="1" t="n">
        <f aca="false">B51/(1+$C$4)^A51</f>
        <v>102.070488262938</v>
      </c>
    </row>
    <row r="52" customFormat="false" ht="15" hidden="false" customHeight="false" outlineLevel="0" collapsed="false">
      <c r="A52" s="0" t="n">
        <v>45</v>
      </c>
      <c r="B52" s="1" t="n">
        <f aca="false">B51</f>
        <v>140</v>
      </c>
      <c r="C52" s="1" t="n">
        <f aca="false">B52/(1+$C$4)^A52</f>
        <v>101.340111464522</v>
      </c>
    </row>
    <row r="53" customFormat="false" ht="15" hidden="false" customHeight="false" outlineLevel="0" collapsed="false">
      <c r="A53" s="0" t="n">
        <v>46</v>
      </c>
      <c r="B53" s="1" t="n">
        <f aca="false">B52</f>
        <v>140</v>
      </c>
      <c r="C53" s="1" t="n">
        <f aca="false">B53/(1+$C$4)^A53</f>
        <v>100.614960959002</v>
      </c>
    </row>
    <row r="54" customFormat="false" ht="15" hidden="false" customHeight="false" outlineLevel="0" collapsed="false">
      <c r="A54" s="0" t="n">
        <v>47</v>
      </c>
      <c r="B54" s="1" t="n">
        <v>140</v>
      </c>
      <c r="C54" s="1" t="n">
        <f aca="false">B54/(1+$C$4)^A54</f>
        <v>99.8949993490534</v>
      </c>
    </row>
    <row r="55" customFormat="false" ht="15" hidden="false" customHeight="false" outlineLevel="0" collapsed="false">
      <c r="A55" s="0" t="n">
        <v>48</v>
      </c>
      <c r="B55" s="1" t="n">
        <f aca="false">B54</f>
        <v>140</v>
      </c>
      <c r="C55" s="1" t="n">
        <f aca="false">B55/(1+$C$4)^A55</f>
        <v>99.1801895049543</v>
      </c>
    </row>
    <row r="56" customFormat="false" ht="15" hidden="false" customHeight="false" outlineLevel="0" collapsed="false">
      <c r="A56" s="0" t="n">
        <v>49</v>
      </c>
      <c r="B56" s="1" t="n">
        <f aca="false">B55</f>
        <v>140</v>
      </c>
      <c r="C56" s="1" t="n">
        <f aca="false">B56/(1+$C$4)^A56</f>
        <v>98.4704945626677</v>
      </c>
    </row>
    <row r="57" customFormat="false" ht="15" hidden="false" customHeight="false" outlineLevel="0" collapsed="false">
      <c r="A57" s="0" t="n">
        <v>50</v>
      </c>
      <c r="B57" s="1" t="n">
        <v>140</v>
      </c>
      <c r="C57" s="1" t="n">
        <f aca="false">B57/(1+$C$4)^A57</f>
        <v>97.7658779219414</v>
      </c>
    </row>
    <row r="58" customFormat="false" ht="15" hidden="false" customHeight="false" outlineLevel="0" collapsed="false">
      <c r="A58" s="0" t="n">
        <v>51</v>
      </c>
      <c r="B58" s="1" t="n">
        <f aca="false">B57</f>
        <v>140</v>
      </c>
      <c r="C58" s="1" t="n">
        <f aca="false">B58/(1+$C$4)^A58</f>
        <v>97.0663032444202</v>
      </c>
    </row>
    <row r="59" customFormat="false" ht="15" hidden="false" customHeight="false" outlineLevel="0" collapsed="false">
      <c r="A59" s="0" t="n">
        <v>52</v>
      </c>
      <c r="B59" s="1" t="n">
        <f aca="false">B58</f>
        <v>140</v>
      </c>
      <c r="C59" s="1" t="n">
        <f aca="false">B59/(1+$C$4)^A59</f>
        <v>96.3717344517726</v>
      </c>
    </row>
    <row r="60" customFormat="false" ht="15" hidden="false" customHeight="false" outlineLevel="0" collapsed="false">
      <c r="A60" s="0" t="n">
        <v>53</v>
      </c>
      <c r="B60" s="1" t="n">
        <v>140</v>
      </c>
      <c r="C60" s="1" t="n">
        <f aca="false">B60/(1+$C$4)^A60</f>
        <v>95.6821357238291</v>
      </c>
    </row>
    <row r="61" customFormat="false" ht="15" hidden="false" customHeight="false" outlineLevel="0" collapsed="false">
      <c r="A61" s="0" t="n">
        <v>54</v>
      </c>
      <c r="B61" s="1" t="n">
        <f aca="false">B60</f>
        <v>140</v>
      </c>
      <c r="C61" s="1" t="n">
        <f aca="false">B61/(1+$C$4)^A61</f>
        <v>94.9974714967357</v>
      </c>
    </row>
    <row r="62" customFormat="false" ht="15" hidden="false" customHeight="false" outlineLevel="0" collapsed="false">
      <c r="A62" s="0" t="n">
        <v>55</v>
      </c>
      <c r="B62" s="1" t="n">
        <f aca="false">B61</f>
        <v>140</v>
      </c>
      <c r="C62" s="1" t="n">
        <f aca="false">B62/(1+$C$4)^A62</f>
        <v>94.3177064611196</v>
      </c>
    </row>
    <row r="63" customFormat="false" ht="15" hidden="false" customHeight="false" outlineLevel="0" collapsed="false">
      <c r="A63" s="0" t="n">
        <v>56</v>
      </c>
      <c r="B63" s="1" t="n">
        <v>140</v>
      </c>
      <c r="C63" s="1" t="n">
        <f aca="false">B63/(1+$C$4)^A63</f>
        <v>93.642805560268</v>
      </c>
    </row>
    <row r="64" customFormat="false" ht="15" hidden="false" customHeight="false" outlineLevel="0" collapsed="false">
      <c r="A64" s="0" t="n">
        <v>57</v>
      </c>
      <c r="B64" s="1" t="n">
        <f aca="false">B63</f>
        <v>140</v>
      </c>
      <c r="C64" s="1" t="n">
        <f aca="false">B64/(1+$C$4)^A64</f>
        <v>92.9727339883203</v>
      </c>
    </row>
    <row r="65" customFormat="false" ht="15" hidden="false" customHeight="false" outlineLevel="0" collapsed="false">
      <c r="A65" s="0" t="n">
        <v>58</v>
      </c>
      <c r="B65" s="1" t="n">
        <f aca="false">B64</f>
        <v>140</v>
      </c>
      <c r="C65" s="1" t="n">
        <f aca="false">B65/(1+$C$4)^A65</f>
        <v>92.3074571884734</v>
      </c>
    </row>
    <row r="66" customFormat="false" ht="15" hidden="false" customHeight="false" outlineLevel="0" collapsed="false">
      <c r="A66" s="0" t="n">
        <v>59</v>
      </c>
      <c r="B66" s="1" t="n">
        <v>140</v>
      </c>
      <c r="C66" s="1" t="n">
        <f aca="false">B66/(1+$C$4)^A66</f>
        <v>91.646940851199</v>
      </c>
    </row>
    <row r="67" customFormat="false" ht="15" hidden="false" customHeight="false" outlineLevel="0" collapsed="false">
      <c r="A67" s="0" t="n">
        <v>60</v>
      </c>
      <c r="B67" s="1" t="n">
        <f aca="false">B66</f>
        <v>140</v>
      </c>
      <c r="C67" s="1" t="n">
        <f aca="false">B67/(1+$C$4)^A67</f>
        <v>90.9911509124745</v>
      </c>
    </row>
    <row r="69" customFormat="false" ht="15" hidden="false" customHeight="false" outlineLevel="0" collapsed="false">
      <c r="A69" s="0" t="s">
        <v>58</v>
      </c>
      <c r="C69" s="1" t="n">
        <f aca="false">SUM(C8:C67)</f>
        <v>6800.00000006604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8" activeCellId="0" sqref="J2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9.14"/>
    <col collapsed="false" customWidth="true" hidden="false" outlineLevel="0" max="3" min="3" style="0" width="18"/>
  </cols>
  <sheetData>
    <row r="2" customFormat="false" ht="15" hidden="false" customHeight="false" outlineLevel="0" collapsed="false">
      <c r="B2" s="5" t="s">
        <v>81</v>
      </c>
      <c r="C2" s="5"/>
    </row>
    <row r="4" customFormat="false" ht="15" hidden="false" customHeight="false" outlineLevel="0" collapsed="false">
      <c r="B4" s="0" t="s">
        <v>29</v>
      </c>
      <c r="C4" s="42" t="n">
        <v>0.15</v>
      </c>
    </row>
    <row r="6" customFormat="false" ht="15" hidden="false" customHeight="false" outlineLevel="0" collapsed="false">
      <c r="A6" s="0" t="s">
        <v>33</v>
      </c>
      <c r="B6" s="0" t="s">
        <v>83</v>
      </c>
      <c r="C6" s="0" t="s">
        <v>51</v>
      </c>
    </row>
    <row r="8" customFormat="false" ht="15" hidden="false" customHeight="false" outlineLevel="0" collapsed="false">
      <c r="A8" s="0" t="n">
        <v>1</v>
      </c>
      <c r="B8" s="1" t="n">
        <v>100</v>
      </c>
      <c r="C8" s="1" t="n">
        <f aca="false">B8/(1+$C$4)^A8</f>
        <v>86.9565217391304</v>
      </c>
    </row>
    <row r="9" customFormat="false" ht="15" hidden="false" customHeight="false" outlineLevel="0" collapsed="false">
      <c r="A9" s="0" t="n">
        <v>2</v>
      </c>
      <c r="B9" s="1" t="n">
        <f aca="false">B8</f>
        <v>100</v>
      </c>
      <c r="C9" s="1" t="n">
        <f aca="false">B9/(1+$C$4)^A9</f>
        <v>75.6143667296787</v>
      </c>
    </row>
    <row r="10" customFormat="false" ht="15" hidden="false" customHeight="false" outlineLevel="0" collapsed="false">
      <c r="A10" s="0" t="n">
        <v>3</v>
      </c>
      <c r="B10" s="1" t="n">
        <f aca="false">B9</f>
        <v>100</v>
      </c>
      <c r="C10" s="1" t="n">
        <f aca="false">B10/(1+$C$4)^A10</f>
        <v>65.7516232431988</v>
      </c>
    </row>
    <row r="11" customFormat="false" ht="15" hidden="false" customHeight="false" outlineLevel="0" collapsed="false">
      <c r="A11" s="0" t="n">
        <v>4</v>
      </c>
      <c r="B11" s="1"/>
      <c r="C11" s="1" t="n">
        <f aca="false">B11/(1+$C$4)^A11</f>
        <v>0</v>
      </c>
    </row>
    <row r="12" customFormat="false" ht="15" hidden="false" customHeight="false" outlineLevel="0" collapsed="false">
      <c r="A12" s="0" t="n">
        <v>5</v>
      </c>
      <c r="B12" s="43" t="n">
        <v>-459.238125</v>
      </c>
      <c r="C12" s="1" t="n">
        <f aca="false">B12/(1+$C$4)^A12</f>
        <v>-228.322511712008</v>
      </c>
    </row>
    <row r="13" customFormat="false" ht="15" hidden="false" customHeight="false" outlineLevel="0" collapsed="false">
      <c r="B13" s="1"/>
    </row>
    <row r="14" customFormat="false" ht="15" hidden="false" customHeight="false" outlineLevel="0" collapsed="false">
      <c r="A14" s="0" t="s">
        <v>58</v>
      </c>
      <c r="C14" s="44" t="n">
        <f aca="false">SUM(C8:C13)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LibreOffice/7.4.0.3$Windows_X86_64 LibreOffice_project/f85e47c08ddd19c015c0114a68350214f7066f5a</Application>
  <AppVersion>15.0000</AppVersion>
  <Company>Metro Vancouver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2019-12-29T15:58:59Z</dcterms:created>
  <dc:creator>Jeff Carmichael</dc:creator>
  <dc:description/>
  <dc:language>en-CA</dc:language>
  <cp:lastModifiedBy/>
  <dcterms:modified xsi:type="dcterms:W3CDTF">2023-01-18T18:18:03Z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