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8A86148D-054F-494D-B03E-A8F4AEE55EF0}" xr6:coauthVersionLast="47" xr6:coauthVersionMax="47" xr10:uidLastSave="{00000000-0000-0000-0000-000000000000}"/>
  <bookViews>
    <workbookView xWindow="-120" yWindow="-120" windowWidth="29040" windowHeight="15720" activeTab="1" xr2:uid="{65A9C6E7-27E7-4FE6-B58F-1E3EC4CBC4A3}"/>
  </bookViews>
  <sheets>
    <sheet name="Main" sheetId="1" r:id="rId1"/>
    <sheet name="Model" sheetId="2" r:id="rId2"/>
  </sheets>
  <definedNames>
    <definedName name="Cash">Main!$G$5</definedName>
    <definedName name="d">Model!$Q$37</definedName>
    <definedName name="Debt">Main!$G$6</definedName>
    <definedName name="g">Model!$Q$38</definedName>
    <definedName name="Price">Main!$G$2</definedName>
    <definedName name="Shares">Main!$G$3</definedName>
    <definedName name="v">Model!$Q$35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2" l="1"/>
  <c r="Q47" i="2"/>
  <c r="Q35" i="2"/>
  <c r="Q36" i="2" s="1"/>
  <c r="X33" i="2"/>
  <c r="W33" i="2"/>
  <c r="Y30" i="2"/>
  <c r="X30" i="2"/>
  <c r="W30" i="2"/>
  <c r="V30" i="2"/>
  <c r="U30" i="2"/>
  <c r="S30" i="2"/>
  <c r="S31" i="2" s="1"/>
  <c r="R30" i="2"/>
  <c r="Q31" i="2"/>
  <c r="Q32" i="2" s="1"/>
  <c r="Q30" i="2"/>
  <c r="Y26" i="2"/>
  <c r="X26" i="2"/>
  <c r="W26" i="2"/>
  <c r="V26" i="2"/>
  <c r="U26" i="2"/>
  <c r="Y27" i="2"/>
  <c r="Y33" i="2" s="1"/>
  <c r="Q42" i="2" s="1"/>
  <c r="Q43" i="2" s="1"/>
  <c r="X27" i="2"/>
  <c r="W27" i="2"/>
  <c r="V27" i="2"/>
  <c r="V33" i="2" s="1"/>
  <c r="U27" i="2"/>
  <c r="U33" i="2" s="1"/>
  <c r="Y24" i="2"/>
  <c r="X24" i="2"/>
  <c r="W24" i="2"/>
  <c r="V24" i="2"/>
  <c r="U24" i="2"/>
  <c r="Y22" i="2"/>
  <c r="X22" i="2"/>
  <c r="W22" i="2"/>
  <c r="V22" i="2"/>
  <c r="U22" i="2"/>
  <c r="U3" i="2"/>
  <c r="U10" i="2" s="1"/>
  <c r="S26" i="2"/>
  <c r="R25" i="2"/>
  <c r="S25" i="2"/>
  <c r="R24" i="2"/>
  <c r="S24" i="2"/>
  <c r="R28" i="2"/>
  <c r="Q28" i="2"/>
  <c r="S28" i="2"/>
  <c r="R23" i="2"/>
  <c r="Q23" i="2"/>
  <c r="S23" i="2"/>
  <c r="W1" i="2"/>
  <c r="X1" i="2" s="1"/>
  <c r="Y1" i="2" s="1"/>
  <c r="V1" i="2"/>
  <c r="U1" i="2"/>
  <c r="W2" i="2"/>
  <c r="X2" i="2" s="1"/>
  <c r="Y2" i="2" s="1"/>
  <c r="V2" i="2"/>
  <c r="U2" i="2"/>
  <c r="T20" i="2"/>
  <c r="T19" i="2"/>
  <c r="T18" i="2"/>
  <c r="T17" i="2"/>
  <c r="T16" i="2"/>
  <c r="T15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20" i="2"/>
  <c r="D19" i="2"/>
  <c r="D18" i="2"/>
  <c r="D17" i="2"/>
  <c r="D16" i="2"/>
  <c r="C20" i="2"/>
  <c r="C19" i="2"/>
  <c r="C18" i="2"/>
  <c r="C17" i="2"/>
  <c r="C16" i="2"/>
  <c r="D15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G7" i="1"/>
  <c r="G4" i="1"/>
  <c r="U40" i="2" l="1"/>
  <c r="Q44" i="2"/>
  <c r="V40" i="2"/>
  <c r="W40" i="2"/>
  <c r="X40" i="2"/>
  <c r="Y40" i="2"/>
  <c r="V32" i="2"/>
  <c r="W32" i="2"/>
  <c r="S32" i="2"/>
  <c r="V31" i="2"/>
  <c r="W31" i="2"/>
  <c r="R31" i="2"/>
  <c r="R32" i="2" s="1"/>
  <c r="U31" i="2"/>
  <c r="U32" i="2" s="1"/>
  <c r="X31" i="2"/>
  <c r="X32" i="2" s="1"/>
  <c r="Y31" i="2"/>
  <c r="Y32" i="2" s="1"/>
  <c r="U5" i="2"/>
  <c r="U9" i="2"/>
  <c r="U6" i="2"/>
  <c r="U11" i="2"/>
  <c r="U4" i="2"/>
  <c r="U8" i="2"/>
  <c r="U7" i="2" s="1"/>
  <c r="V3" i="2"/>
  <c r="U12" i="2"/>
  <c r="U13" i="2" s="1"/>
  <c r="Q45" i="2" l="1"/>
  <c r="Q46" i="2" s="1"/>
  <c r="Q49" i="2" s="1"/>
  <c r="Q50" i="2" s="1"/>
  <c r="Q51" i="2" s="1"/>
  <c r="W3" i="2"/>
  <c r="V10" i="2"/>
  <c r="V8" i="2"/>
  <c r="V5" i="2"/>
  <c r="V9" i="2"/>
  <c r="V11" i="2" s="1"/>
  <c r="V12" i="2" s="1"/>
  <c r="V13" i="2" s="1"/>
  <c r="V4" i="2"/>
  <c r="V6" i="2" l="1"/>
  <c r="V7" i="2" s="1"/>
  <c r="W10" i="2"/>
  <c r="W8" i="2"/>
  <c r="W5" i="2"/>
  <c r="W9" i="2"/>
  <c r="W11" i="2" s="1"/>
  <c r="W12" i="2" s="1"/>
  <c r="W13" i="2" s="1"/>
  <c r="W4" i="2"/>
  <c r="X3" i="2"/>
  <c r="W6" i="2" l="1"/>
  <c r="W7" i="2" s="1"/>
  <c r="Y3" i="2"/>
  <c r="X10" i="2"/>
  <c r="X8" i="2"/>
  <c r="X5" i="2"/>
  <c r="X9" i="2"/>
  <c r="X11" i="2" s="1"/>
  <c r="X12" i="2" s="1"/>
  <c r="X13" i="2" s="1"/>
  <c r="X4" i="2"/>
  <c r="X6" i="2" l="1"/>
  <c r="X7" i="2" s="1"/>
  <c r="Y10" i="2"/>
  <c r="Y8" i="2"/>
  <c r="Y5" i="2"/>
  <c r="Y9" i="2"/>
  <c r="Y11" i="2" s="1"/>
  <c r="Y12" i="2" s="1"/>
  <c r="Y13" i="2" s="1"/>
  <c r="Y4" i="2"/>
  <c r="Y6" i="2" l="1"/>
  <c r="Y7" i="2" s="1"/>
</calcChain>
</file>

<file path=xl/sharedStrings.xml><?xml version="1.0" encoding="utf-8"?>
<sst xmlns="http://schemas.openxmlformats.org/spreadsheetml/2006/main" count="57" uniqueCount="51">
  <si>
    <t>Intuitive Surgical Inc.</t>
  </si>
  <si>
    <t>Price</t>
  </si>
  <si>
    <t>Shares</t>
  </si>
  <si>
    <t>MC</t>
  </si>
  <si>
    <t>Cash</t>
  </si>
  <si>
    <t>Debt</t>
  </si>
  <si>
    <t>EV</t>
  </si>
  <si>
    <t>Q2 24</t>
  </si>
  <si>
    <t>Ticker</t>
  </si>
  <si>
    <t>ISRG</t>
  </si>
  <si>
    <t>Main</t>
  </si>
  <si>
    <t>Other Income</t>
  </si>
  <si>
    <t>Net Income</t>
  </si>
  <si>
    <t>Revenue</t>
  </si>
  <si>
    <t>COGS</t>
  </si>
  <si>
    <t>Gross Profit</t>
  </si>
  <si>
    <t>OpEx</t>
  </si>
  <si>
    <t>EBIT</t>
  </si>
  <si>
    <t>SG&amp;A</t>
  </si>
  <si>
    <t>R&amp;D</t>
  </si>
  <si>
    <t>EBT</t>
  </si>
  <si>
    <t>Taxes</t>
  </si>
  <si>
    <t>Revenue Growth y/y</t>
  </si>
  <si>
    <t>Gross Margin</t>
  </si>
  <si>
    <t>Operating Margin</t>
  </si>
  <si>
    <t>Tax Rate</t>
  </si>
  <si>
    <t>Other Income % of Revenue</t>
  </si>
  <si>
    <t>R&amp;D % of Revenue</t>
  </si>
  <si>
    <t>D&amp;A</t>
  </si>
  <si>
    <t>% of Revenue</t>
  </si>
  <si>
    <t>Working Capital</t>
  </si>
  <si>
    <t>Change in Working Capital</t>
  </si>
  <si>
    <t>Capital Expenditures</t>
  </si>
  <si>
    <t>AVG</t>
  </si>
  <si>
    <t>Operating Income</t>
  </si>
  <si>
    <t>Operating Taxes</t>
  </si>
  <si>
    <t>NOPAT</t>
  </si>
  <si>
    <t>UFCF</t>
  </si>
  <si>
    <t>Valuation Date</t>
  </si>
  <si>
    <t>Stub %</t>
  </si>
  <si>
    <t>Discount Rate</t>
  </si>
  <si>
    <t>Terminal Growth Rate</t>
  </si>
  <si>
    <t>Present Value of UFCF</t>
  </si>
  <si>
    <t>Final Free Cash Flow</t>
  </si>
  <si>
    <t>Terminal Value</t>
  </si>
  <si>
    <t>Present Value of Terminal Value</t>
  </si>
  <si>
    <t>Sum of Stage 1 Cash Flows</t>
  </si>
  <si>
    <t>Enterprise Value</t>
  </si>
  <si>
    <t>Equity Value</t>
  </si>
  <si>
    <t>Share Price</t>
  </si>
  <si>
    <t>Implied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</si>
</sst>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2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3" tint="0.49998474074526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65" fontId="0" fillId="0" borderId="0" xfId="1" applyNumberFormat="1" applyFont="1"/>
    <xf numFmtId="14" fontId="0" fillId="0" borderId="0" xfId="0" applyNumberFormat="1"/>
    <xf numFmtId="0" fontId="3" fillId="0" borderId="0" xfId="3" applyFont="1"/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9" fontId="4" fillId="0" borderId="0" xfId="2" applyFont="1"/>
    <xf numFmtId="0" fontId="4" fillId="0" borderId="1" xfId="0" applyFont="1" applyBorder="1"/>
    <xf numFmtId="43" fontId="4" fillId="0" borderId="0" xfId="1" applyFont="1"/>
    <xf numFmtId="172" fontId="4" fillId="0" borderId="0" xfId="2" applyNumberFormat="1" applyFont="1"/>
    <xf numFmtId="165" fontId="4" fillId="0" borderId="0" xfId="0" applyNumberFormat="1" applyFont="1"/>
    <xf numFmtId="172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6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B169-110E-4827-A5D0-4BF7DA99279D}">
  <dimension ref="A1:H7"/>
  <sheetViews>
    <sheetView zoomScale="140" zoomScaleNormal="140" workbookViewId="0">
      <selection activeCell="B3" sqref="B3"/>
    </sheetView>
  </sheetViews>
  <sheetFormatPr defaultRowHeight="15" x14ac:dyDescent="0.25"/>
  <cols>
    <col min="7" max="7" width="12.140625" bestFit="1" customWidth="1"/>
    <col min="8" max="8" width="10.28515625" bestFit="1" customWidth="1"/>
  </cols>
  <sheetData>
    <row r="1" spans="1:8" x14ac:dyDescent="0.25">
      <c r="A1" t="s">
        <v>0</v>
      </c>
    </row>
    <row r="2" spans="1:8" x14ac:dyDescent="0.25">
      <c r="A2" t="s">
        <v>8</v>
      </c>
      <c r="B2" t="s">
        <v>9</v>
      </c>
      <c r="F2" t="s">
        <v>1</v>
      </c>
      <c r="G2" s="1">
        <v>484.4</v>
      </c>
      <c r="H2" s="3">
        <v>45560</v>
      </c>
    </row>
    <row r="3" spans="1:8" x14ac:dyDescent="0.25">
      <c r="F3" t="s">
        <v>2</v>
      </c>
      <c r="G3" s="2">
        <v>335.35399999999998</v>
      </c>
      <c r="H3" t="s">
        <v>7</v>
      </c>
    </row>
    <row r="4" spans="1:8" x14ac:dyDescent="0.25">
      <c r="F4" t="s">
        <v>3</v>
      </c>
      <c r="G4" s="2">
        <f>G2*G3</f>
        <v>162445.47759999998</v>
      </c>
    </row>
    <row r="5" spans="1:8" x14ac:dyDescent="0.25">
      <c r="F5" t="s">
        <v>4</v>
      </c>
      <c r="G5" s="2">
        <v>3036.7</v>
      </c>
      <c r="H5" t="s">
        <v>7</v>
      </c>
    </row>
    <row r="6" spans="1:8" x14ac:dyDescent="0.25">
      <c r="F6" t="s">
        <v>5</v>
      </c>
      <c r="G6" s="2">
        <v>0</v>
      </c>
      <c r="H6" t="s">
        <v>7</v>
      </c>
    </row>
    <row r="7" spans="1:8" x14ac:dyDescent="0.25">
      <c r="F7" t="s">
        <v>6</v>
      </c>
      <c r="G7" s="2">
        <f>G4-G5+G6</f>
        <v>159408.77759999997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6355-E85F-4160-9361-961FF5BA6A34}">
  <dimension ref="A1:Y51"/>
  <sheetViews>
    <sheetView tabSelected="1" topLeftCell="A11" zoomScale="140" zoomScaleNormal="140" workbookViewId="0">
      <selection activeCell="U28" sqref="U28:Y28"/>
    </sheetView>
  </sheetViews>
  <sheetFormatPr defaultRowHeight="14.25" x14ac:dyDescent="0.2"/>
  <cols>
    <col min="1" max="1" width="5.5703125" style="5" bestFit="1" customWidth="1"/>
    <col min="2" max="2" width="31.140625" style="5" customWidth="1"/>
    <col min="3" max="16" width="12" style="5" hidden="1" customWidth="1"/>
    <col min="17" max="19" width="12" style="5" bestFit="1" customWidth="1"/>
    <col min="20" max="20" width="9.140625" style="5"/>
    <col min="21" max="25" width="12" style="5" bestFit="1" customWidth="1"/>
    <col min="26" max="16384" width="9.140625" style="5"/>
  </cols>
  <sheetData>
    <row r="1" spans="1:25" x14ac:dyDescent="0.2">
      <c r="A1" s="4" t="s">
        <v>10</v>
      </c>
      <c r="C1" s="6">
        <v>39447</v>
      </c>
      <c r="D1" s="6">
        <f>EOMONTH(C1,12)</f>
        <v>39813</v>
      </c>
      <c r="E1" s="6">
        <f t="shared" ref="E1:S1" si="0">EOMONTH(D1,12)</f>
        <v>40178</v>
      </c>
      <c r="F1" s="6">
        <f t="shared" si="0"/>
        <v>40543</v>
      </c>
      <c r="G1" s="6">
        <f t="shared" si="0"/>
        <v>40908</v>
      </c>
      <c r="H1" s="6">
        <f t="shared" si="0"/>
        <v>41274</v>
      </c>
      <c r="I1" s="6">
        <f t="shared" si="0"/>
        <v>41639</v>
      </c>
      <c r="J1" s="6">
        <f t="shared" si="0"/>
        <v>42004</v>
      </c>
      <c r="K1" s="6">
        <f t="shared" si="0"/>
        <v>42369</v>
      </c>
      <c r="L1" s="6">
        <f t="shared" si="0"/>
        <v>42735</v>
      </c>
      <c r="M1" s="6">
        <f t="shared" si="0"/>
        <v>43100</v>
      </c>
      <c r="N1" s="6">
        <f t="shared" si="0"/>
        <v>43465</v>
      </c>
      <c r="O1" s="6">
        <f t="shared" si="0"/>
        <v>43830</v>
      </c>
      <c r="P1" s="6">
        <f t="shared" si="0"/>
        <v>44196</v>
      </c>
      <c r="Q1" s="6">
        <f t="shared" si="0"/>
        <v>44561</v>
      </c>
      <c r="R1" s="6">
        <f t="shared" si="0"/>
        <v>44926</v>
      </c>
      <c r="S1" s="6">
        <f t="shared" si="0"/>
        <v>45291</v>
      </c>
      <c r="U1" s="6">
        <f>EOMONTH(S1,12)</f>
        <v>45657</v>
      </c>
      <c r="V1" s="6">
        <f>EOMONTH(U1,12)</f>
        <v>46022</v>
      </c>
      <c r="W1" s="6">
        <f t="shared" ref="W1:Y1" si="1">EOMONTH(V1,12)</f>
        <v>46387</v>
      </c>
      <c r="X1" s="6">
        <f t="shared" si="1"/>
        <v>46752</v>
      </c>
      <c r="Y1" s="6">
        <f t="shared" si="1"/>
        <v>47118</v>
      </c>
    </row>
    <row r="2" spans="1:25" x14ac:dyDescent="0.2">
      <c r="C2" s="5">
        <v>2007</v>
      </c>
      <c r="D2" s="5">
        <f>C2+1</f>
        <v>2008</v>
      </c>
      <c r="E2" s="5">
        <f t="shared" ref="E2:S2" si="2">D2+1</f>
        <v>2009</v>
      </c>
      <c r="F2" s="5">
        <f t="shared" si="2"/>
        <v>2010</v>
      </c>
      <c r="G2" s="5">
        <f t="shared" si="2"/>
        <v>2011</v>
      </c>
      <c r="H2" s="5">
        <f t="shared" si="2"/>
        <v>2012</v>
      </c>
      <c r="I2" s="5">
        <f t="shared" si="2"/>
        <v>2013</v>
      </c>
      <c r="J2" s="5">
        <f t="shared" si="2"/>
        <v>2014</v>
      </c>
      <c r="K2" s="5">
        <f t="shared" si="2"/>
        <v>2015</v>
      </c>
      <c r="L2" s="5">
        <f t="shared" si="2"/>
        <v>2016</v>
      </c>
      <c r="M2" s="5">
        <f t="shared" si="2"/>
        <v>2017</v>
      </c>
      <c r="N2" s="5">
        <f t="shared" si="2"/>
        <v>2018</v>
      </c>
      <c r="O2" s="5">
        <f t="shared" si="2"/>
        <v>2019</v>
      </c>
      <c r="P2" s="5">
        <f t="shared" si="2"/>
        <v>2020</v>
      </c>
      <c r="Q2" s="9">
        <f t="shared" si="2"/>
        <v>2021</v>
      </c>
      <c r="R2" s="9">
        <f t="shared" si="2"/>
        <v>2022</v>
      </c>
      <c r="S2" s="9">
        <f t="shared" si="2"/>
        <v>2023</v>
      </c>
      <c r="T2" s="9"/>
      <c r="U2" s="9">
        <f>S2+1</f>
        <v>2024</v>
      </c>
      <c r="V2" s="9">
        <f>U2+1</f>
        <v>2025</v>
      </c>
      <c r="W2" s="9">
        <f t="shared" ref="W2:Y2" si="3">V2+1</f>
        <v>2026</v>
      </c>
      <c r="X2" s="9">
        <f t="shared" si="3"/>
        <v>2027</v>
      </c>
      <c r="Y2" s="9">
        <f t="shared" si="3"/>
        <v>2028</v>
      </c>
    </row>
    <row r="3" spans="1:25" x14ac:dyDescent="0.2">
      <c r="B3" s="7" t="s">
        <v>13</v>
      </c>
      <c r="C3" s="7">
        <v>600.79999999999995</v>
      </c>
      <c r="D3" s="7">
        <v>874.9</v>
      </c>
      <c r="E3" s="7">
        <v>1052.2</v>
      </c>
      <c r="F3" s="7">
        <v>1413</v>
      </c>
      <c r="G3" s="7">
        <v>1757.3</v>
      </c>
      <c r="H3" s="7">
        <v>2178.8000000000002</v>
      </c>
      <c r="I3" s="7">
        <v>2265.1</v>
      </c>
      <c r="J3" s="7">
        <v>2131.6999999999998</v>
      </c>
      <c r="K3" s="7">
        <v>2384.4</v>
      </c>
      <c r="L3" s="7">
        <v>2706.5</v>
      </c>
      <c r="M3" s="7">
        <v>3138.2</v>
      </c>
      <c r="N3" s="7">
        <v>3724.2</v>
      </c>
      <c r="O3" s="7">
        <v>4478.5</v>
      </c>
      <c r="P3" s="7">
        <v>4358.3999999999996</v>
      </c>
      <c r="Q3" s="7">
        <v>5710.1</v>
      </c>
      <c r="R3" s="7">
        <v>6222.2</v>
      </c>
      <c r="S3" s="7">
        <v>7124.1</v>
      </c>
      <c r="U3" s="7">
        <f>S3*(1+U15)</f>
        <v>8420.6862000000001</v>
      </c>
      <c r="V3" s="7">
        <f>U3*(1+V15)</f>
        <v>9953.2510884000003</v>
      </c>
      <c r="W3" s="7">
        <f t="shared" ref="W3:Y3" si="4">V3*(1+W15)</f>
        <v>11764.7427864888</v>
      </c>
      <c r="X3" s="7">
        <f t="shared" si="4"/>
        <v>13905.925973629761</v>
      </c>
      <c r="Y3" s="7">
        <f t="shared" si="4"/>
        <v>16436.804500830378</v>
      </c>
    </row>
    <row r="4" spans="1:25" x14ac:dyDescent="0.2">
      <c r="B4" s="7" t="s">
        <v>14</v>
      </c>
      <c r="C4" s="7">
        <v>186.5</v>
      </c>
      <c r="D4" s="7">
        <v>254.1</v>
      </c>
      <c r="E4" s="7">
        <v>301.10000000000002</v>
      </c>
      <c r="F4" s="7">
        <v>383</v>
      </c>
      <c r="G4" s="7">
        <v>483.5</v>
      </c>
      <c r="H4" s="7">
        <v>608.5</v>
      </c>
      <c r="I4" s="7">
        <v>670.9</v>
      </c>
      <c r="J4" s="7">
        <v>717.9</v>
      </c>
      <c r="K4" s="7">
        <v>806.5</v>
      </c>
      <c r="L4" s="7">
        <v>813.6</v>
      </c>
      <c r="M4" s="7">
        <v>936.2</v>
      </c>
      <c r="N4" s="7">
        <v>1120.0999999999999</v>
      </c>
      <c r="O4" s="7">
        <v>1368.3</v>
      </c>
      <c r="P4" s="7">
        <v>1497.2</v>
      </c>
      <c r="Q4" s="7">
        <v>1751.6</v>
      </c>
      <c r="R4" s="7">
        <v>2026.2</v>
      </c>
      <c r="S4" s="7">
        <v>2394.6</v>
      </c>
      <c r="U4" s="7">
        <f>U3-U5</f>
        <v>2719.8816425999994</v>
      </c>
      <c r="V4" s="7">
        <f t="shared" ref="V4:Y4" si="5">V3-V5</f>
        <v>3214.9001015531994</v>
      </c>
      <c r="W4" s="7">
        <f t="shared" si="5"/>
        <v>3800.0119200358813</v>
      </c>
      <c r="X4" s="7">
        <f t="shared" si="5"/>
        <v>4491.614089482413</v>
      </c>
      <c r="Y4" s="7">
        <f t="shared" si="5"/>
        <v>5309.0878537682111</v>
      </c>
    </row>
    <row r="5" spans="1:25" x14ac:dyDescent="0.2">
      <c r="B5" s="7" t="s">
        <v>15</v>
      </c>
      <c r="C5" s="7">
        <v>414.3</v>
      </c>
      <c r="D5" s="7">
        <v>620.79999999999995</v>
      </c>
      <c r="E5" s="7">
        <v>751.1</v>
      </c>
      <c r="F5" s="7">
        <v>1030</v>
      </c>
      <c r="G5" s="7">
        <v>1273.8</v>
      </c>
      <c r="H5" s="7">
        <v>1570.3</v>
      </c>
      <c r="I5" s="7">
        <v>1594.2</v>
      </c>
      <c r="J5" s="7">
        <v>1413.8</v>
      </c>
      <c r="K5" s="7">
        <v>1577.9</v>
      </c>
      <c r="L5" s="7">
        <v>1892.9</v>
      </c>
      <c r="M5" s="7">
        <v>2202</v>
      </c>
      <c r="N5" s="7">
        <v>2604.1</v>
      </c>
      <c r="O5" s="7">
        <v>3110.2</v>
      </c>
      <c r="P5" s="7">
        <v>2861.2</v>
      </c>
      <c r="Q5" s="7">
        <v>3958.5</v>
      </c>
      <c r="R5" s="7">
        <v>4196</v>
      </c>
      <c r="S5" s="7">
        <v>4729.5</v>
      </c>
      <c r="U5" s="7">
        <f>U3*U16</f>
        <v>5700.8045574000007</v>
      </c>
      <c r="V5" s="7">
        <f t="shared" ref="V5:Y5" si="6">V3*V16</f>
        <v>6738.3509868468009</v>
      </c>
      <c r="W5" s="7">
        <f t="shared" si="6"/>
        <v>7964.7308664529182</v>
      </c>
      <c r="X5" s="7">
        <f t="shared" si="6"/>
        <v>9414.3118841473479</v>
      </c>
      <c r="Y5" s="7">
        <f t="shared" si="6"/>
        <v>11127.716647062167</v>
      </c>
    </row>
    <row r="6" spans="1:25" x14ac:dyDescent="0.2">
      <c r="B6" s="7" t="s">
        <v>16</v>
      </c>
      <c r="C6" s="7">
        <v>207.5</v>
      </c>
      <c r="D6" s="7">
        <v>310</v>
      </c>
      <c r="E6" s="7">
        <v>373.7</v>
      </c>
      <c r="F6" s="7">
        <v>474.8</v>
      </c>
      <c r="G6" s="7">
        <v>579</v>
      </c>
      <c r="H6" s="7">
        <v>692.2</v>
      </c>
      <c r="I6" s="7">
        <v>741.7</v>
      </c>
      <c r="J6" s="7">
        <v>869</v>
      </c>
      <c r="K6" s="7">
        <v>837.9</v>
      </c>
      <c r="L6" s="7">
        <v>943.2</v>
      </c>
      <c r="M6" s="7">
        <v>1139.0999999999999</v>
      </c>
      <c r="N6" s="7">
        <v>1404.7</v>
      </c>
      <c r="O6" s="7">
        <v>1735.7</v>
      </c>
      <c r="P6" s="7">
        <v>1811.4</v>
      </c>
      <c r="Q6" s="7">
        <v>2137.5</v>
      </c>
      <c r="R6" s="7">
        <v>2618.9</v>
      </c>
      <c r="S6" s="7">
        <v>2962.7</v>
      </c>
      <c r="U6" s="7">
        <f>U5-U9</f>
        <v>3401.9572248000004</v>
      </c>
      <c r="V6" s="7">
        <f t="shared" ref="V6:Y6" si="7">V5-V9</f>
        <v>4021.1134397136007</v>
      </c>
      <c r="W6" s="7">
        <f t="shared" si="7"/>
        <v>4752.9560857414763</v>
      </c>
      <c r="X6" s="7">
        <f t="shared" si="7"/>
        <v>5617.9940933464222</v>
      </c>
      <c r="Y6" s="7">
        <f t="shared" si="7"/>
        <v>6640.4690183354733</v>
      </c>
    </row>
    <row r="7" spans="1:25" x14ac:dyDescent="0.2">
      <c r="B7" s="7" t="s">
        <v>18</v>
      </c>
      <c r="C7" s="7">
        <v>158.69999999999999</v>
      </c>
      <c r="D7" s="7">
        <v>230.6</v>
      </c>
      <c r="E7" s="7">
        <v>278.60000000000002</v>
      </c>
      <c r="F7" s="7">
        <v>358.8</v>
      </c>
      <c r="G7" s="7">
        <v>438.8</v>
      </c>
      <c r="H7" s="7">
        <v>522.20000000000005</v>
      </c>
      <c r="I7" s="7">
        <v>574</v>
      </c>
      <c r="J7" s="7">
        <v>691</v>
      </c>
      <c r="K7" s="7">
        <v>640.5</v>
      </c>
      <c r="L7" s="7">
        <v>703.6</v>
      </c>
      <c r="M7" s="7">
        <v>810.5</v>
      </c>
      <c r="N7" s="7">
        <v>986.6</v>
      </c>
      <c r="O7" s="7">
        <v>1178.4000000000001</v>
      </c>
      <c r="P7" s="7">
        <v>1216.3</v>
      </c>
      <c r="Q7" s="7">
        <v>1466.5</v>
      </c>
      <c r="R7" s="7">
        <v>1739.9</v>
      </c>
      <c r="S7" s="7">
        <v>1963.9</v>
      </c>
      <c r="U7" s="7">
        <f>U6-U8</f>
        <v>2282.0059602000001</v>
      </c>
      <c r="V7" s="7">
        <f t="shared" ref="V7:Y7" si="8">V6-V8</f>
        <v>2697.3310449564005</v>
      </c>
      <c r="W7" s="7">
        <f t="shared" si="8"/>
        <v>3188.2452951384657</v>
      </c>
      <c r="X7" s="7">
        <f t="shared" si="8"/>
        <v>3768.5059388536638</v>
      </c>
      <c r="Y7" s="7">
        <f t="shared" si="8"/>
        <v>4454.3740197250327</v>
      </c>
    </row>
    <row r="8" spans="1:25" x14ac:dyDescent="0.2">
      <c r="B8" s="7" t="s">
        <v>19</v>
      </c>
      <c r="C8" s="7">
        <v>48.9</v>
      </c>
      <c r="D8" s="7">
        <v>79.400000000000006</v>
      </c>
      <c r="E8" s="7">
        <v>95.1</v>
      </c>
      <c r="F8" s="7">
        <v>116</v>
      </c>
      <c r="G8" s="7">
        <v>140.19999999999999</v>
      </c>
      <c r="H8" s="7">
        <v>170</v>
      </c>
      <c r="I8" s="7">
        <v>167.7</v>
      </c>
      <c r="J8" s="7">
        <v>178</v>
      </c>
      <c r="K8" s="7">
        <v>197.4</v>
      </c>
      <c r="L8" s="7">
        <v>239.6</v>
      </c>
      <c r="M8" s="7">
        <v>328.6</v>
      </c>
      <c r="N8" s="7">
        <v>418.1</v>
      </c>
      <c r="O8" s="7">
        <v>557.29999999999995</v>
      </c>
      <c r="P8" s="7">
        <v>595.1</v>
      </c>
      <c r="Q8" s="7">
        <v>671</v>
      </c>
      <c r="R8" s="7">
        <v>879</v>
      </c>
      <c r="S8" s="7">
        <v>998.8</v>
      </c>
      <c r="U8" s="7">
        <f>U3*U20</f>
        <v>1119.9512646000001</v>
      </c>
      <c r="V8" s="7">
        <f t="shared" ref="V8:Y8" si="9">V3*V20</f>
        <v>1323.7823947572001</v>
      </c>
      <c r="W8" s="7">
        <f t="shared" si="9"/>
        <v>1564.7107906030103</v>
      </c>
      <c r="X8" s="7">
        <f t="shared" si="9"/>
        <v>1849.4881544927582</v>
      </c>
      <c r="Y8" s="7">
        <f t="shared" si="9"/>
        <v>2186.0949986104406</v>
      </c>
    </row>
    <row r="9" spans="1:25" x14ac:dyDescent="0.2">
      <c r="B9" s="7" t="s">
        <v>17</v>
      </c>
      <c r="C9" s="7">
        <v>206.7</v>
      </c>
      <c r="D9" s="7">
        <v>310.8</v>
      </c>
      <c r="E9" s="7">
        <v>377.4</v>
      </c>
      <c r="F9" s="7">
        <v>555.20000000000005</v>
      </c>
      <c r="G9" s="7">
        <v>694.8</v>
      </c>
      <c r="H9" s="7">
        <v>878.1</v>
      </c>
      <c r="I9" s="7">
        <v>852.5</v>
      </c>
      <c r="J9" s="7">
        <v>544.79999999999995</v>
      </c>
      <c r="K9" s="7">
        <v>740</v>
      </c>
      <c r="L9" s="7">
        <v>949.7</v>
      </c>
      <c r="M9" s="7">
        <v>1062.9000000000001</v>
      </c>
      <c r="N9" s="7">
        <v>1199.4000000000001</v>
      </c>
      <c r="O9" s="7">
        <v>1374.5</v>
      </c>
      <c r="P9" s="7">
        <v>1049.8</v>
      </c>
      <c r="Q9" s="7">
        <v>1821</v>
      </c>
      <c r="R9" s="7">
        <v>1577.1</v>
      </c>
      <c r="S9" s="7">
        <v>1766.8</v>
      </c>
      <c r="U9" s="7">
        <f>U3*U17</f>
        <v>2298.8473326000003</v>
      </c>
      <c r="V9" s="7">
        <f t="shared" ref="V9:Y9" si="10">V3*V17</f>
        <v>2717.2375471332002</v>
      </c>
      <c r="W9" s="7">
        <f t="shared" si="10"/>
        <v>3211.7747807114424</v>
      </c>
      <c r="X9" s="7">
        <f t="shared" si="10"/>
        <v>3796.3177908009252</v>
      </c>
      <c r="Y9" s="7">
        <f t="shared" si="10"/>
        <v>4487.2476287266936</v>
      </c>
    </row>
    <row r="10" spans="1:25" x14ac:dyDescent="0.2">
      <c r="B10" s="7" t="s">
        <v>11</v>
      </c>
      <c r="C10" s="7">
        <v>30.5</v>
      </c>
      <c r="D10" s="7">
        <v>24.4</v>
      </c>
      <c r="E10" s="7">
        <v>18.7</v>
      </c>
      <c r="F10" s="7">
        <v>17.100000000000001</v>
      </c>
      <c r="G10" s="7">
        <v>14.9</v>
      </c>
      <c r="H10" s="7">
        <v>15.8</v>
      </c>
      <c r="I10" s="7">
        <v>18.399999999999999</v>
      </c>
      <c r="J10" s="7">
        <v>4.2</v>
      </c>
      <c r="K10" s="7">
        <v>18.5</v>
      </c>
      <c r="L10" s="7">
        <v>35.6</v>
      </c>
      <c r="M10" s="7">
        <v>41.9</v>
      </c>
      <c r="N10" s="7">
        <v>80.099999999999994</v>
      </c>
      <c r="O10" s="7">
        <v>127.7</v>
      </c>
      <c r="P10" s="7">
        <v>157.19999999999999</v>
      </c>
      <c r="Q10" s="7">
        <v>69.3</v>
      </c>
      <c r="R10" s="7">
        <v>29.7</v>
      </c>
      <c r="S10" s="7">
        <v>192.1</v>
      </c>
      <c r="U10" s="7">
        <f>U3*U19</f>
        <v>126.310293</v>
      </c>
      <c r="V10" s="7">
        <f t="shared" ref="V10:Y10" si="11">V3*V19</f>
        <v>149.29876632599999</v>
      </c>
      <c r="W10" s="7">
        <f t="shared" si="11"/>
        <v>176.471141797332</v>
      </c>
      <c r="X10" s="7">
        <f t="shared" si="11"/>
        <v>208.58888960444639</v>
      </c>
      <c r="Y10" s="7">
        <f t="shared" si="11"/>
        <v>246.55206751245566</v>
      </c>
    </row>
    <row r="11" spans="1:25" x14ac:dyDescent="0.2">
      <c r="B11" s="7" t="s">
        <v>20</v>
      </c>
      <c r="C11" s="7">
        <v>237.2</v>
      </c>
      <c r="D11" s="7">
        <v>335.2</v>
      </c>
      <c r="E11" s="7">
        <v>396.1</v>
      </c>
      <c r="F11" s="7">
        <v>572.29999999999995</v>
      </c>
      <c r="G11" s="7">
        <v>709.7</v>
      </c>
      <c r="H11" s="7">
        <v>893.9</v>
      </c>
      <c r="I11" s="7">
        <v>870.9</v>
      </c>
      <c r="J11" s="7">
        <v>549</v>
      </c>
      <c r="K11" s="7">
        <v>758.5</v>
      </c>
      <c r="L11" s="7">
        <v>985.3</v>
      </c>
      <c r="M11" s="7">
        <v>1104.8</v>
      </c>
      <c r="N11" s="7">
        <v>1279.5</v>
      </c>
      <c r="O11" s="7">
        <v>1502.2</v>
      </c>
      <c r="P11" s="7">
        <v>1207</v>
      </c>
      <c r="Q11" s="7">
        <v>1890.3</v>
      </c>
      <c r="R11" s="7">
        <v>1606.8</v>
      </c>
      <c r="S11" s="7">
        <v>1958.9</v>
      </c>
      <c r="U11" s="7">
        <f>U9+U10</f>
        <v>2425.1576256000003</v>
      </c>
      <c r="V11" s="7">
        <f t="shared" ref="V11:Y11" si="12">V9+V10</f>
        <v>2866.5363134592003</v>
      </c>
      <c r="W11" s="7">
        <f t="shared" si="12"/>
        <v>3388.2459225087746</v>
      </c>
      <c r="X11" s="7">
        <f t="shared" si="12"/>
        <v>4004.9066804053714</v>
      </c>
      <c r="Y11" s="7">
        <f t="shared" si="12"/>
        <v>4733.7996962391489</v>
      </c>
    </row>
    <row r="12" spans="1:25" x14ac:dyDescent="0.2">
      <c r="B12" s="7" t="s">
        <v>21</v>
      </c>
      <c r="C12" s="7">
        <v>92.7</v>
      </c>
      <c r="D12" s="7">
        <v>130.9</v>
      </c>
      <c r="E12" s="7">
        <v>163.5</v>
      </c>
      <c r="F12" s="7">
        <v>190.5</v>
      </c>
      <c r="G12" s="7">
        <v>214.6</v>
      </c>
      <c r="H12" s="7">
        <v>237.3</v>
      </c>
      <c r="I12" s="7">
        <v>199.9</v>
      </c>
      <c r="J12" s="7">
        <v>130.19999999999999</v>
      </c>
      <c r="K12" s="7">
        <v>169.7</v>
      </c>
      <c r="L12" s="7">
        <v>247</v>
      </c>
      <c r="M12" s="7">
        <v>433.9</v>
      </c>
      <c r="N12" s="7">
        <v>154.5</v>
      </c>
      <c r="O12" s="7">
        <v>120.4</v>
      </c>
      <c r="P12" s="7">
        <v>140.19999999999999</v>
      </c>
      <c r="Q12" s="7">
        <v>162.19999999999999</v>
      </c>
      <c r="R12" s="7">
        <v>262.39999999999998</v>
      </c>
      <c r="S12" s="7">
        <v>141.6</v>
      </c>
      <c r="U12" s="7">
        <f>U11*U18</f>
        <v>259.49186593920001</v>
      </c>
      <c r="V12" s="7">
        <f t="shared" ref="V12:Y12" si="13">V11*V18</f>
        <v>306.71938554013445</v>
      </c>
      <c r="W12" s="7">
        <f t="shared" si="13"/>
        <v>362.54231370843888</v>
      </c>
      <c r="X12" s="7">
        <f t="shared" si="13"/>
        <v>428.52501480337475</v>
      </c>
      <c r="Y12" s="7">
        <f t="shared" si="13"/>
        <v>506.51656749758894</v>
      </c>
    </row>
    <row r="13" spans="1:25" x14ac:dyDescent="0.2">
      <c r="B13" s="7" t="s">
        <v>12</v>
      </c>
      <c r="C13" s="7">
        <v>144.5</v>
      </c>
      <c r="D13" s="7">
        <v>204.3</v>
      </c>
      <c r="E13" s="7">
        <v>232.6</v>
      </c>
      <c r="F13" s="7">
        <v>381.8</v>
      </c>
      <c r="G13" s="7">
        <v>495.1</v>
      </c>
      <c r="H13" s="7">
        <v>656.6</v>
      </c>
      <c r="I13" s="7">
        <v>671</v>
      </c>
      <c r="J13" s="7">
        <v>418.8</v>
      </c>
      <c r="K13" s="7">
        <v>588.79999999999995</v>
      </c>
      <c r="L13" s="7">
        <v>738.3</v>
      </c>
      <c r="M13" s="7">
        <v>670.9</v>
      </c>
      <c r="N13" s="7">
        <v>1125</v>
      </c>
      <c r="O13" s="7">
        <v>1381.8</v>
      </c>
      <c r="P13" s="7">
        <v>1066.8</v>
      </c>
      <c r="Q13" s="7">
        <v>1728.1</v>
      </c>
      <c r="R13" s="7">
        <v>1344.4</v>
      </c>
      <c r="S13" s="7">
        <v>1817.3</v>
      </c>
      <c r="U13" s="7">
        <f>U11-U12</f>
        <v>2165.6657596608002</v>
      </c>
      <c r="V13" s="7">
        <f t="shared" ref="V13:Y13" si="14">V11-V12</f>
        <v>2559.8169279190661</v>
      </c>
      <c r="W13" s="7">
        <f t="shared" si="14"/>
        <v>3025.7036088003356</v>
      </c>
      <c r="X13" s="7">
        <f t="shared" si="14"/>
        <v>3576.3816656019967</v>
      </c>
      <c r="Y13" s="7">
        <f t="shared" si="14"/>
        <v>4227.2831287415602</v>
      </c>
    </row>
    <row r="14" spans="1:25" x14ac:dyDescent="0.2">
      <c r="T14" s="5" t="s">
        <v>33</v>
      </c>
    </row>
    <row r="15" spans="1:25" x14ac:dyDescent="0.2">
      <c r="B15" s="7" t="s">
        <v>22</v>
      </c>
      <c r="C15" s="8"/>
      <c r="D15" s="8">
        <f>(D3/C3)-1</f>
        <v>0.45622503328894815</v>
      </c>
      <c r="E15" s="8">
        <f t="shared" ref="E15:S15" si="15">(E3/D3)-1</f>
        <v>0.20265173162647176</v>
      </c>
      <c r="F15" s="8">
        <f t="shared" si="15"/>
        <v>0.34290058924158906</v>
      </c>
      <c r="G15" s="8">
        <f t="shared" si="15"/>
        <v>0.24366595895258314</v>
      </c>
      <c r="H15" s="8">
        <f t="shared" si="15"/>
        <v>0.23985659819040595</v>
      </c>
      <c r="I15" s="8">
        <f t="shared" si="15"/>
        <v>3.9608959060032811E-2</v>
      </c>
      <c r="J15" s="8">
        <f t="shared" si="15"/>
        <v>-5.889364707959921E-2</v>
      </c>
      <c r="K15" s="8">
        <f t="shared" si="15"/>
        <v>0.11854388516207726</v>
      </c>
      <c r="L15" s="8">
        <f t="shared" si="15"/>
        <v>0.13508639490018459</v>
      </c>
      <c r="M15" s="8">
        <f t="shared" si="15"/>
        <v>0.1595048956216516</v>
      </c>
      <c r="N15" s="8">
        <f t="shared" si="15"/>
        <v>0.18673124721177747</v>
      </c>
      <c r="O15" s="8">
        <f t="shared" si="15"/>
        <v>0.20254014284947108</v>
      </c>
      <c r="P15" s="8">
        <f t="shared" si="15"/>
        <v>-2.6817014625432734E-2</v>
      </c>
      <c r="Q15" s="11">
        <f t="shared" si="15"/>
        <v>0.31013674743024988</v>
      </c>
      <c r="R15" s="11">
        <f t="shared" si="15"/>
        <v>8.9683192938827538E-2</v>
      </c>
      <c r="S15" s="11">
        <f t="shared" si="15"/>
        <v>0.1449487319597571</v>
      </c>
      <c r="T15" s="13">
        <f>AVERAGE(Q15:S15)</f>
        <v>0.18158955744294483</v>
      </c>
      <c r="U15" s="11">
        <v>0.182</v>
      </c>
      <c r="V15" s="11">
        <v>0.182</v>
      </c>
      <c r="W15" s="11">
        <v>0.182</v>
      </c>
      <c r="X15" s="11">
        <v>0.182</v>
      </c>
      <c r="Y15" s="11">
        <v>0.182</v>
      </c>
    </row>
    <row r="16" spans="1:25" x14ac:dyDescent="0.2">
      <c r="B16" s="7" t="s">
        <v>23</v>
      </c>
      <c r="C16" s="8">
        <f>C5/C3</f>
        <v>0.6895805592543276</v>
      </c>
      <c r="D16" s="8">
        <f>D5/D3</f>
        <v>0.70956680763515823</v>
      </c>
      <c r="E16" s="8">
        <f t="shared" ref="E16:S16" si="16">E5/E3</f>
        <v>0.71383767344611293</v>
      </c>
      <c r="F16" s="8">
        <f t="shared" si="16"/>
        <v>0.72894550601556973</v>
      </c>
      <c r="G16" s="8">
        <f t="shared" si="16"/>
        <v>0.72486200421100555</v>
      </c>
      <c r="H16" s="8">
        <f t="shared" si="16"/>
        <v>0.72071782632641812</v>
      </c>
      <c r="I16" s="8">
        <f t="shared" si="16"/>
        <v>0.7038099863140701</v>
      </c>
      <c r="J16" s="8">
        <f t="shared" si="16"/>
        <v>0.66322653281418587</v>
      </c>
      <c r="K16" s="8">
        <f t="shared" si="16"/>
        <v>0.66175977185036072</v>
      </c>
      <c r="L16" s="8">
        <f t="shared" si="16"/>
        <v>0.69939035654904858</v>
      </c>
      <c r="M16" s="8">
        <f t="shared" si="16"/>
        <v>0.70167612006882929</v>
      </c>
      <c r="N16" s="8">
        <f t="shared" si="16"/>
        <v>0.69923742011707213</v>
      </c>
      <c r="O16" s="8">
        <f t="shared" si="16"/>
        <v>0.69447359607011272</v>
      </c>
      <c r="P16" s="8">
        <f t="shared" si="16"/>
        <v>0.65647944199706321</v>
      </c>
      <c r="Q16" s="11">
        <f t="shared" si="16"/>
        <v>0.69324530218384961</v>
      </c>
      <c r="R16" s="11">
        <f t="shared" si="16"/>
        <v>0.67435955128411174</v>
      </c>
      <c r="S16" s="11">
        <f t="shared" si="16"/>
        <v>0.66387333136817284</v>
      </c>
      <c r="T16" s="13">
        <f t="shared" ref="T16:T20" si="17">AVERAGE(Q16:S16)</f>
        <v>0.67715939494537791</v>
      </c>
      <c r="U16" s="11">
        <v>0.67700000000000005</v>
      </c>
      <c r="V16" s="11">
        <v>0.67700000000000005</v>
      </c>
      <c r="W16" s="11">
        <v>0.67700000000000005</v>
      </c>
      <c r="X16" s="11">
        <v>0.67700000000000005</v>
      </c>
      <c r="Y16" s="11">
        <v>0.67700000000000005</v>
      </c>
    </row>
    <row r="17" spans="1:25" x14ac:dyDescent="0.2">
      <c r="B17" s="7" t="s">
        <v>24</v>
      </c>
      <c r="C17" s="8">
        <f>C9/C3</f>
        <v>0.34404127829560588</v>
      </c>
      <c r="D17" s="8">
        <f>D9/D3</f>
        <v>0.35524059892559151</v>
      </c>
      <c r="E17" s="8">
        <f t="shared" ref="E17:S17" si="18">E9/E3</f>
        <v>0.35867705759361335</v>
      </c>
      <c r="F17" s="8">
        <f t="shared" si="18"/>
        <v>0.39292285916489739</v>
      </c>
      <c r="G17" s="8">
        <f t="shared" si="18"/>
        <v>0.3953792750241848</v>
      </c>
      <c r="H17" s="8">
        <f t="shared" si="18"/>
        <v>0.40302001101523771</v>
      </c>
      <c r="I17" s="8">
        <f t="shared" si="18"/>
        <v>0.37636307447794803</v>
      </c>
      <c r="J17" s="8">
        <f t="shared" si="18"/>
        <v>0.25557067129521038</v>
      </c>
      <c r="K17" s="8">
        <f t="shared" si="18"/>
        <v>0.31035061231337024</v>
      </c>
      <c r="L17" s="8">
        <f t="shared" si="18"/>
        <v>0.3508959911324589</v>
      </c>
      <c r="M17" s="8">
        <f t="shared" si="18"/>
        <v>0.33869734242559435</v>
      </c>
      <c r="N17" s="8">
        <f t="shared" si="18"/>
        <v>0.32205574351538591</v>
      </c>
      <c r="O17" s="8">
        <f t="shared" si="18"/>
        <v>0.30691079602545496</v>
      </c>
      <c r="P17" s="8">
        <f t="shared" si="18"/>
        <v>0.24086820851688695</v>
      </c>
      <c r="Q17" s="11">
        <f t="shared" si="18"/>
        <v>0.31890860054990278</v>
      </c>
      <c r="R17" s="11">
        <f t="shared" si="18"/>
        <v>0.25346340522644722</v>
      </c>
      <c r="S17" s="11">
        <f t="shared" si="18"/>
        <v>0.24800325655170477</v>
      </c>
      <c r="T17" s="13">
        <f t="shared" si="17"/>
        <v>0.27345842077601823</v>
      </c>
      <c r="U17" s="11">
        <v>0.27300000000000002</v>
      </c>
      <c r="V17" s="11">
        <v>0.27300000000000002</v>
      </c>
      <c r="W17" s="11">
        <v>0.27300000000000002</v>
      </c>
      <c r="X17" s="11">
        <v>0.27300000000000002</v>
      </c>
      <c r="Y17" s="11">
        <v>0.27300000000000002</v>
      </c>
    </row>
    <row r="18" spans="1:25" x14ac:dyDescent="0.2">
      <c r="B18" s="7" t="s">
        <v>25</v>
      </c>
      <c r="C18" s="8">
        <f>C12/C11</f>
        <v>0.39080944350758856</v>
      </c>
      <c r="D18" s="8">
        <f>D12/D11</f>
        <v>0.39051312649164682</v>
      </c>
      <c r="E18" s="8">
        <f t="shared" ref="E18:S18" si="19">E12/E11</f>
        <v>0.41277455188083817</v>
      </c>
      <c r="F18" s="8">
        <f t="shared" si="19"/>
        <v>0.33286737724969423</v>
      </c>
      <c r="G18" s="8">
        <f t="shared" si="19"/>
        <v>0.30238128786811325</v>
      </c>
      <c r="H18" s="8">
        <f t="shared" si="19"/>
        <v>0.26546593578700078</v>
      </c>
      <c r="I18" s="8">
        <f t="shared" si="19"/>
        <v>0.22953266735560915</v>
      </c>
      <c r="J18" s="8">
        <f t="shared" si="19"/>
        <v>0.23715846994535517</v>
      </c>
      <c r="K18" s="8">
        <f t="shared" si="19"/>
        <v>0.22373104812129202</v>
      </c>
      <c r="L18" s="8">
        <f t="shared" si="19"/>
        <v>0.25068507053689232</v>
      </c>
      <c r="M18" s="8">
        <f t="shared" si="19"/>
        <v>0.3927407675597393</v>
      </c>
      <c r="N18" s="8">
        <f t="shared" si="19"/>
        <v>0.12075029308323564</v>
      </c>
      <c r="O18" s="8">
        <f t="shared" si="19"/>
        <v>8.0149114631873256E-2</v>
      </c>
      <c r="P18" s="8">
        <f t="shared" si="19"/>
        <v>0.11615575807787903</v>
      </c>
      <c r="Q18" s="11">
        <f t="shared" si="19"/>
        <v>8.5806485743003758E-2</v>
      </c>
      <c r="R18" s="11">
        <f t="shared" si="19"/>
        <v>0.1633059497137167</v>
      </c>
      <c r="S18" s="11">
        <f t="shared" si="19"/>
        <v>7.2285466333146142E-2</v>
      </c>
      <c r="T18" s="13">
        <f t="shared" si="17"/>
        <v>0.10713263392995553</v>
      </c>
      <c r="U18" s="11">
        <v>0.107</v>
      </c>
      <c r="V18" s="11">
        <v>0.107</v>
      </c>
      <c r="W18" s="11">
        <v>0.107</v>
      </c>
      <c r="X18" s="11">
        <v>0.107</v>
      </c>
      <c r="Y18" s="11">
        <v>0.107</v>
      </c>
    </row>
    <row r="19" spans="1:25" x14ac:dyDescent="0.2">
      <c r="B19" s="7" t="s">
        <v>26</v>
      </c>
      <c r="C19" s="8">
        <f>C10/C3</f>
        <v>5.0765645805592549E-2</v>
      </c>
      <c r="D19" s="8">
        <f>D10/D3</f>
        <v>2.7888901588752998E-2</v>
      </c>
      <c r="E19" s="8">
        <f t="shared" ref="E19:S19" si="20">E10/E3</f>
        <v>1.7772286637521381E-2</v>
      </c>
      <c r="F19" s="8">
        <f t="shared" si="20"/>
        <v>1.2101910828025478E-2</v>
      </c>
      <c r="G19" s="8">
        <f t="shared" si="20"/>
        <v>8.4789165196608434E-3</v>
      </c>
      <c r="H19" s="8">
        <f t="shared" si="20"/>
        <v>7.2516981824857713E-3</v>
      </c>
      <c r="I19" s="8">
        <f t="shared" si="20"/>
        <v>8.123261666151604E-3</v>
      </c>
      <c r="J19" s="8">
        <f t="shared" si="20"/>
        <v>1.9702584791480978E-3</v>
      </c>
      <c r="K19" s="8">
        <f t="shared" si="20"/>
        <v>7.7587653078342554E-3</v>
      </c>
      <c r="L19" s="8">
        <f t="shared" si="20"/>
        <v>1.3153519305375947E-2</v>
      </c>
      <c r="M19" s="8">
        <f t="shared" si="20"/>
        <v>1.3351602829647568E-2</v>
      </c>
      <c r="N19" s="8">
        <f t="shared" si="20"/>
        <v>2.1507974867085548E-2</v>
      </c>
      <c r="O19" s="8">
        <f t="shared" si="20"/>
        <v>2.8514011387741432E-2</v>
      </c>
      <c r="P19" s="8">
        <f t="shared" si="20"/>
        <v>3.6068281938325994E-2</v>
      </c>
      <c r="Q19" s="11">
        <f t="shared" si="20"/>
        <v>1.2136389905605855E-2</v>
      </c>
      <c r="R19" s="11">
        <f t="shared" si="20"/>
        <v>4.7732313329690466E-3</v>
      </c>
      <c r="S19" s="11">
        <f t="shared" si="20"/>
        <v>2.6964809589983294E-2</v>
      </c>
      <c r="T19" s="13">
        <f t="shared" si="17"/>
        <v>1.4624810276186067E-2</v>
      </c>
      <c r="U19" s="11">
        <v>1.4999999999999999E-2</v>
      </c>
      <c r="V19" s="11">
        <v>1.4999999999999999E-2</v>
      </c>
      <c r="W19" s="11">
        <v>1.4999999999999999E-2</v>
      </c>
      <c r="X19" s="11">
        <v>1.4999999999999999E-2</v>
      </c>
      <c r="Y19" s="11">
        <v>1.4999999999999999E-2</v>
      </c>
    </row>
    <row r="20" spans="1:25" x14ac:dyDescent="0.2">
      <c r="B20" s="7" t="s">
        <v>27</v>
      </c>
      <c r="C20" s="8">
        <f>C8/C3</f>
        <v>8.1391478029294279E-2</v>
      </c>
      <c r="D20" s="8">
        <f>D8/D3</f>
        <v>9.0753228940450348E-2</v>
      </c>
      <c r="E20" s="8">
        <f t="shared" ref="E20:S20" si="21">E8/E3</f>
        <v>9.0382056643223713E-2</v>
      </c>
      <c r="F20" s="8">
        <f t="shared" si="21"/>
        <v>8.209483368719038E-2</v>
      </c>
      <c r="G20" s="8">
        <f t="shared" si="21"/>
        <v>7.978148295680873E-2</v>
      </c>
      <c r="H20" s="8">
        <f t="shared" si="21"/>
        <v>7.8024600697631716E-2</v>
      </c>
      <c r="I20" s="8">
        <f t="shared" si="21"/>
        <v>7.4036466381175225E-2</v>
      </c>
      <c r="J20" s="8">
        <f t="shared" si="21"/>
        <v>8.3501430782943198E-2</v>
      </c>
      <c r="K20" s="8">
        <f t="shared" si="21"/>
        <v>8.278812279818823E-2</v>
      </c>
      <c r="L20" s="8">
        <f t="shared" si="21"/>
        <v>8.8527618695732488E-2</v>
      </c>
      <c r="M20" s="8">
        <f t="shared" si="21"/>
        <v>0.10470970620100696</v>
      </c>
      <c r="N20" s="8">
        <f t="shared" si="21"/>
        <v>0.11226572149723432</v>
      </c>
      <c r="O20" s="8">
        <f t="shared" si="21"/>
        <v>0.12443898626772355</v>
      </c>
      <c r="P20" s="8">
        <f t="shared" si="21"/>
        <v>0.13654093245227608</v>
      </c>
      <c r="Q20" s="11">
        <f t="shared" si="21"/>
        <v>0.11751107686380273</v>
      </c>
      <c r="R20" s="11">
        <f t="shared" si="21"/>
        <v>0.14126836167272028</v>
      </c>
      <c r="S20" s="11">
        <f t="shared" si="21"/>
        <v>0.14020016563495738</v>
      </c>
      <c r="T20" s="13">
        <f t="shared" si="17"/>
        <v>0.13299320139049345</v>
      </c>
      <c r="U20" s="11">
        <v>0.13300000000000001</v>
      </c>
      <c r="V20" s="11">
        <v>0.13300000000000001</v>
      </c>
      <c r="W20" s="11">
        <v>0.13300000000000001</v>
      </c>
      <c r="X20" s="11">
        <v>0.13300000000000001</v>
      </c>
      <c r="Y20" s="11">
        <v>0.13300000000000001</v>
      </c>
    </row>
    <row r="22" spans="1:25" s="7" customFormat="1" x14ac:dyDescent="0.2">
      <c r="A22" s="5"/>
      <c r="B22" s="7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>
        <v>282.8</v>
      </c>
      <c r="R22" s="7">
        <v>338</v>
      </c>
      <c r="S22" s="7">
        <v>401.6</v>
      </c>
      <c r="U22" s="7">
        <f>U3*U23</f>
        <v>471.55842720000004</v>
      </c>
      <c r="V22" s="7">
        <f t="shared" ref="V22:Y22" si="22">V3*V23</f>
        <v>557.38206095040005</v>
      </c>
      <c r="W22" s="7">
        <f t="shared" si="22"/>
        <v>658.8255960433728</v>
      </c>
      <c r="X22" s="7">
        <f t="shared" si="22"/>
        <v>778.73185452326663</v>
      </c>
      <c r="Y22" s="7">
        <f t="shared" si="22"/>
        <v>920.46105204650121</v>
      </c>
    </row>
    <row r="23" spans="1:25" s="11" customFormat="1" x14ac:dyDescent="0.2">
      <c r="A23" s="5"/>
      <c r="B23" s="7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1">
        <f t="shared" ref="Q23:R23" si="23">Q22/Q3</f>
        <v>4.9526277998633995E-2</v>
      </c>
      <c r="R23" s="11">
        <f t="shared" si="23"/>
        <v>5.4321622577223491E-2</v>
      </c>
      <c r="S23" s="11">
        <f>S22/S3</f>
        <v>5.6372032958549152E-2</v>
      </c>
      <c r="U23" s="11">
        <v>5.6000000000000001E-2</v>
      </c>
      <c r="V23" s="11">
        <v>5.6000000000000001E-2</v>
      </c>
      <c r="W23" s="11">
        <v>5.6000000000000001E-2</v>
      </c>
      <c r="X23" s="11">
        <v>5.6000000000000001E-2</v>
      </c>
      <c r="Y23" s="11">
        <v>5.6000000000000001E-2</v>
      </c>
    </row>
    <row r="24" spans="1:25" s="7" customFormat="1" x14ac:dyDescent="0.2">
      <c r="A24" s="5"/>
      <c r="B24" s="7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R24" s="7">
        <f>942.1+893.2+299.8-1422.1</f>
        <v>713.00000000000045</v>
      </c>
      <c r="S24" s="7">
        <f>1130.2+1220.6+314-1658.7</f>
        <v>1006.1000000000001</v>
      </c>
      <c r="U24" s="7">
        <f>U3*U25</f>
        <v>1187.3167541999999</v>
      </c>
      <c r="V24" s="7">
        <f t="shared" ref="V24:Y24" si="24">V3*V25</f>
        <v>1403.4084034644</v>
      </c>
      <c r="W24" s="7">
        <f t="shared" si="24"/>
        <v>1658.8287328949207</v>
      </c>
      <c r="X24" s="7">
        <f t="shared" si="24"/>
        <v>1960.7355622817961</v>
      </c>
      <c r="Y24" s="7">
        <f t="shared" si="24"/>
        <v>2317.589434617083</v>
      </c>
    </row>
    <row r="25" spans="1:25" s="11" customFormat="1" x14ac:dyDescent="0.2">
      <c r="A25" s="5"/>
      <c r="B25" s="7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R25" s="11">
        <f>R24/R3</f>
        <v>0.11458969496319638</v>
      </c>
      <c r="S25" s="11">
        <f>S24/S3</f>
        <v>0.14122485647309838</v>
      </c>
      <c r="U25" s="11">
        <v>0.14099999999999999</v>
      </c>
      <c r="V25" s="11">
        <v>0.14099999999999999</v>
      </c>
      <c r="W25" s="11">
        <v>0.14099999999999999</v>
      </c>
      <c r="X25" s="11">
        <v>0.14099999999999999</v>
      </c>
      <c r="Y25" s="11">
        <v>0.14099999999999999</v>
      </c>
    </row>
    <row r="26" spans="1:25" x14ac:dyDescent="0.2">
      <c r="B26" s="7" t="s">
        <v>31</v>
      </c>
      <c r="S26" s="12">
        <f>R24-S24</f>
        <v>-293.09999999999968</v>
      </c>
      <c r="U26" s="12">
        <f>S24-U24</f>
        <v>-181.21675419999974</v>
      </c>
      <c r="V26" s="12">
        <f t="shared" ref="V26:Y26" si="25">U24-V24</f>
        <v>-216.09164926440008</v>
      </c>
      <c r="W26" s="12">
        <f t="shared" si="25"/>
        <v>-255.42032943052072</v>
      </c>
      <c r="X26" s="12">
        <f t="shared" si="25"/>
        <v>-301.90682938687542</v>
      </c>
      <c r="Y26" s="12">
        <f t="shared" si="25"/>
        <v>-356.85387233528695</v>
      </c>
    </row>
    <row r="27" spans="1:25" s="7" customFormat="1" x14ac:dyDescent="0.2">
      <c r="A27" s="5"/>
      <c r="B27" s="7" t="s">
        <v>32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>
        <v>339.5</v>
      </c>
      <c r="R27" s="7">
        <v>532.4</v>
      </c>
      <c r="S27" s="7">
        <v>1064.2</v>
      </c>
      <c r="U27" s="7">
        <f>U3*U28</f>
        <v>1254.6822437999999</v>
      </c>
      <c r="V27" s="7">
        <f t="shared" ref="V27:Y27" si="26">V3*V28</f>
        <v>1483.0344121716</v>
      </c>
      <c r="W27" s="7">
        <f t="shared" si="26"/>
        <v>1752.946675186831</v>
      </c>
      <c r="X27" s="7">
        <f t="shared" si="26"/>
        <v>2071.9829700708342</v>
      </c>
      <c r="Y27" s="7">
        <f t="shared" si="26"/>
        <v>2449.0838706237264</v>
      </c>
    </row>
    <row r="28" spans="1:25" s="11" customFormat="1" x14ac:dyDescent="0.2">
      <c r="A28" s="5"/>
      <c r="B28" s="7" t="s">
        <v>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1">
        <f t="shared" ref="Q28:R28" si="27">Q27/Q3</f>
        <v>5.9456051557766058E-2</v>
      </c>
      <c r="R28" s="11">
        <f t="shared" si="27"/>
        <v>8.5564591302111789E-2</v>
      </c>
      <c r="S28" s="11">
        <f>S27/S3</f>
        <v>0.14938027259583667</v>
      </c>
      <c r="U28" s="11">
        <v>0.14899999999999999</v>
      </c>
      <c r="V28" s="11">
        <v>0.14899999999999999</v>
      </c>
      <c r="W28" s="11">
        <v>0.14899999999999999</v>
      </c>
      <c r="X28" s="11">
        <v>0.14899999999999999</v>
      </c>
      <c r="Y28" s="11">
        <v>0.14899999999999999</v>
      </c>
    </row>
    <row r="30" spans="1:25" x14ac:dyDescent="0.2">
      <c r="B30" s="5" t="s">
        <v>34</v>
      </c>
      <c r="Q30" s="7">
        <f>Q9</f>
        <v>1821</v>
      </c>
      <c r="R30" s="7">
        <f t="shared" ref="R30:Y30" si="28">R9</f>
        <v>1577.1</v>
      </c>
      <c r="S30" s="7">
        <f t="shared" si="28"/>
        <v>1766.8</v>
      </c>
      <c r="T30" s="7"/>
      <c r="U30" s="7">
        <f t="shared" si="28"/>
        <v>2298.8473326000003</v>
      </c>
      <c r="V30" s="7">
        <f t="shared" si="28"/>
        <v>2717.2375471332002</v>
      </c>
      <c r="W30" s="7">
        <f t="shared" si="28"/>
        <v>3211.7747807114424</v>
      </c>
      <c r="X30" s="7">
        <f t="shared" si="28"/>
        <v>3796.3177908009252</v>
      </c>
      <c r="Y30" s="7">
        <f t="shared" si="28"/>
        <v>4487.2476287266936</v>
      </c>
    </row>
    <row r="31" spans="1:25" x14ac:dyDescent="0.2">
      <c r="B31" s="5" t="s">
        <v>35</v>
      </c>
      <c r="Q31" s="7">
        <f>Q30*Q18</f>
        <v>156.25361053800984</v>
      </c>
      <c r="R31" s="7">
        <f t="shared" ref="R31:Y31" si="29">R30*R18</f>
        <v>257.54981329350261</v>
      </c>
      <c r="S31" s="7">
        <f t="shared" si="29"/>
        <v>127.7139619174026</v>
      </c>
      <c r="T31" s="7"/>
      <c r="U31" s="7">
        <f t="shared" si="29"/>
        <v>245.97666458820004</v>
      </c>
      <c r="V31" s="7">
        <f t="shared" si="29"/>
        <v>290.74441754325244</v>
      </c>
      <c r="W31" s="7">
        <f t="shared" si="29"/>
        <v>343.65990153612432</v>
      </c>
      <c r="X31" s="7">
        <f t="shared" si="29"/>
        <v>406.20600361569899</v>
      </c>
      <c r="Y31" s="7">
        <f t="shared" si="29"/>
        <v>480.13549627375619</v>
      </c>
    </row>
    <row r="32" spans="1:25" x14ac:dyDescent="0.2">
      <c r="B32" s="5" t="s">
        <v>36</v>
      </c>
      <c r="Q32" s="7">
        <f>Q30-Q31</f>
        <v>1664.7463894619902</v>
      </c>
      <c r="R32" s="7">
        <f t="shared" ref="R32:Y32" si="30">R30-R31</f>
        <v>1319.5501867064972</v>
      </c>
      <c r="S32" s="7">
        <f t="shared" si="30"/>
        <v>1639.0860380825973</v>
      </c>
      <c r="T32" s="7"/>
      <c r="U32" s="7">
        <f t="shared" si="30"/>
        <v>2052.8706680118003</v>
      </c>
      <c r="V32" s="7">
        <f t="shared" si="30"/>
        <v>2426.4931295899478</v>
      </c>
      <c r="W32" s="7">
        <f t="shared" si="30"/>
        <v>2868.114879175318</v>
      </c>
      <c r="X32" s="7">
        <f t="shared" si="30"/>
        <v>3390.1117871852261</v>
      </c>
      <c r="Y32" s="7">
        <f t="shared" si="30"/>
        <v>4007.1121324529377</v>
      </c>
    </row>
    <row r="33" spans="2:25" ht="15" x14ac:dyDescent="0.25">
      <c r="B33" s="14" t="s">
        <v>37</v>
      </c>
      <c r="U33" s="15">
        <f>U32+U22+U26-U27</f>
        <v>1088.5300972118007</v>
      </c>
      <c r="V33" s="15">
        <f t="shared" ref="V33:Y33" si="31">V32+V22+V26-V27</f>
        <v>1284.7491291043477</v>
      </c>
      <c r="W33" s="15">
        <f t="shared" si="31"/>
        <v>1518.5734706013393</v>
      </c>
      <c r="X33" s="15">
        <f t="shared" si="31"/>
        <v>1794.9538422507835</v>
      </c>
      <c r="Y33" s="15">
        <f t="shared" si="31"/>
        <v>2121.6354415404257</v>
      </c>
    </row>
    <row r="35" spans="2:25" x14ac:dyDescent="0.2">
      <c r="B35" s="5" t="s">
        <v>38</v>
      </c>
      <c r="Q35" s="6">
        <f ca="1">TODAY()</f>
        <v>45560</v>
      </c>
    </row>
    <row r="36" spans="2:25" x14ac:dyDescent="0.2">
      <c r="B36" s="5" t="s">
        <v>39</v>
      </c>
      <c r="Q36" s="8">
        <f ca="1">(U1-v)/365</f>
        <v>0.26575342465753427</v>
      </c>
    </row>
    <row r="37" spans="2:25" x14ac:dyDescent="0.2">
      <c r="B37" s="5" t="s">
        <v>40</v>
      </c>
      <c r="Q37" s="8">
        <v>0.08</v>
      </c>
    </row>
    <row r="38" spans="2:25" x14ac:dyDescent="0.2">
      <c r="B38" s="5" t="s">
        <v>41</v>
      </c>
      <c r="Q38" s="8">
        <v>0.02</v>
      </c>
    </row>
    <row r="40" spans="2:25" ht="15" x14ac:dyDescent="0.25">
      <c r="B40" s="14" t="s">
        <v>42</v>
      </c>
      <c r="U40" s="16">
        <f ca="1">Q36*U33/(1+d)^((U1-v)/365)</f>
        <v>283.42413760537261</v>
      </c>
      <c r="V40" s="16">
        <f ca="1">V33/(1+d)^((V1-v)/365)</f>
        <v>1165.4995199788359</v>
      </c>
      <c r="W40" s="16">
        <f ca="1">W33/(1+d)^((W1-v)/365)</f>
        <v>1275.5744746435041</v>
      </c>
      <c r="X40" s="16">
        <f ca="1">X33/(1+d)^((X1-v)/365)</f>
        <v>1396.0453972487239</v>
      </c>
      <c r="Y40" s="16">
        <f ca="1">Y33/(1+d)^((Y1-v)/365)</f>
        <v>1527.5720033839123</v>
      </c>
    </row>
    <row r="42" spans="2:25" x14ac:dyDescent="0.2">
      <c r="B42" s="5" t="s">
        <v>43</v>
      </c>
      <c r="Q42" s="7">
        <f>Y33*(1+d)</f>
        <v>2291.36627686366</v>
      </c>
    </row>
    <row r="43" spans="2:25" x14ac:dyDescent="0.2">
      <c r="B43" s="5" t="s">
        <v>44</v>
      </c>
      <c r="Q43" s="7">
        <f>Q42/(d-g)</f>
        <v>38189.437947727667</v>
      </c>
    </row>
    <row r="44" spans="2:25" x14ac:dyDescent="0.2">
      <c r="B44" s="5" t="s">
        <v>45</v>
      </c>
      <c r="Q44" s="7">
        <f ca="1">Q43/(1+d)^((Y1-v)/365)</f>
        <v>27496.296060910423</v>
      </c>
    </row>
    <row r="45" spans="2:25" x14ac:dyDescent="0.2">
      <c r="B45" s="5" t="s">
        <v>46</v>
      </c>
      <c r="Q45" s="7">
        <f ca="1">SUM(U40:Y40)</f>
        <v>5648.115532860349</v>
      </c>
    </row>
    <row r="46" spans="2:25" x14ac:dyDescent="0.2">
      <c r="B46" s="5" t="s">
        <v>47</v>
      </c>
      <c r="Q46" s="7">
        <f ca="1">Q44+Q45</f>
        <v>33144.411593770768</v>
      </c>
    </row>
    <row r="47" spans="2:25" x14ac:dyDescent="0.2">
      <c r="B47" s="5" t="s">
        <v>4</v>
      </c>
      <c r="Q47" s="7">
        <f>Cash</f>
        <v>3036.7</v>
      </c>
    </row>
    <row r="48" spans="2:25" x14ac:dyDescent="0.2">
      <c r="B48" s="5" t="s">
        <v>5</v>
      </c>
      <c r="Q48" s="7">
        <f>Debt</f>
        <v>0</v>
      </c>
    </row>
    <row r="49" spans="2:17" x14ac:dyDescent="0.2">
      <c r="B49" s="5" t="s">
        <v>48</v>
      </c>
      <c r="Q49" s="7">
        <f ca="1">Q46-Q47+Q48</f>
        <v>30107.711593770768</v>
      </c>
    </row>
    <row r="50" spans="2:17" x14ac:dyDescent="0.2">
      <c r="B50" s="5" t="s">
        <v>49</v>
      </c>
      <c r="Q50" s="10">
        <f ca="1">Q49/Shares</f>
        <v>89.778895119100326</v>
      </c>
    </row>
    <row r="51" spans="2:17" x14ac:dyDescent="0.2">
      <c r="B51" s="5" t="s">
        <v>50</v>
      </c>
      <c r="Q51" s="8">
        <f ca="1">(Q50/Price)-1</f>
        <v>-0.81465958893662194</v>
      </c>
    </row>
  </sheetData>
  <hyperlinks>
    <hyperlink ref="A1" location="Main!A1" display="Main" xr:uid="{084D4641-535B-4746-8E18-DC5D5ECA78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Model</vt:lpstr>
      <vt:lpstr>Cash</vt:lpstr>
      <vt:lpstr>d</vt:lpstr>
      <vt:lpstr>Debt</vt:lpstr>
      <vt:lpstr>g</vt:lpstr>
      <vt:lpstr>Price</vt:lpstr>
      <vt:lpstr>Shares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2024-09-25T21:21:54Z</dcterms:created>
  <dcterms:modified xsi:type="dcterms:W3CDTF">2024-09-25T21:47:52Z</dcterms:modified>
</cp:coreProperties>
</file>