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ayde\Dropbox\Jayden\Stocks\"/>
    </mc:Choice>
  </mc:AlternateContent>
  <xr:revisionPtr revIDLastSave="0" documentId="13_ncr:1_{F0AEC792-037C-41F5-8D12-80625FB4FEA7}" xr6:coauthVersionLast="47" xr6:coauthVersionMax="47" xr10:uidLastSave="{00000000-0000-0000-0000-000000000000}"/>
  <bookViews>
    <workbookView xWindow="-120" yWindow="-120" windowWidth="29040" windowHeight="15720" activeTab="1" xr2:uid="{13C20E77-2B08-4263-9DB3-C8FDC984228C}"/>
  </bookViews>
  <sheets>
    <sheet name="Main" sheetId="1" r:id="rId1"/>
    <sheet name="Model" sheetId="2" r:id="rId2"/>
  </sheets>
  <definedNames>
    <definedName name="Cash">Main!$G$5</definedName>
    <definedName name="d">Model!$P$34</definedName>
    <definedName name="Debt">Main!$G$6</definedName>
    <definedName name="g">Model!$P$35</definedName>
    <definedName name="Price">Main!$G$2</definedName>
    <definedName name="Shares">Main!$G$3</definedName>
    <definedName name="v">Model!$P$32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45" i="2" l="1"/>
  <c r="P44" i="2"/>
  <c r="P40" i="2"/>
  <c r="P39" i="2"/>
  <c r="P32" i="2"/>
  <c r="P33" i="2" s="1"/>
  <c r="T37" i="2" s="1"/>
  <c r="X30" i="2"/>
  <c r="W30" i="2"/>
  <c r="V30" i="2"/>
  <c r="U30" i="2"/>
  <c r="T30" i="2"/>
  <c r="T28" i="2"/>
  <c r="R28" i="2"/>
  <c r="X27" i="2"/>
  <c r="W27" i="2"/>
  <c r="V27" i="2"/>
  <c r="U27" i="2"/>
  <c r="T27" i="2"/>
  <c r="T29" i="2" s="1"/>
  <c r="R27" i="2"/>
  <c r="R29" i="2" s="1"/>
  <c r="Q27" i="2"/>
  <c r="Q28" i="2" s="1"/>
  <c r="P28" i="2"/>
  <c r="P29" i="2" s="1"/>
  <c r="P27" i="2"/>
  <c r="X24" i="2"/>
  <c r="W24" i="2"/>
  <c r="V24" i="2"/>
  <c r="U24" i="2"/>
  <c r="T24" i="2"/>
  <c r="X23" i="2"/>
  <c r="W23" i="2"/>
  <c r="V23" i="2"/>
  <c r="U23" i="2"/>
  <c r="T23" i="2"/>
  <c r="X21" i="2"/>
  <c r="W21" i="2"/>
  <c r="V21" i="2"/>
  <c r="U21" i="2"/>
  <c r="T21" i="2"/>
  <c r="X19" i="2"/>
  <c r="W19" i="2"/>
  <c r="V19" i="2"/>
  <c r="U19" i="2"/>
  <c r="T19" i="2"/>
  <c r="X8" i="2"/>
  <c r="W8" i="2"/>
  <c r="V8" i="2"/>
  <c r="U8" i="2"/>
  <c r="U9" i="2" s="1"/>
  <c r="X7" i="2"/>
  <c r="X9" i="2" s="1"/>
  <c r="W7" i="2"/>
  <c r="W9" i="2" s="1"/>
  <c r="V7" i="2"/>
  <c r="V9" i="2" s="1"/>
  <c r="U7" i="2"/>
  <c r="X6" i="2"/>
  <c r="W6" i="2"/>
  <c r="V6" i="2"/>
  <c r="U6" i="2"/>
  <c r="X5" i="2"/>
  <c r="W5" i="2"/>
  <c r="V5" i="2"/>
  <c r="U5" i="2"/>
  <c r="X4" i="2"/>
  <c r="W4" i="2"/>
  <c r="V4" i="2"/>
  <c r="U4" i="2"/>
  <c r="T9" i="2"/>
  <c r="T8" i="2"/>
  <c r="T6" i="2"/>
  <c r="T7" i="2"/>
  <c r="T4" i="2"/>
  <c r="T5" i="2"/>
  <c r="V3" i="2"/>
  <c r="W3" i="2" s="1"/>
  <c r="X3" i="2" s="1"/>
  <c r="U3" i="2"/>
  <c r="T3" i="2"/>
  <c r="V2" i="2"/>
  <c r="W2" i="2" s="1"/>
  <c r="X2" i="2" s="1"/>
  <c r="U2" i="2"/>
  <c r="P2" i="2"/>
  <c r="Q2" i="2"/>
  <c r="T2" i="2"/>
  <c r="R23" i="2"/>
  <c r="Q22" i="2"/>
  <c r="R22" i="2"/>
  <c r="Q21" i="2"/>
  <c r="R21" i="2"/>
  <c r="Q25" i="2"/>
  <c r="P25" i="2"/>
  <c r="R25" i="2"/>
  <c r="Q20" i="2"/>
  <c r="P20" i="2"/>
  <c r="R20" i="2"/>
  <c r="S17" i="2"/>
  <c r="S16" i="2"/>
  <c r="S15" i="2"/>
  <c r="S14" i="2"/>
  <c r="S13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7" i="2"/>
  <c r="D16" i="2"/>
  <c r="D15" i="2"/>
  <c r="D14" i="2"/>
  <c r="C17" i="2"/>
  <c r="C16" i="2"/>
  <c r="C15" i="2"/>
  <c r="C14" i="2"/>
  <c r="D13" i="2"/>
  <c r="D2" i="2"/>
  <c r="E2" i="2" s="1"/>
  <c r="F2" i="2" s="1"/>
  <c r="G2" i="2" s="1"/>
  <c r="H2" i="2" s="1"/>
  <c r="I2" i="2" s="1"/>
  <c r="J2" i="2" s="1"/>
  <c r="K2" i="2" s="1"/>
  <c r="L2" i="2" s="1"/>
  <c r="M2" i="2" s="1"/>
  <c r="N2" i="2" s="1"/>
  <c r="O2" i="2" s="1"/>
  <c r="H2" i="1"/>
  <c r="G7" i="1"/>
  <c r="G4" i="1"/>
  <c r="G6" i="1"/>
  <c r="P41" i="2" l="1"/>
  <c r="V37" i="2"/>
  <c r="U37" i="2"/>
  <c r="W37" i="2"/>
  <c r="X37" i="2"/>
  <c r="P42" i="2"/>
  <c r="W29" i="2"/>
  <c r="X29" i="2"/>
  <c r="Q29" i="2"/>
  <c r="U28" i="2"/>
  <c r="U29" i="2" s="1"/>
  <c r="V28" i="2"/>
  <c r="V29" i="2" s="1"/>
  <c r="W28" i="2"/>
  <c r="X28" i="2"/>
  <c r="V10" i="2"/>
  <c r="V11" i="2" s="1"/>
  <c r="T11" i="2"/>
  <c r="X10" i="2"/>
  <c r="X11" i="2" s="1"/>
  <c r="U10" i="2"/>
  <c r="U11" i="2"/>
  <c r="W11" i="2"/>
  <c r="W10" i="2"/>
  <c r="T10" i="2"/>
  <c r="P43" i="2" l="1"/>
  <c r="P46" i="2" s="1"/>
  <c r="P47" i="2" s="1"/>
  <c r="P48" i="2" s="1"/>
</calcChain>
</file>

<file path=xl/sharedStrings.xml><?xml version="1.0" encoding="utf-8"?>
<sst xmlns="http://schemas.openxmlformats.org/spreadsheetml/2006/main" count="52" uniqueCount="46">
  <si>
    <t>Target Corp.</t>
  </si>
  <si>
    <t>Price</t>
  </si>
  <si>
    <t>Shares</t>
  </si>
  <si>
    <t>MC</t>
  </si>
  <si>
    <t>Cash</t>
  </si>
  <si>
    <t>Debt</t>
  </si>
  <si>
    <t>EV</t>
  </si>
  <si>
    <t>Main</t>
  </si>
  <si>
    <t>Other Income</t>
  </si>
  <si>
    <t>Net Income</t>
  </si>
  <si>
    <t>Revenue</t>
  </si>
  <si>
    <t>COGS</t>
  </si>
  <si>
    <t>Gross Profit</t>
  </si>
  <si>
    <t>OpEx</t>
  </si>
  <si>
    <t>EBIT</t>
  </si>
  <si>
    <t>EBT</t>
  </si>
  <si>
    <t>Taxes</t>
  </si>
  <si>
    <t>Revenue Growth y/y</t>
  </si>
  <si>
    <t>Gross Margin</t>
  </si>
  <si>
    <t>Operating Margin</t>
  </si>
  <si>
    <t>Tax Rate</t>
  </si>
  <si>
    <t>Other Income % of Rev</t>
  </si>
  <si>
    <t>D&amp;A</t>
  </si>
  <si>
    <t>% of Revenue</t>
  </si>
  <si>
    <t>Working Capital</t>
  </si>
  <si>
    <t>CIWC</t>
  </si>
  <si>
    <t>CapEx</t>
  </si>
  <si>
    <t>AVG</t>
  </si>
  <si>
    <t>Q2 25</t>
  </si>
  <si>
    <t>Operating Income</t>
  </si>
  <si>
    <t>Operating Taxes</t>
  </si>
  <si>
    <t>NOPAT</t>
  </si>
  <si>
    <t>UFCF</t>
  </si>
  <si>
    <t>Valuation Date</t>
  </si>
  <si>
    <t>Stub %</t>
  </si>
  <si>
    <t>Discount Rate</t>
  </si>
  <si>
    <t>TGR</t>
  </si>
  <si>
    <t>PV of UFCF</t>
  </si>
  <si>
    <t>Final FCF</t>
  </si>
  <si>
    <t>Terminal Value</t>
  </si>
  <si>
    <t>PV of Terminal Value</t>
  </si>
  <si>
    <t>Sum of Stage 1 CF</t>
  </si>
  <si>
    <t>Enterprise Value</t>
  </si>
  <si>
    <t>Equity Value</t>
  </si>
  <si>
    <t>Share Price</t>
  </si>
  <si>
    <t>Implied Upside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</si>
</sst>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5" formatCode="_(* #,##0_);_(* \(#,##0\);_(* &quot;-&quot;??_);_(@_)"/>
    <numFmt numFmtId="170" formatCode="0.0%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theme="8" tint="0.3999755851924192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165" fontId="0" fillId="0" borderId="0" xfId="1" applyNumberFormat="1" applyFont="1"/>
    <xf numFmtId="14" fontId="0" fillId="0" borderId="0" xfId="0" applyNumberFormat="1"/>
    <xf numFmtId="0" fontId="3" fillId="0" borderId="0" xfId="3"/>
    <xf numFmtId="9" fontId="0" fillId="0" borderId="0" xfId="2" applyFont="1"/>
    <xf numFmtId="170" fontId="0" fillId="0" borderId="0" xfId="2" applyNumberFormat="1" applyFont="1"/>
    <xf numFmtId="170" fontId="4" fillId="0" borderId="0" xfId="0" applyNumberFormat="1" applyFont="1"/>
    <xf numFmtId="165" fontId="2" fillId="0" borderId="0" xfId="1" applyNumberFormat="1" applyFont="1"/>
    <xf numFmtId="165" fontId="2" fillId="0" borderId="0" xfId="0" applyNumberFormat="1" applyFont="1"/>
    <xf numFmtId="0" fontId="2" fillId="0" borderId="0" xfId="0" applyFont="1"/>
    <xf numFmtId="43" fontId="2" fillId="0" borderId="0" xfId="1" applyFont="1"/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434E36-DBE0-42EC-B1EB-42839757C029}">
  <dimension ref="A1:H7"/>
  <sheetViews>
    <sheetView zoomScale="150" zoomScaleNormal="150" workbookViewId="0">
      <selection activeCell="H3" sqref="H3"/>
    </sheetView>
  </sheetViews>
  <sheetFormatPr defaultRowHeight="15" x14ac:dyDescent="0.25"/>
  <cols>
    <col min="7" max="7" width="11.7109375" bestFit="1" customWidth="1"/>
    <col min="8" max="8" width="9.5703125" bestFit="1" customWidth="1"/>
  </cols>
  <sheetData>
    <row r="1" spans="1:8" x14ac:dyDescent="0.25">
      <c r="A1" t="s">
        <v>0</v>
      </c>
    </row>
    <row r="2" spans="1:8" x14ac:dyDescent="0.25">
      <c r="F2" t="s">
        <v>1</v>
      </c>
      <c r="G2">
        <v>156.18</v>
      </c>
      <c r="H2" s="2">
        <f ca="1">TODAY()</f>
        <v>45560</v>
      </c>
    </row>
    <row r="3" spans="1:8" x14ac:dyDescent="0.25">
      <c r="F3" t="s">
        <v>2</v>
      </c>
      <c r="G3" s="1">
        <v>640.67399999999998</v>
      </c>
      <c r="H3" t="s">
        <v>28</v>
      </c>
    </row>
    <row r="4" spans="1:8" x14ac:dyDescent="0.25">
      <c r="F4" t="s">
        <v>3</v>
      </c>
      <c r="G4" s="1">
        <f>G2*G3</f>
        <v>100060.46532</v>
      </c>
    </row>
    <row r="5" spans="1:8" x14ac:dyDescent="0.25">
      <c r="F5" t="s">
        <v>4</v>
      </c>
      <c r="G5" s="1">
        <v>3497</v>
      </c>
      <c r="H5" t="s">
        <v>28</v>
      </c>
    </row>
    <row r="6" spans="1:8" x14ac:dyDescent="0.25">
      <c r="F6" t="s">
        <v>5</v>
      </c>
      <c r="G6" s="1">
        <f>1640+13654+3444</f>
        <v>18738</v>
      </c>
      <c r="H6" t="s">
        <v>28</v>
      </c>
    </row>
    <row r="7" spans="1:8" x14ac:dyDescent="0.25">
      <c r="F7" t="s">
        <v>6</v>
      </c>
      <c r="G7" s="1">
        <f>G4-G5+G6</f>
        <v>115301.46532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AC6D26-7F73-4DF9-A552-9CEFAC1B2BC4}">
  <dimension ref="A1:X48"/>
  <sheetViews>
    <sheetView tabSelected="1" topLeftCell="A24" zoomScale="140" zoomScaleNormal="140" workbookViewId="0">
      <selection activeCell="P47" sqref="B47:P47"/>
    </sheetView>
  </sheetViews>
  <sheetFormatPr defaultRowHeight="15" x14ac:dyDescent="0.25"/>
  <cols>
    <col min="2" max="2" width="23.5703125" bestFit="1" customWidth="1"/>
    <col min="3" max="15" width="11" hidden="1" customWidth="1"/>
    <col min="16" max="18" width="12.140625" bestFit="1" customWidth="1"/>
    <col min="20" max="20" width="12.42578125" bestFit="1" customWidth="1"/>
    <col min="21" max="21" width="12.140625" bestFit="1" customWidth="1"/>
    <col min="22" max="22" width="12.28515625" bestFit="1" customWidth="1"/>
    <col min="23" max="23" width="12.140625" bestFit="1" customWidth="1"/>
    <col min="24" max="24" width="12.28515625" bestFit="1" customWidth="1"/>
  </cols>
  <sheetData>
    <row r="1" spans="1:24" x14ac:dyDescent="0.25">
      <c r="A1" s="3" t="s">
        <v>7</v>
      </c>
      <c r="R1" s="2">
        <v>45325</v>
      </c>
      <c r="T1" s="2">
        <v>45691</v>
      </c>
      <c r="U1" s="2">
        <v>46056</v>
      </c>
      <c r="V1" s="2">
        <v>46421</v>
      </c>
      <c r="W1" s="2">
        <v>46786</v>
      </c>
      <c r="X1" s="2">
        <v>47152</v>
      </c>
    </row>
    <row r="2" spans="1:24" x14ac:dyDescent="0.25">
      <c r="C2">
        <v>2008</v>
      </c>
      <c r="D2">
        <f>C2+1</f>
        <v>2009</v>
      </c>
      <c r="E2">
        <f t="shared" ref="E2:R2" si="0">D2+1</f>
        <v>2010</v>
      </c>
      <c r="F2">
        <f t="shared" si="0"/>
        <v>2011</v>
      </c>
      <c r="G2">
        <f t="shared" si="0"/>
        <v>2012</v>
      </c>
      <c r="H2">
        <f t="shared" si="0"/>
        <v>2013</v>
      </c>
      <c r="I2">
        <f t="shared" si="0"/>
        <v>2014</v>
      </c>
      <c r="J2">
        <f t="shared" si="0"/>
        <v>2015</v>
      </c>
      <c r="K2">
        <f t="shared" si="0"/>
        <v>2016</v>
      </c>
      <c r="L2">
        <f t="shared" si="0"/>
        <v>2017</v>
      </c>
      <c r="M2">
        <f t="shared" si="0"/>
        <v>2018</v>
      </c>
      <c r="N2">
        <f t="shared" si="0"/>
        <v>2019</v>
      </c>
      <c r="O2">
        <f t="shared" si="0"/>
        <v>2020</v>
      </c>
      <c r="P2">
        <f>Q2-1</f>
        <v>2022</v>
      </c>
      <c r="Q2">
        <f>R2-1</f>
        <v>2023</v>
      </c>
      <c r="R2">
        <v>2024</v>
      </c>
      <c r="T2">
        <f>R2+1</f>
        <v>2025</v>
      </c>
      <c r="U2">
        <f>T2+1</f>
        <v>2026</v>
      </c>
      <c r="V2">
        <f t="shared" ref="V2:X2" si="1">U2+1</f>
        <v>2027</v>
      </c>
      <c r="W2">
        <f t="shared" si="1"/>
        <v>2028</v>
      </c>
      <c r="X2">
        <f t="shared" si="1"/>
        <v>2029</v>
      </c>
    </row>
    <row r="3" spans="1:24" x14ac:dyDescent="0.25">
      <c r="B3" s="1" t="s">
        <v>10</v>
      </c>
      <c r="C3" s="1">
        <v>64948</v>
      </c>
      <c r="D3" s="1">
        <v>65357</v>
      </c>
      <c r="E3" s="1">
        <v>67390</v>
      </c>
      <c r="F3" s="1">
        <v>69865</v>
      </c>
      <c r="G3" s="1">
        <v>73301</v>
      </c>
      <c r="H3" s="1">
        <v>71279</v>
      </c>
      <c r="I3" s="1">
        <v>72618</v>
      </c>
      <c r="J3" s="1">
        <v>73785</v>
      </c>
      <c r="K3" s="1">
        <v>70271</v>
      </c>
      <c r="L3" s="1">
        <v>72714</v>
      </c>
      <c r="M3" s="1">
        <v>75356</v>
      </c>
      <c r="N3" s="1">
        <v>78112</v>
      </c>
      <c r="O3" s="1">
        <v>93561</v>
      </c>
      <c r="P3" s="1">
        <v>106005</v>
      </c>
      <c r="Q3" s="1">
        <v>109120</v>
      </c>
      <c r="R3" s="1">
        <v>107412</v>
      </c>
      <c r="T3" s="1">
        <f>R3*(1+T13)</f>
        <v>112675.18799999999</v>
      </c>
      <c r="U3" s="1">
        <f>T3*(1+U13)</f>
        <v>118196.27221199998</v>
      </c>
      <c r="V3" s="1">
        <f t="shared" ref="V3:X3" si="2">U3*(1+V13)</f>
        <v>123987.88955038798</v>
      </c>
      <c r="W3" s="1">
        <f t="shared" si="2"/>
        <v>130063.29613835698</v>
      </c>
      <c r="X3" s="1">
        <f t="shared" si="2"/>
        <v>136436.39764913646</v>
      </c>
    </row>
    <row r="4" spans="1:24" x14ac:dyDescent="0.25">
      <c r="B4" s="1" t="s">
        <v>11</v>
      </c>
      <c r="C4" s="1">
        <v>45766</v>
      </c>
      <c r="D4" s="1">
        <v>45583</v>
      </c>
      <c r="E4" s="1">
        <v>45725</v>
      </c>
      <c r="F4" s="1">
        <v>47860</v>
      </c>
      <c r="G4" s="1">
        <v>51035</v>
      </c>
      <c r="H4" s="1">
        <v>50039</v>
      </c>
      <c r="I4" s="1">
        <v>51278</v>
      </c>
      <c r="J4" s="1">
        <v>52241</v>
      </c>
      <c r="K4" s="1">
        <v>49145</v>
      </c>
      <c r="L4" s="1">
        <v>51125</v>
      </c>
      <c r="M4" s="1">
        <v>53299</v>
      </c>
      <c r="N4" s="1">
        <v>54864</v>
      </c>
      <c r="O4" s="1">
        <v>66177</v>
      </c>
      <c r="P4" s="1">
        <v>74963</v>
      </c>
      <c r="Q4" s="1">
        <v>82229</v>
      </c>
      <c r="R4" s="1">
        <v>77736</v>
      </c>
      <c r="T4" s="1">
        <f>T3-T5</f>
        <v>82027.536863999994</v>
      </c>
      <c r="U4" s="1">
        <f t="shared" ref="U4:X4" si="3">U3-U5</f>
        <v>86046.886170335987</v>
      </c>
      <c r="V4" s="1">
        <f t="shared" si="3"/>
        <v>90263.183592682442</v>
      </c>
      <c r="W4" s="1">
        <f t="shared" si="3"/>
        <v>94686.079588723878</v>
      </c>
      <c r="X4" s="1">
        <f t="shared" si="3"/>
        <v>99325.697488571343</v>
      </c>
    </row>
    <row r="5" spans="1:24" x14ac:dyDescent="0.25">
      <c r="B5" s="1" t="s">
        <v>12</v>
      </c>
      <c r="C5" s="1">
        <v>19182</v>
      </c>
      <c r="D5" s="1">
        <v>19774</v>
      </c>
      <c r="E5" s="1">
        <v>21665</v>
      </c>
      <c r="F5" s="1">
        <v>22005</v>
      </c>
      <c r="G5" s="1">
        <v>22266</v>
      </c>
      <c r="H5" s="1">
        <v>21240</v>
      </c>
      <c r="I5" s="1">
        <v>21340</v>
      </c>
      <c r="J5" s="1">
        <v>21544</v>
      </c>
      <c r="K5" s="1">
        <v>21126</v>
      </c>
      <c r="L5" s="1">
        <v>21589</v>
      </c>
      <c r="M5" s="1">
        <v>22057</v>
      </c>
      <c r="N5" s="1">
        <v>23248</v>
      </c>
      <c r="O5" s="1">
        <v>27384</v>
      </c>
      <c r="P5" s="1">
        <v>31042</v>
      </c>
      <c r="Q5" s="1">
        <v>26891</v>
      </c>
      <c r="R5" s="1">
        <v>29676</v>
      </c>
      <c r="T5" s="1">
        <f>T3*T14</f>
        <v>30647.651136</v>
      </c>
      <c r="U5" s="1">
        <f t="shared" ref="U5:X5" si="4">U3*U14</f>
        <v>32149.386041663998</v>
      </c>
      <c r="V5" s="1">
        <f t="shared" si="4"/>
        <v>33724.705957705533</v>
      </c>
      <c r="W5" s="1">
        <f t="shared" si="4"/>
        <v>35377.2165496331</v>
      </c>
      <c r="X5" s="1">
        <f t="shared" si="4"/>
        <v>37110.700160565117</v>
      </c>
    </row>
    <row r="6" spans="1:24" x14ac:dyDescent="0.25">
      <c r="B6" s="1" t="s">
        <v>13</v>
      </c>
      <c r="C6" s="1">
        <v>14780</v>
      </c>
      <c r="D6" s="1">
        <v>15101</v>
      </c>
      <c r="E6" s="1">
        <v>16413</v>
      </c>
      <c r="F6" s="1">
        <v>16683</v>
      </c>
      <c r="G6" s="1">
        <v>16526</v>
      </c>
      <c r="H6" s="1">
        <v>16070</v>
      </c>
      <c r="I6" s="1">
        <v>16805</v>
      </c>
      <c r="J6" s="1">
        <v>16014</v>
      </c>
      <c r="K6" s="1">
        <v>16262</v>
      </c>
      <c r="L6" s="1">
        <v>17365</v>
      </c>
      <c r="M6" s="1">
        <v>17947</v>
      </c>
      <c r="N6" s="1">
        <v>18590</v>
      </c>
      <c r="O6" s="1">
        <v>20845</v>
      </c>
      <c r="P6" s="1">
        <v>22096</v>
      </c>
      <c r="Q6" s="1">
        <v>23043</v>
      </c>
      <c r="R6" s="1">
        <v>23969</v>
      </c>
      <c r="T6" s="1">
        <f>T5-T7</f>
        <v>24112.490232</v>
      </c>
      <c r="U6" s="1">
        <f t="shared" ref="U6:X6" si="5">U5-U7</f>
        <v>25294.002253367998</v>
      </c>
      <c r="V6" s="1">
        <f t="shared" si="5"/>
        <v>26533.40836378303</v>
      </c>
      <c r="W6" s="1">
        <f t="shared" si="5"/>
        <v>27833.545373608395</v>
      </c>
      <c r="X6" s="1">
        <f t="shared" si="5"/>
        <v>29197.389096915202</v>
      </c>
    </row>
    <row r="7" spans="1:24" x14ac:dyDescent="0.25">
      <c r="B7" s="1" t="s">
        <v>14</v>
      </c>
      <c r="C7" s="1">
        <v>4402</v>
      </c>
      <c r="D7" s="1">
        <v>4673</v>
      </c>
      <c r="E7" s="1">
        <v>5252</v>
      </c>
      <c r="F7" s="1">
        <v>5322</v>
      </c>
      <c r="G7" s="1">
        <v>5740</v>
      </c>
      <c r="H7" s="1">
        <v>5170</v>
      </c>
      <c r="I7" s="1">
        <v>4535</v>
      </c>
      <c r="J7" s="1">
        <v>5530</v>
      </c>
      <c r="K7" s="1">
        <v>4864</v>
      </c>
      <c r="L7" s="1">
        <v>4224</v>
      </c>
      <c r="M7" s="1">
        <v>4110</v>
      </c>
      <c r="N7" s="1">
        <v>4658</v>
      </c>
      <c r="O7" s="1">
        <v>6539</v>
      </c>
      <c r="P7" s="1">
        <v>8946</v>
      </c>
      <c r="Q7" s="1">
        <v>3848</v>
      </c>
      <c r="R7" s="1">
        <v>5707</v>
      </c>
      <c r="T7" s="1">
        <f>T3*T15</f>
        <v>6535.1609040000003</v>
      </c>
      <c r="U7" s="1">
        <f t="shared" ref="U7:X7" si="6">U3*U15</f>
        <v>6855.3837882959997</v>
      </c>
      <c r="V7" s="1">
        <f t="shared" si="6"/>
        <v>7191.2975939225025</v>
      </c>
      <c r="W7" s="1">
        <f t="shared" si="6"/>
        <v>7543.6711760247053</v>
      </c>
      <c r="X7" s="1">
        <f t="shared" si="6"/>
        <v>7913.311063649915</v>
      </c>
    </row>
    <row r="8" spans="1:24" x14ac:dyDescent="0.25">
      <c r="B8" s="1" t="s">
        <v>8</v>
      </c>
      <c r="C8" s="1">
        <v>-866</v>
      </c>
      <c r="D8" s="1">
        <v>-801</v>
      </c>
      <c r="E8" s="1">
        <v>-757</v>
      </c>
      <c r="F8" s="1">
        <v>-866</v>
      </c>
      <c r="G8" s="1">
        <v>-684</v>
      </c>
      <c r="H8" s="1">
        <v>-1049</v>
      </c>
      <c r="I8" s="1">
        <v>-882</v>
      </c>
      <c r="J8" s="1">
        <v>-607</v>
      </c>
      <c r="K8" s="1">
        <v>-903</v>
      </c>
      <c r="L8" s="1">
        <v>-594</v>
      </c>
      <c r="M8" s="1">
        <v>-434</v>
      </c>
      <c r="N8" s="1">
        <v>-468</v>
      </c>
      <c r="O8" s="1">
        <v>-993</v>
      </c>
      <c r="P8" s="1">
        <v>-39</v>
      </c>
      <c r="Q8" s="1">
        <v>-430</v>
      </c>
      <c r="R8" s="1">
        <v>-410</v>
      </c>
      <c r="T8" s="1">
        <f>T3*T17</f>
        <v>-338.02556399999997</v>
      </c>
      <c r="U8" s="1">
        <f t="shared" ref="U8:X8" si="7">U3*U17</f>
        <v>-354.58881663599993</v>
      </c>
      <c r="V8" s="1">
        <f t="shared" si="7"/>
        <v>-371.96366865116391</v>
      </c>
      <c r="W8" s="1">
        <f t="shared" si="7"/>
        <v>-390.18988841507093</v>
      </c>
      <c r="X8" s="1">
        <f t="shared" si="7"/>
        <v>-409.30919294740937</v>
      </c>
    </row>
    <row r="9" spans="1:24" x14ac:dyDescent="0.25">
      <c r="B9" s="1" t="s">
        <v>15</v>
      </c>
      <c r="C9" s="1">
        <v>3536</v>
      </c>
      <c r="D9" s="1">
        <v>3872</v>
      </c>
      <c r="E9" s="1">
        <v>4495</v>
      </c>
      <c r="F9" s="1">
        <v>4456</v>
      </c>
      <c r="G9" s="1">
        <v>5056</v>
      </c>
      <c r="H9" s="1">
        <v>4121</v>
      </c>
      <c r="I9" s="1">
        <v>3653</v>
      </c>
      <c r="J9" s="1">
        <v>4923</v>
      </c>
      <c r="K9" s="1">
        <v>3961</v>
      </c>
      <c r="L9" s="1">
        <v>3630</v>
      </c>
      <c r="M9" s="1">
        <v>3676</v>
      </c>
      <c r="N9" s="1">
        <v>4190</v>
      </c>
      <c r="O9" s="1">
        <v>5546</v>
      </c>
      <c r="P9" s="1">
        <v>8907</v>
      </c>
      <c r="Q9" s="1">
        <v>3418</v>
      </c>
      <c r="R9" s="1">
        <v>5297</v>
      </c>
      <c r="T9" s="1">
        <f>T7+T8</f>
        <v>6197.1353400000007</v>
      </c>
      <c r="U9" s="1">
        <f t="shared" ref="U9:X9" si="8">U7+U8</f>
        <v>6500.7949716599996</v>
      </c>
      <c r="V9" s="1">
        <f t="shared" si="8"/>
        <v>6819.3339252713386</v>
      </c>
      <c r="W9" s="1">
        <f t="shared" si="8"/>
        <v>7153.4812876096348</v>
      </c>
      <c r="X9" s="1">
        <f t="shared" si="8"/>
        <v>7504.0018707025056</v>
      </c>
    </row>
    <row r="10" spans="1:24" x14ac:dyDescent="0.25">
      <c r="B10" s="1" t="s">
        <v>16</v>
      </c>
      <c r="C10" s="1">
        <v>1322</v>
      </c>
      <c r="D10" s="1">
        <v>1384</v>
      </c>
      <c r="E10" s="1">
        <v>1575</v>
      </c>
      <c r="F10" s="1">
        <v>1527</v>
      </c>
      <c r="G10" s="1">
        <v>1741</v>
      </c>
      <c r="H10" s="1">
        <v>1427</v>
      </c>
      <c r="I10" s="1">
        <v>1204</v>
      </c>
      <c r="J10" s="1">
        <v>1602</v>
      </c>
      <c r="K10" s="1">
        <v>1295</v>
      </c>
      <c r="L10" s="1">
        <v>722</v>
      </c>
      <c r="M10" s="1">
        <v>746</v>
      </c>
      <c r="N10" s="1">
        <v>921</v>
      </c>
      <c r="O10" s="1">
        <v>1178</v>
      </c>
      <c r="P10" s="1">
        <v>1961</v>
      </c>
      <c r="Q10" s="1">
        <v>638</v>
      </c>
      <c r="R10" s="1">
        <v>1159</v>
      </c>
      <c r="T10" s="1">
        <f>T9*T16</f>
        <v>1295.20128606</v>
      </c>
      <c r="U10" s="1">
        <f t="shared" ref="U10:X10" si="9">U9*U16</f>
        <v>1358.66614907694</v>
      </c>
      <c r="V10" s="1">
        <f t="shared" si="9"/>
        <v>1425.2407903817098</v>
      </c>
      <c r="W10" s="1">
        <f t="shared" si="9"/>
        <v>1495.0775891104136</v>
      </c>
      <c r="X10" s="1">
        <f t="shared" si="9"/>
        <v>1568.3363909768236</v>
      </c>
    </row>
    <row r="11" spans="1:24" x14ac:dyDescent="0.25">
      <c r="B11" s="1" t="s">
        <v>9</v>
      </c>
      <c r="C11" s="1">
        <v>2214</v>
      </c>
      <c r="D11" s="1">
        <v>2488</v>
      </c>
      <c r="E11" s="1">
        <v>2920</v>
      </c>
      <c r="F11" s="1">
        <v>2929</v>
      </c>
      <c r="G11" s="1">
        <v>2999</v>
      </c>
      <c r="H11" s="1">
        <v>1971</v>
      </c>
      <c r="I11" s="1">
        <v>-1636</v>
      </c>
      <c r="J11" s="1">
        <v>3363</v>
      </c>
      <c r="K11" s="1">
        <v>2734</v>
      </c>
      <c r="L11" s="1">
        <v>2914</v>
      </c>
      <c r="M11" s="1">
        <v>2937</v>
      </c>
      <c r="N11" s="1">
        <v>3281</v>
      </c>
      <c r="O11" s="1">
        <v>4368</v>
      </c>
      <c r="P11" s="1">
        <v>6946</v>
      </c>
      <c r="Q11" s="1">
        <v>2780</v>
      </c>
      <c r="R11" s="1">
        <v>4138</v>
      </c>
      <c r="T11" s="1">
        <f>T9-T10</f>
        <v>4901.9340539400009</v>
      </c>
      <c r="U11" s="1">
        <f t="shared" ref="U11:X11" si="10">U9-U10</f>
        <v>5142.1288225830594</v>
      </c>
      <c r="V11" s="1">
        <f t="shared" si="10"/>
        <v>5394.0931348896283</v>
      </c>
      <c r="W11" s="1">
        <f t="shared" si="10"/>
        <v>5658.4036984992217</v>
      </c>
      <c r="X11" s="1">
        <f t="shared" si="10"/>
        <v>5935.6654797256815</v>
      </c>
    </row>
    <row r="12" spans="1:24" x14ac:dyDescent="0.25">
      <c r="S12" t="s">
        <v>27</v>
      </c>
    </row>
    <row r="13" spans="1:24" x14ac:dyDescent="0.25">
      <c r="B13" s="1" t="s">
        <v>17</v>
      </c>
      <c r="C13" s="4"/>
      <c r="D13" s="4">
        <f>(D3/C3)-1</f>
        <v>6.2973455687627133E-3</v>
      </c>
      <c r="E13" s="4">
        <f t="shared" ref="E13:R13" si="11">(E3/D3)-1</f>
        <v>3.1106078920391189E-2</v>
      </c>
      <c r="F13" s="4">
        <f t="shared" si="11"/>
        <v>3.6726517287431371E-2</v>
      </c>
      <c r="G13" s="4">
        <f t="shared" si="11"/>
        <v>4.9180562513418735E-2</v>
      </c>
      <c r="H13" s="4">
        <f t="shared" si="11"/>
        <v>-2.7584889701368298E-2</v>
      </c>
      <c r="I13" s="4">
        <f t="shared" si="11"/>
        <v>1.8785336494619775E-2</v>
      </c>
      <c r="J13" s="4">
        <f t="shared" si="11"/>
        <v>1.6070395769643975E-2</v>
      </c>
      <c r="K13" s="4">
        <f t="shared" si="11"/>
        <v>-4.7624856000542115E-2</v>
      </c>
      <c r="L13" s="4">
        <f t="shared" si="11"/>
        <v>3.4765408205376325E-2</v>
      </c>
      <c r="M13" s="4">
        <f t="shared" si="11"/>
        <v>3.6334130978903589E-2</v>
      </c>
      <c r="N13" s="4">
        <f t="shared" si="11"/>
        <v>3.6573066510961372E-2</v>
      </c>
      <c r="O13" s="4">
        <f t="shared" si="11"/>
        <v>0.19778011061040557</v>
      </c>
      <c r="P13" s="5">
        <f t="shared" si="11"/>
        <v>0.13300413633885921</v>
      </c>
      <c r="Q13" s="5">
        <f t="shared" si="11"/>
        <v>2.9385406348757082E-2</v>
      </c>
      <c r="R13" s="5">
        <f t="shared" si="11"/>
        <v>-1.5652492668621676E-2</v>
      </c>
      <c r="S13" s="6">
        <f>AVERAGE(P13:R13)</f>
        <v>4.891235000633154E-2</v>
      </c>
      <c r="T13" s="5">
        <v>4.9000000000000002E-2</v>
      </c>
      <c r="U13" s="5">
        <v>4.9000000000000002E-2</v>
      </c>
      <c r="V13" s="5">
        <v>4.9000000000000002E-2</v>
      </c>
      <c r="W13" s="5">
        <v>4.9000000000000002E-2</v>
      </c>
      <c r="X13" s="5">
        <v>4.9000000000000002E-2</v>
      </c>
    </row>
    <row r="14" spans="1:24" x14ac:dyDescent="0.25">
      <c r="B14" s="1" t="s">
        <v>18</v>
      </c>
      <c r="C14" s="4">
        <f>C5/C3</f>
        <v>0.29534396748167763</v>
      </c>
      <c r="D14" s="4">
        <f>D5/D3</f>
        <v>0.30255366678397111</v>
      </c>
      <c r="E14" s="4">
        <f t="shared" ref="E14:R14" si="12">E5/E3</f>
        <v>0.32148686748775784</v>
      </c>
      <c r="F14" s="4">
        <f t="shared" si="12"/>
        <v>0.31496457453660631</v>
      </c>
      <c r="G14" s="4">
        <f t="shared" si="12"/>
        <v>0.30376120380349519</v>
      </c>
      <c r="H14" s="4">
        <f t="shared" si="12"/>
        <v>0.29798397845087615</v>
      </c>
      <c r="I14" s="4">
        <f t="shared" si="12"/>
        <v>0.29386653446803823</v>
      </c>
      <c r="J14" s="4">
        <f t="shared" si="12"/>
        <v>0.29198346547401233</v>
      </c>
      <c r="K14" s="4">
        <f t="shared" si="12"/>
        <v>0.30063610877887037</v>
      </c>
      <c r="L14" s="4">
        <f t="shared" si="12"/>
        <v>0.29690293478559837</v>
      </c>
      <c r="M14" s="4">
        <f t="shared" si="12"/>
        <v>0.2927039651786188</v>
      </c>
      <c r="N14" s="4">
        <f t="shared" si="12"/>
        <v>0.29762392462105697</v>
      </c>
      <c r="O14" s="4">
        <f t="shared" si="12"/>
        <v>0.29268605508705553</v>
      </c>
      <c r="P14" s="5">
        <f t="shared" si="12"/>
        <v>0.29283524362058394</v>
      </c>
      <c r="Q14" s="5">
        <f t="shared" si="12"/>
        <v>0.24643511730205278</v>
      </c>
      <c r="R14" s="5">
        <f t="shared" si="12"/>
        <v>0.27628197966707629</v>
      </c>
      <c r="S14" s="6">
        <f t="shared" ref="S14:S17" si="13">AVERAGE(P14:R14)</f>
        <v>0.271850780196571</v>
      </c>
      <c r="T14" s="5">
        <v>0.27200000000000002</v>
      </c>
      <c r="U14" s="5">
        <v>0.27200000000000002</v>
      </c>
      <c r="V14" s="5">
        <v>0.27200000000000002</v>
      </c>
      <c r="W14" s="5">
        <v>0.27200000000000002</v>
      </c>
      <c r="X14" s="5">
        <v>0.27200000000000002</v>
      </c>
    </row>
    <row r="15" spans="1:24" x14ac:dyDescent="0.25">
      <c r="B15" s="1" t="s">
        <v>19</v>
      </c>
      <c r="C15" s="4">
        <f>C7/C3</f>
        <v>6.7777298762086588E-2</v>
      </c>
      <c r="D15" s="4">
        <f>D7/D3</f>
        <v>7.1499609835212752E-2</v>
      </c>
      <c r="E15" s="4">
        <f t="shared" ref="E15:R15" si="14">E7/E3</f>
        <v>7.7934411633773557E-2</v>
      </c>
      <c r="F15" s="4">
        <f t="shared" si="14"/>
        <v>7.6175481285336008E-2</v>
      </c>
      <c r="G15" s="4">
        <f t="shared" si="14"/>
        <v>7.8307253652746892E-2</v>
      </c>
      <c r="H15" s="4">
        <f t="shared" si="14"/>
        <v>7.2531881760406286E-2</v>
      </c>
      <c r="I15" s="4">
        <f t="shared" si="14"/>
        <v>6.2450081247073727E-2</v>
      </c>
      <c r="J15" s="4">
        <f t="shared" si="14"/>
        <v>7.4947482550653921E-2</v>
      </c>
      <c r="K15" s="4">
        <f t="shared" si="14"/>
        <v>6.9217742738825402E-2</v>
      </c>
      <c r="L15" s="4">
        <f t="shared" si="14"/>
        <v>5.8090601534780101E-2</v>
      </c>
      <c r="M15" s="4">
        <f t="shared" si="14"/>
        <v>5.4541111523966242E-2</v>
      </c>
      <c r="N15" s="4">
        <f t="shared" si="14"/>
        <v>5.9632322818516999E-2</v>
      </c>
      <c r="O15" s="4">
        <f t="shared" si="14"/>
        <v>6.989023204112825E-2</v>
      </c>
      <c r="P15" s="5">
        <f t="shared" si="14"/>
        <v>8.4392245648790151E-2</v>
      </c>
      <c r="Q15" s="5">
        <f t="shared" si="14"/>
        <v>3.5263929618768328E-2</v>
      </c>
      <c r="R15" s="5">
        <f t="shared" si="14"/>
        <v>5.3131866085725989E-2</v>
      </c>
      <c r="S15" s="6">
        <f t="shared" si="13"/>
        <v>5.7596013784428156E-2</v>
      </c>
      <c r="T15" s="5">
        <v>5.8000000000000003E-2</v>
      </c>
      <c r="U15" s="5">
        <v>5.8000000000000003E-2</v>
      </c>
      <c r="V15" s="5">
        <v>5.8000000000000003E-2</v>
      </c>
      <c r="W15" s="5">
        <v>5.8000000000000003E-2</v>
      </c>
      <c r="X15" s="5">
        <v>5.8000000000000003E-2</v>
      </c>
    </row>
    <row r="16" spans="1:24" x14ac:dyDescent="0.25">
      <c r="B16" s="1" t="s">
        <v>20</v>
      </c>
      <c r="C16" s="4">
        <f>C10/C9</f>
        <v>0.37386877828054299</v>
      </c>
      <c r="D16" s="4">
        <f>D10/D9</f>
        <v>0.3574380165289256</v>
      </c>
      <c r="E16" s="4">
        <f t="shared" ref="E16:R16" si="15">E10/E9</f>
        <v>0.3503893214682981</v>
      </c>
      <c r="F16" s="4">
        <f t="shared" si="15"/>
        <v>0.34268402154398564</v>
      </c>
      <c r="G16" s="4">
        <f t="shared" si="15"/>
        <v>0.34434335443037972</v>
      </c>
      <c r="H16" s="4">
        <f t="shared" si="15"/>
        <v>0.34627517592817275</v>
      </c>
      <c r="I16" s="4">
        <f t="shared" si="15"/>
        <v>0.32959211606898442</v>
      </c>
      <c r="J16" s="4">
        <f t="shared" si="15"/>
        <v>0.32541133455210236</v>
      </c>
      <c r="K16" s="4">
        <f t="shared" si="15"/>
        <v>0.32693764200959352</v>
      </c>
      <c r="L16" s="4">
        <f t="shared" si="15"/>
        <v>0.19889807162534434</v>
      </c>
      <c r="M16" s="4">
        <f t="shared" si="15"/>
        <v>0.2029379760609358</v>
      </c>
      <c r="N16" s="4">
        <f t="shared" si="15"/>
        <v>0.2198090692124105</v>
      </c>
      <c r="O16" s="4">
        <f t="shared" si="15"/>
        <v>0.2124053371799495</v>
      </c>
      <c r="P16" s="5">
        <f t="shared" si="15"/>
        <v>0.22016391602110699</v>
      </c>
      <c r="Q16" s="5">
        <f t="shared" si="15"/>
        <v>0.18665886483323582</v>
      </c>
      <c r="R16" s="5">
        <f t="shared" si="15"/>
        <v>0.21880309609212761</v>
      </c>
      <c r="S16" s="6">
        <f t="shared" si="13"/>
        <v>0.2085419589821568</v>
      </c>
      <c r="T16" s="5">
        <v>0.20899999999999999</v>
      </c>
      <c r="U16" s="5">
        <v>0.20899999999999999</v>
      </c>
      <c r="V16" s="5">
        <v>0.20899999999999999</v>
      </c>
      <c r="W16" s="5">
        <v>0.20899999999999999</v>
      </c>
      <c r="X16" s="5">
        <v>0.20899999999999999</v>
      </c>
    </row>
    <row r="17" spans="1:24" x14ac:dyDescent="0.25">
      <c r="B17" s="1" t="s">
        <v>21</v>
      </c>
      <c r="C17" s="4">
        <f>C8/C3</f>
        <v>-1.3333743918211492E-2</v>
      </c>
      <c r="D17" s="4">
        <f>D8/D3</f>
        <v>-1.2255764493474302E-2</v>
      </c>
      <c r="E17" s="4">
        <f t="shared" ref="E17:R17" si="16">E8/E3</f>
        <v>-1.1233120641044666E-2</v>
      </c>
      <c r="F17" s="4">
        <f t="shared" si="16"/>
        <v>-1.2395333858155014E-2</v>
      </c>
      <c r="G17" s="4">
        <f t="shared" si="16"/>
        <v>-9.3313870206409195E-3</v>
      </c>
      <c r="H17" s="4">
        <f t="shared" si="16"/>
        <v>-1.4716817014829051E-2</v>
      </c>
      <c r="I17" s="4">
        <f t="shared" si="16"/>
        <v>-1.2145748987854251E-2</v>
      </c>
      <c r="J17" s="4">
        <f t="shared" si="16"/>
        <v>-8.2266043233719596E-3</v>
      </c>
      <c r="K17" s="4">
        <f t="shared" si="16"/>
        <v>-1.2850251170468615E-2</v>
      </c>
      <c r="L17" s="4">
        <f t="shared" si="16"/>
        <v>-8.1689908408284512E-3</v>
      </c>
      <c r="M17" s="4">
        <f t="shared" si="16"/>
        <v>-5.7593290514358509E-3</v>
      </c>
      <c r="N17" s="4">
        <f t="shared" si="16"/>
        <v>-5.9913969684555514E-3</v>
      </c>
      <c r="O17" s="4">
        <f t="shared" si="16"/>
        <v>-1.0613396607560843E-2</v>
      </c>
      <c r="P17" s="5">
        <f t="shared" si="16"/>
        <v>-3.6790717418989672E-4</v>
      </c>
      <c r="Q17" s="5">
        <f t="shared" si="16"/>
        <v>-3.9406158357771261E-3</v>
      </c>
      <c r="R17" s="5">
        <f t="shared" si="16"/>
        <v>-3.8170781663128886E-3</v>
      </c>
      <c r="S17" s="6">
        <f t="shared" si="13"/>
        <v>-2.7085337254266367E-3</v>
      </c>
      <c r="T17" s="5">
        <v>-3.0000000000000001E-3</v>
      </c>
      <c r="U17" s="5">
        <v>-3.0000000000000001E-3</v>
      </c>
      <c r="V17" s="5">
        <v>-3.0000000000000001E-3</v>
      </c>
      <c r="W17" s="5">
        <v>-3.0000000000000001E-3</v>
      </c>
      <c r="X17" s="5">
        <v>-3.0000000000000001E-3</v>
      </c>
    </row>
    <row r="19" spans="1:24" s="1" customFormat="1" x14ac:dyDescent="0.25">
      <c r="A19"/>
      <c r="B19" s="1" t="s">
        <v>22</v>
      </c>
      <c r="C19"/>
      <c r="D19"/>
      <c r="E19"/>
      <c r="F19"/>
      <c r="G19"/>
      <c r="H19"/>
      <c r="I19"/>
      <c r="J19"/>
      <c r="K19"/>
      <c r="L19"/>
      <c r="M19"/>
      <c r="N19"/>
      <c r="O19"/>
      <c r="P19" s="1">
        <v>2642</v>
      </c>
      <c r="Q19" s="1">
        <v>2700</v>
      </c>
      <c r="R19" s="1">
        <v>2801</v>
      </c>
      <c r="T19" s="1">
        <f>T3*T20</f>
        <v>2929.5548879999997</v>
      </c>
      <c r="U19" s="1">
        <f t="shared" ref="U19:X19" si="17">U3*U20</f>
        <v>3073.1030775119993</v>
      </c>
      <c r="V19" s="1">
        <f t="shared" si="17"/>
        <v>3223.6851283100873</v>
      </c>
      <c r="W19" s="1">
        <f t="shared" si="17"/>
        <v>3381.6456995972812</v>
      </c>
      <c r="X19" s="1">
        <f t="shared" si="17"/>
        <v>3547.3463388775476</v>
      </c>
    </row>
    <row r="20" spans="1:24" s="5" customFormat="1" x14ac:dyDescent="0.25">
      <c r="A20"/>
      <c r="B20" s="1" t="s">
        <v>23</v>
      </c>
      <c r="C20"/>
      <c r="D20"/>
      <c r="E20"/>
      <c r="F20"/>
      <c r="G20"/>
      <c r="H20"/>
      <c r="I20"/>
      <c r="J20"/>
      <c r="K20"/>
      <c r="L20"/>
      <c r="M20"/>
      <c r="N20"/>
      <c r="O20"/>
      <c r="P20" s="5">
        <f t="shared" ref="P20:Q20" si="18">P19/P3</f>
        <v>2.4923352672043771E-2</v>
      </c>
      <c r="Q20" s="5">
        <f t="shared" si="18"/>
        <v>2.4743401759530791E-2</v>
      </c>
      <c r="R20" s="5">
        <f>R19/R3</f>
        <v>2.6077160838640003E-2</v>
      </c>
      <c r="T20" s="5">
        <v>2.5999999999999999E-2</v>
      </c>
      <c r="U20" s="5">
        <v>2.5999999999999999E-2</v>
      </c>
      <c r="V20" s="5">
        <v>2.5999999999999999E-2</v>
      </c>
      <c r="W20" s="5">
        <v>2.5999999999999999E-2</v>
      </c>
      <c r="X20" s="5">
        <v>2.5999999999999999E-2</v>
      </c>
    </row>
    <row r="21" spans="1:24" s="1" customFormat="1" x14ac:dyDescent="0.25">
      <c r="A21"/>
      <c r="B21" s="1" t="s">
        <v>24</v>
      </c>
      <c r="C21"/>
      <c r="D21"/>
      <c r="E21"/>
      <c r="F21"/>
      <c r="G21"/>
      <c r="H21"/>
      <c r="I21"/>
      <c r="J21"/>
      <c r="K21"/>
      <c r="L21"/>
      <c r="M21"/>
      <c r="N21"/>
      <c r="O21"/>
      <c r="Q21" s="1">
        <f>13499+2118-13487-5883</f>
        <v>-3753</v>
      </c>
      <c r="R21" s="1">
        <f>11886+1807-12098-6090</f>
        <v>-4495</v>
      </c>
      <c r="T21" s="1">
        <f>T3*T22</f>
        <v>-4732.3578960000004</v>
      </c>
      <c r="U21" s="1">
        <f t="shared" ref="U21:X21" si="19">U3*U22</f>
        <v>-4964.2434329039997</v>
      </c>
      <c r="V21" s="1">
        <f t="shared" si="19"/>
        <v>-5207.4913611162956</v>
      </c>
      <c r="W21" s="1">
        <f t="shared" si="19"/>
        <v>-5462.6584378109937</v>
      </c>
      <c r="X21" s="1">
        <f t="shared" si="19"/>
        <v>-5730.328701263732</v>
      </c>
    </row>
    <row r="22" spans="1:24" s="5" customFormat="1" x14ac:dyDescent="0.25">
      <c r="A22"/>
      <c r="B22" s="1" t="s">
        <v>23</v>
      </c>
      <c r="C22"/>
      <c r="D22"/>
      <c r="E22"/>
      <c r="F22"/>
      <c r="G22"/>
      <c r="H22"/>
      <c r="I22"/>
      <c r="J22"/>
      <c r="K22"/>
      <c r="L22"/>
      <c r="M22"/>
      <c r="N22"/>
      <c r="O22"/>
      <c r="Q22" s="5">
        <f>Q21/Q3</f>
        <v>-3.4393328445747801E-2</v>
      </c>
      <c r="R22" s="5">
        <f>R21/R3</f>
        <v>-4.1848210628235204E-2</v>
      </c>
      <c r="T22" s="5">
        <v>-4.2000000000000003E-2</v>
      </c>
      <c r="U22" s="5">
        <v>-4.2000000000000003E-2</v>
      </c>
      <c r="V22" s="5">
        <v>-4.2000000000000003E-2</v>
      </c>
      <c r="W22" s="5">
        <v>-4.2000000000000003E-2</v>
      </c>
      <c r="X22" s="5">
        <v>-4.2000000000000003E-2</v>
      </c>
    </row>
    <row r="23" spans="1:24" s="1" customFormat="1" x14ac:dyDescent="0.25">
      <c r="A23"/>
      <c r="B23" s="1" t="s">
        <v>25</v>
      </c>
      <c r="C23"/>
      <c r="D23"/>
      <c r="E23"/>
      <c r="F23"/>
      <c r="G23"/>
      <c r="H23"/>
      <c r="I23"/>
      <c r="J23"/>
      <c r="K23"/>
      <c r="L23"/>
      <c r="M23"/>
      <c r="N23"/>
      <c r="O23"/>
      <c r="R23" s="1">
        <f>Q21-R21</f>
        <v>742</v>
      </c>
      <c r="T23" s="1">
        <f>R21-T21</f>
        <v>237.35789600000044</v>
      </c>
      <c r="U23" s="1">
        <f t="shared" ref="U23:X23" si="20">T21-U21</f>
        <v>231.88553690399931</v>
      </c>
      <c r="V23" s="1">
        <f t="shared" si="20"/>
        <v>243.24792821229585</v>
      </c>
      <c r="W23" s="1">
        <f t="shared" si="20"/>
        <v>255.16707669469815</v>
      </c>
      <c r="X23" s="1">
        <f t="shared" si="20"/>
        <v>267.67026345273825</v>
      </c>
    </row>
    <row r="24" spans="1:24" s="1" customFormat="1" x14ac:dyDescent="0.25">
      <c r="A24"/>
      <c r="B24" s="1" t="s">
        <v>26</v>
      </c>
      <c r="C24"/>
      <c r="D24"/>
      <c r="E24"/>
      <c r="F24"/>
      <c r="G24"/>
      <c r="H24"/>
      <c r="I24"/>
      <c r="J24"/>
      <c r="K24"/>
      <c r="L24"/>
      <c r="M24"/>
      <c r="N24"/>
      <c r="O24"/>
      <c r="P24" s="1">
        <v>3544</v>
      </c>
      <c r="Q24" s="1">
        <v>5528</v>
      </c>
      <c r="R24" s="1">
        <v>4806</v>
      </c>
      <c r="T24" s="1">
        <f>T3*T25</f>
        <v>5070.38346</v>
      </c>
      <c r="U24" s="1">
        <f t="shared" ref="U24:X24" si="21">U3*U25</f>
        <v>5318.8322495399989</v>
      </c>
      <c r="V24" s="1">
        <f t="shared" si="21"/>
        <v>5579.4550297674587</v>
      </c>
      <c r="W24" s="1">
        <f t="shared" si="21"/>
        <v>5852.8483262260634</v>
      </c>
      <c r="X24" s="1">
        <f t="shared" si="21"/>
        <v>6139.6378942111405</v>
      </c>
    </row>
    <row r="25" spans="1:24" s="5" customFormat="1" x14ac:dyDescent="0.25">
      <c r="A25"/>
      <c r="B25" s="1" t="s">
        <v>23</v>
      </c>
      <c r="C25"/>
      <c r="D25"/>
      <c r="E25"/>
      <c r="F25"/>
      <c r="G25"/>
      <c r="H25"/>
      <c r="I25"/>
      <c r="J25"/>
      <c r="K25"/>
      <c r="L25"/>
      <c r="M25"/>
      <c r="N25"/>
      <c r="O25"/>
      <c r="P25" s="5">
        <f t="shared" ref="P25:Q25" si="22">P24/P3</f>
        <v>3.3432385264846001E-2</v>
      </c>
      <c r="Q25" s="5">
        <f t="shared" si="22"/>
        <v>5.0659824046920821E-2</v>
      </c>
      <c r="R25" s="5">
        <f>R24/R3</f>
        <v>4.4743604066584737E-2</v>
      </c>
      <c r="T25" s="5">
        <v>4.4999999999999998E-2</v>
      </c>
      <c r="U25" s="5">
        <v>4.4999999999999998E-2</v>
      </c>
      <c r="V25" s="5">
        <v>4.4999999999999998E-2</v>
      </c>
      <c r="W25" s="5">
        <v>4.4999999999999998E-2</v>
      </c>
      <c r="X25" s="5">
        <v>4.4999999999999998E-2</v>
      </c>
    </row>
    <row r="27" spans="1:24" x14ac:dyDescent="0.25">
      <c r="B27" s="1" t="s">
        <v>29</v>
      </c>
      <c r="P27" s="1">
        <f>P7</f>
        <v>8946</v>
      </c>
      <c r="Q27" s="1">
        <f t="shared" ref="Q27:X27" si="23">Q7</f>
        <v>3848</v>
      </c>
      <c r="R27" s="1">
        <f t="shared" si="23"/>
        <v>5707</v>
      </c>
      <c r="S27" s="1"/>
      <c r="T27" s="1">
        <f t="shared" si="23"/>
        <v>6535.1609040000003</v>
      </c>
      <c r="U27" s="1">
        <f t="shared" si="23"/>
        <v>6855.3837882959997</v>
      </c>
      <c r="V27" s="1">
        <f t="shared" si="23"/>
        <v>7191.2975939225025</v>
      </c>
      <c r="W27" s="1">
        <f t="shared" si="23"/>
        <v>7543.6711760247053</v>
      </c>
      <c r="X27" s="1">
        <f t="shared" si="23"/>
        <v>7913.311063649915</v>
      </c>
    </row>
    <row r="28" spans="1:24" x14ac:dyDescent="0.25">
      <c r="B28" s="1" t="s">
        <v>30</v>
      </c>
      <c r="P28" s="1">
        <f>P27*P16</f>
        <v>1969.5863927248231</v>
      </c>
      <c r="Q28" s="1">
        <f t="shared" ref="Q28:X28" si="24">Q27*Q16</f>
        <v>718.26331187829146</v>
      </c>
      <c r="R28" s="1">
        <f t="shared" si="24"/>
        <v>1248.7092693977722</v>
      </c>
      <c r="S28" s="1"/>
      <c r="T28" s="1">
        <f t="shared" si="24"/>
        <v>1365.8486289360001</v>
      </c>
      <c r="U28" s="1">
        <f t="shared" si="24"/>
        <v>1432.7752117538639</v>
      </c>
      <c r="V28" s="1">
        <f t="shared" si="24"/>
        <v>1502.9811971298029</v>
      </c>
      <c r="W28" s="1">
        <f t="shared" si="24"/>
        <v>1576.6272757891634</v>
      </c>
      <c r="X28" s="1">
        <f t="shared" si="24"/>
        <v>1653.8820123028322</v>
      </c>
    </row>
    <row r="29" spans="1:24" x14ac:dyDescent="0.25">
      <c r="B29" s="1" t="s">
        <v>31</v>
      </c>
      <c r="P29" s="1">
        <f>P27-P28</f>
        <v>6976.4136072751771</v>
      </c>
      <c r="Q29" s="1">
        <f t="shared" ref="Q29:X29" si="25">Q27-Q28</f>
        <v>3129.7366881217085</v>
      </c>
      <c r="R29" s="1">
        <f t="shared" si="25"/>
        <v>4458.290730602228</v>
      </c>
      <c r="S29" s="1"/>
      <c r="T29" s="1">
        <f t="shared" si="25"/>
        <v>5169.3122750640005</v>
      </c>
      <c r="U29" s="1">
        <f t="shared" si="25"/>
        <v>5422.6085765421358</v>
      </c>
      <c r="V29" s="1">
        <f t="shared" si="25"/>
        <v>5688.3163967926994</v>
      </c>
      <c r="W29" s="1">
        <f t="shared" si="25"/>
        <v>5967.0439002355415</v>
      </c>
      <c r="X29" s="1">
        <f t="shared" si="25"/>
        <v>6259.4290513470823</v>
      </c>
    </row>
    <row r="30" spans="1:24" x14ac:dyDescent="0.25">
      <c r="B30" s="7" t="s">
        <v>32</v>
      </c>
      <c r="T30" s="8">
        <f>T29+T19+T23-T24</f>
        <v>3265.8415990639996</v>
      </c>
      <c r="U30" s="8">
        <f t="shared" ref="U30:X30" si="26">U29+U19+U23-U24</f>
        <v>3408.764941418136</v>
      </c>
      <c r="V30" s="8">
        <f t="shared" si="26"/>
        <v>3575.7944235476234</v>
      </c>
      <c r="W30" s="8">
        <f t="shared" si="26"/>
        <v>3751.0083503014575</v>
      </c>
      <c r="X30" s="8">
        <f t="shared" si="26"/>
        <v>3934.8077594662282</v>
      </c>
    </row>
    <row r="32" spans="1:24" x14ac:dyDescent="0.25">
      <c r="B32" s="1" t="s">
        <v>33</v>
      </c>
      <c r="P32" s="2">
        <f ca="1">TODAY()</f>
        <v>45560</v>
      </c>
    </row>
    <row r="33" spans="2:24" x14ac:dyDescent="0.25">
      <c r="B33" s="1" t="s">
        <v>34</v>
      </c>
      <c r="P33" s="4">
        <f ca="1">(T1-v)/365</f>
        <v>0.35890410958904112</v>
      </c>
    </row>
    <row r="34" spans="2:24" x14ac:dyDescent="0.25">
      <c r="B34" s="1" t="s">
        <v>35</v>
      </c>
      <c r="P34" s="4">
        <v>0.08</v>
      </c>
    </row>
    <row r="35" spans="2:24" x14ac:dyDescent="0.25">
      <c r="B35" s="1" t="s">
        <v>36</v>
      </c>
      <c r="P35" s="4">
        <v>0.02</v>
      </c>
    </row>
    <row r="37" spans="2:24" x14ac:dyDescent="0.25">
      <c r="B37" s="7" t="s">
        <v>37</v>
      </c>
      <c r="T37" s="7">
        <f ca="1">P33*T30/(1+d)^((T1-v)/365)</f>
        <v>1140.1910420003171</v>
      </c>
      <c r="U37" s="7">
        <f ca="1">U30/(1+d)^((U1-v)/365)</f>
        <v>3070.2757037366864</v>
      </c>
      <c r="V37" s="7">
        <f ca="1">V30/(1+d)^((V1-v)/365)</f>
        <v>2982.1474196479467</v>
      </c>
      <c r="W37" s="7">
        <f ca="1">W30/(1+d)^((W1-v)/365)</f>
        <v>2896.5487437136076</v>
      </c>
      <c r="X37" s="7">
        <f ca="1">X30/(1+d)^((X1-v)/365)</f>
        <v>2812.8139163683563</v>
      </c>
    </row>
    <row r="39" spans="2:24" x14ac:dyDescent="0.25">
      <c r="B39" t="s">
        <v>38</v>
      </c>
      <c r="P39" s="1">
        <f>X30*(1+d)</f>
        <v>4249.5923802235266</v>
      </c>
    </row>
    <row r="40" spans="2:24" x14ac:dyDescent="0.25">
      <c r="B40" t="s">
        <v>39</v>
      </c>
      <c r="P40" s="1">
        <f>P39/(d-g)</f>
        <v>70826.539670392114</v>
      </c>
    </row>
    <row r="41" spans="2:24" x14ac:dyDescent="0.25">
      <c r="B41" t="s">
        <v>40</v>
      </c>
      <c r="P41" s="1">
        <f ca="1">P40/(1+d)^((X1-v)/365)</f>
        <v>50630.650494630412</v>
      </c>
    </row>
    <row r="42" spans="2:24" x14ac:dyDescent="0.25">
      <c r="B42" t="s">
        <v>41</v>
      </c>
      <c r="P42" s="1">
        <f ca="1">SUM(T37:X37)</f>
        <v>12901.976825466914</v>
      </c>
    </row>
    <row r="43" spans="2:24" x14ac:dyDescent="0.25">
      <c r="B43" t="s">
        <v>42</v>
      </c>
      <c r="P43" s="1">
        <f ca="1">P41+P42</f>
        <v>63532.627320097323</v>
      </c>
    </row>
    <row r="44" spans="2:24" x14ac:dyDescent="0.25">
      <c r="B44" t="s">
        <v>4</v>
      </c>
      <c r="P44" s="1">
        <f>Cash</f>
        <v>3497</v>
      </c>
    </row>
    <row r="45" spans="2:24" x14ac:dyDescent="0.25">
      <c r="B45" t="s">
        <v>5</v>
      </c>
      <c r="P45" s="1">
        <f>Debt</f>
        <v>18738</v>
      </c>
    </row>
    <row r="46" spans="2:24" x14ac:dyDescent="0.25">
      <c r="B46" t="s">
        <v>43</v>
      </c>
      <c r="P46" s="1">
        <f ca="1">P43-P44+P45</f>
        <v>78773.627320097323</v>
      </c>
    </row>
    <row r="47" spans="2:24" x14ac:dyDescent="0.25">
      <c r="B47" s="9" t="s">
        <v>44</v>
      </c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10">
        <f ca="1">P46/Shares</f>
        <v>122.9543064336891</v>
      </c>
    </row>
    <row r="48" spans="2:24" x14ac:dyDescent="0.25">
      <c r="B48" t="s">
        <v>45</v>
      </c>
      <c r="P48" s="4">
        <f ca="1">(P47/Price)-1</f>
        <v>-0.21273974623070113</v>
      </c>
    </row>
  </sheetData>
  <hyperlinks>
    <hyperlink ref="A1" location="Main!A1" display="Main" xr:uid="{85897614-8E5F-4547-9CF5-BC7710AAB8A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7</vt:i4>
      </vt:variant>
    </vt:vector>
  </HeadingPairs>
  <TitlesOfParts>
    <vt:vector size="9" baseType="lpstr">
      <vt:lpstr>Main</vt:lpstr>
      <vt:lpstr>Model</vt:lpstr>
      <vt:lpstr>Cash</vt:lpstr>
      <vt:lpstr>d</vt:lpstr>
      <vt:lpstr>Debt</vt:lpstr>
      <vt:lpstr>g</vt:lpstr>
      <vt:lpstr>Price</vt:lpstr>
      <vt:lpstr>Shares</vt:lpstr>
      <vt:lpstr>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Jayden Hammen</dc:creator>
  <cp:lastModifiedBy>Jayden Hammen</cp:lastModifiedBy>
  <dcterms:created xsi:type="dcterms:W3CDTF">2024-09-25T22:02:34Z</dcterms:created>
  <dcterms:modified xsi:type="dcterms:W3CDTF">2024-09-25T22:23:00Z</dcterms:modified>
</cp:coreProperties>
</file>