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Tech\"/>
    </mc:Choice>
  </mc:AlternateContent>
  <xr:revisionPtr revIDLastSave="0" documentId="13_ncr:1_{0C2A48B9-8432-4A19-94BB-8B2EE3D9180C}" xr6:coauthVersionLast="47" xr6:coauthVersionMax="47" xr10:uidLastSave="{00000000-0000-0000-0000-000000000000}"/>
  <bookViews>
    <workbookView xWindow="28680" yWindow="-120" windowWidth="29040" windowHeight="15720" xr2:uid="{FE6B8C25-2DF3-452F-8CB0-34B2B2C7976C}"/>
  </bookViews>
  <sheets>
    <sheet name="Main" sheetId="1" r:id="rId1"/>
    <sheet name="Model" sheetId="2" r:id="rId2"/>
  </sheets>
  <definedNames>
    <definedName name="Cash">Main!$F$5</definedName>
    <definedName name="d">Model!$C$42</definedName>
    <definedName name="Debt">Main!$F$6</definedName>
    <definedName name="g">Model!$C$43</definedName>
    <definedName name="Price">Main!$F$2</definedName>
    <definedName name="Shares">Main!$F$3</definedName>
    <definedName name="v">Model!$C$40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C53" i="2"/>
  <c r="C52" i="2"/>
  <c r="I1" i="2"/>
  <c r="J1" i="2" s="1"/>
  <c r="K1" i="2" s="1"/>
  <c r="L1" i="2" s="1"/>
  <c r="H1" i="2"/>
  <c r="C40" i="2"/>
  <c r="C41" i="2" s="1"/>
  <c r="E35" i="2"/>
  <c r="E36" i="2" s="1"/>
  <c r="E37" i="2" s="1"/>
  <c r="D35" i="2"/>
  <c r="C36" i="2"/>
  <c r="C37" i="2" s="1"/>
  <c r="C35" i="2"/>
  <c r="I4" i="2"/>
  <c r="J4" i="2" s="1"/>
  <c r="K4" i="2" s="1"/>
  <c r="L4" i="2" s="1"/>
  <c r="H4" i="2"/>
  <c r="G4" i="2"/>
  <c r="G3" i="2"/>
  <c r="H3" i="2" s="1"/>
  <c r="I3" i="2" s="1"/>
  <c r="J3" i="2" s="1"/>
  <c r="K3" i="2" s="1"/>
  <c r="L3" i="2" s="1"/>
  <c r="J2" i="2"/>
  <c r="K2" i="2" s="1"/>
  <c r="L2" i="2" s="1"/>
  <c r="I2" i="2"/>
  <c r="H2" i="2"/>
  <c r="E31" i="2"/>
  <c r="E30" i="2"/>
  <c r="D30" i="2"/>
  <c r="D29" i="2"/>
  <c r="E29" i="2"/>
  <c r="E33" i="2"/>
  <c r="D33" i="2"/>
  <c r="C33" i="2"/>
  <c r="E28" i="2"/>
  <c r="D28" i="2"/>
  <c r="C28" i="2"/>
  <c r="F25" i="2"/>
  <c r="F24" i="2"/>
  <c r="F23" i="2"/>
  <c r="F22" i="2"/>
  <c r="F21" i="2"/>
  <c r="F20" i="2"/>
  <c r="E25" i="2"/>
  <c r="D25" i="2"/>
  <c r="E24" i="2"/>
  <c r="D24" i="2"/>
  <c r="E23" i="2"/>
  <c r="D23" i="2"/>
  <c r="C25" i="2"/>
  <c r="C24" i="2"/>
  <c r="C23" i="2"/>
  <c r="E22" i="2"/>
  <c r="D22" i="2"/>
  <c r="C22" i="2"/>
  <c r="E21" i="2"/>
  <c r="D21" i="2"/>
  <c r="C21" i="2"/>
  <c r="E20" i="2"/>
  <c r="D20" i="2"/>
  <c r="C9" i="2"/>
  <c r="C12" i="2" s="1"/>
  <c r="C16" i="2" s="1"/>
  <c r="C18" i="2" s="1"/>
  <c r="E5" i="2"/>
  <c r="E9" i="2" s="1"/>
  <c r="E12" i="2" s="1"/>
  <c r="E16" i="2" s="1"/>
  <c r="E18" i="2" s="1"/>
  <c r="D5" i="2"/>
  <c r="D9" i="2" s="1"/>
  <c r="D12" i="2" s="1"/>
  <c r="D16" i="2" s="1"/>
  <c r="D18" i="2" s="1"/>
  <c r="C5" i="2"/>
  <c r="G2" i="1"/>
  <c r="F6" i="1"/>
  <c r="F4" i="1"/>
  <c r="F7" i="1" s="1"/>
  <c r="L5" i="2" l="1"/>
  <c r="L32" i="2"/>
  <c r="L27" i="2"/>
  <c r="G5" i="2"/>
  <c r="G27" i="2" s="1"/>
  <c r="L29" i="2"/>
  <c r="G9" i="2"/>
  <c r="G12" i="2" s="1"/>
  <c r="G35" i="2" s="1"/>
  <c r="G36" i="2" s="1"/>
  <c r="G37" i="2" s="1"/>
  <c r="G32" i="2"/>
  <c r="H5" i="2"/>
  <c r="I5" i="2"/>
  <c r="J5" i="2"/>
  <c r="L9" i="2"/>
  <c r="L12" i="2" s="1"/>
  <c r="L35" i="2" s="1"/>
  <c r="K5" i="2"/>
  <c r="D37" i="2"/>
  <c r="D36" i="2"/>
  <c r="G29" i="2" l="1"/>
  <c r="G31" i="2" s="1"/>
  <c r="I27" i="2"/>
  <c r="I32" i="2"/>
  <c r="I9" i="2"/>
  <c r="I12" i="2" s="1"/>
  <c r="I35" i="2" s="1"/>
  <c r="I36" i="2" s="1"/>
  <c r="I37" i="2" s="1"/>
  <c r="I29" i="2"/>
  <c r="H27" i="2"/>
  <c r="H29" i="2"/>
  <c r="H9" i="2"/>
  <c r="H12" i="2" s="1"/>
  <c r="H35" i="2" s="1"/>
  <c r="H32" i="2"/>
  <c r="G38" i="2"/>
  <c r="G45" i="2" s="1"/>
  <c r="L36" i="2"/>
  <c r="L37" i="2" s="1"/>
  <c r="J29" i="2"/>
  <c r="J32" i="2"/>
  <c r="J9" i="2"/>
  <c r="J12" i="2" s="1"/>
  <c r="J35" i="2" s="1"/>
  <c r="J27" i="2"/>
  <c r="K29" i="2"/>
  <c r="L31" i="2" s="1"/>
  <c r="K32" i="2"/>
  <c r="K9" i="2"/>
  <c r="K12" i="2" s="1"/>
  <c r="K35" i="2" s="1"/>
  <c r="K36" i="2" s="1"/>
  <c r="K37" i="2" s="1"/>
  <c r="K27" i="2"/>
  <c r="J31" i="2" l="1"/>
  <c r="L38" i="2"/>
  <c r="C47" i="2" s="1"/>
  <c r="C48" i="2" s="1"/>
  <c r="C49" i="2" s="1"/>
  <c r="H36" i="2"/>
  <c r="H37" i="2" s="1"/>
  <c r="I31" i="2"/>
  <c r="I38" i="2" s="1"/>
  <c r="I45" i="2" s="1"/>
  <c r="H31" i="2"/>
  <c r="K31" i="2"/>
  <c r="K38" i="2" s="1"/>
  <c r="K45" i="2" s="1"/>
  <c r="J36" i="2"/>
  <c r="J37" i="2"/>
  <c r="J38" i="2" s="1"/>
  <c r="J45" i="2" s="1"/>
  <c r="L45" i="2" l="1"/>
  <c r="H38" i="2"/>
  <c r="H45" i="2" s="1"/>
  <c r="C50" i="2" s="1"/>
  <c r="C51" i="2" s="1"/>
  <c r="C54" i="2" s="1"/>
  <c r="C55" i="2" s="1"/>
  <c r="C56" i="2" s="1"/>
</calcChain>
</file>

<file path=xl/sharedStrings.xml><?xml version="1.0" encoding="utf-8"?>
<sst xmlns="http://schemas.openxmlformats.org/spreadsheetml/2006/main" count="65" uniqueCount="57">
  <si>
    <t>AT&amp;T Inc.</t>
  </si>
  <si>
    <t>Ticker</t>
  </si>
  <si>
    <t>T</t>
  </si>
  <si>
    <t>Price</t>
  </si>
  <si>
    <t>Shares</t>
  </si>
  <si>
    <t>MC</t>
  </si>
  <si>
    <t>Cash</t>
  </si>
  <si>
    <t>Debt</t>
  </si>
  <si>
    <t>EV</t>
  </si>
  <si>
    <t>Q3 24</t>
  </si>
  <si>
    <t>Inc. in Deleware</t>
  </si>
  <si>
    <t>HQ in Dallas, TX</t>
  </si>
  <si>
    <t>Main</t>
  </si>
  <si>
    <t>Service</t>
  </si>
  <si>
    <t>Revenue</t>
  </si>
  <si>
    <t>Equipment</t>
  </si>
  <si>
    <t>Broadcast</t>
  </si>
  <si>
    <t>Other COGS</t>
  </si>
  <si>
    <t>Gross Profit</t>
  </si>
  <si>
    <t>SG&amp;A</t>
  </si>
  <si>
    <t>Restructuring</t>
  </si>
  <si>
    <t>Operating Income</t>
  </si>
  <si>
    <t>Interest Expense</t>
  </si>
  <si>
    <t>Equity in Net Income of Affiliates</t>
  </si>
  <si>
    <t>Other Income</t>
  </si>
  <si>
    <t>Pretax Income</t>
  </si>
  <si>
    <t>Income Taxes</t>
  </si>
  <si>
    <t>Net Income</t>
  </si>
  <si>
    <t>Revenue Growth y/y</t>
  </si>
  <si>
    <t>Gross Margin</t>
  </si>
  <si>
    <t>Operating Margin</t>
  </si>
  <si>
    <t>Other Income % of Rev</t>
  </si>
  <si>
    <t>Equity Income % of Rev</t>
  </si>
  <si>
    <t>Tax Rate</t>
  </si>
  <si>
    <t>AVG</t>
  </si>
  <si>
    <t>D&amp;A</t>
  </si>
  <si>
    <t>% of Revenue</t>
  </si>
  <si>
    <t>Working Capital</t>
  </si>
  <si>
    <t>CIWC</t>
  </si>
  <si>
    <t>CapEx</t>
  </si>
  <si>
    <t>Operating Taxes</t>
  </si>
  <si>
    <t>NOPAT</t>
  </si>
  <si>
    <t>UFCF</t>
  </si>
  <si>
    <t>Valuation Date</t>
  </si>
  <si>
    <t>Stub %</t>
  </si>
  <si>
    <t>Discount Rate</t>
  </si>
  <si>
    <t>Terminal Growth Rate</t>
  </si>
  <si>
    <t>PV of UFCF</t>
  </si>
  <si>
    <t>Final FCF</t>
  </si>
  <si>
    <t>Terminal Value</t>
  </si>
  <si>
    <t>PV of Terminal Value</t>
  </si>
  <si>
    <t>Sum of Stage 1 CF</t>
  </si>
  <si>
    <t>Enterprise Value</t>
  </si>
  <si>
    <t>Equity Value</t>
  </si>
  <si>
    <t>Share Price</t>
  </si>
  <si>
    <t>Implied Upside</t>
  </si>
  <si>
    <t>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</si>
</sst>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164" fontId="0" fillId="0" borderId="0" xfId="1" applyNumberFormat="1" applyFont="1"/>
    <xf numFmtId="14" fontId="0" fillId="0" borderId="0" xfId="0" applyNumberFormat="1"/>
    <xf numFmtId="0" fontId="3" fillId="0" borderId="0" xfId="3"/>
    <xf numFmtId="0" fontId="0" fillId="0" borderId="1" xfId="0" applyBorder="1"/>
    <xf numFmtId="0" fontId="2" fillId="0" borderId="0" xfId="0" applyFont="1"/>
    <xf numFmtId="164" fontId="2" fillId="0" borderId="0" xfId="1" applyNumberFormat="1" applyFont="1"/>
    <xf numFmtId="9" fontId="0" fillId="0" borderId="0" xfId="2" applyFont="1"/>
    <xf numFmtId="165" fontId="0" fillId="0" borderId="0" xfId="2" applyNumberFormat="1" applyFont="1"/>
    <xf numFmtId="165" fontId="4" fillId="0" borderId="0" xfId="2" applyNumberFormat="1" applyFont="1"/>
    <xf numFmtId="164" fontId="2" fillId="0" borderId="0" xfId="0" applyNumberFormat="1" applyFont="1"/>
    <xf numFmtId="14" fontId="0" fillId="0" borderId="0" xfId="1" applyNumberFormat="1" applyFont="1"/>
    <xf numFmtId="43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6EA0-61F3-4D47-915F-C35ACF1FC4CA}">
  <dimension ref="A1:J7"/>
  <sheetViews>
    <sheetView tabSelected="1" zoomScale="150" zoomScaleNormal="150" workbookViewId="0"/>
  </sheetViews>
  <sheetFormatPr defaultRowHeight="15" x14ac:dyDescent="0.25"/>
  <cols>
    <col min="6" max="6" width="13.42578125" bestFit="1" customWidth="1"/>
    <col min="7" max="7" width="10.5703125" bestFit="1" customWidth="1"/>
    <col min="9" max="9" width="10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E2" t="s">
        <v>3</v>
      </c>
      <c r="F2">
        <v>22.25</v>
      </c>
      <c r="G2" s="3">
        <f ca="1">TODAY()</f>
        <v>45657</v>
      </c>
      <c r="I2" t="s">
        <v>56</v>
      </c>
      <c r="J2" s="13">
        <f>F7/SUM(Model!E12,Model!E27)</f>
        <v>4.6886205645046299</v>
      </c>
    </row>
    <row r="3" spans="1:10" x14ac:dyDescent="0.25">
      <c r="E3" t="s">
        <v>4</v>
      </c>
      <c r="F3" s="2">
        <v>7175.2891570000002</v>
      </c>
      <c r="G3" t="s">
        <v>9</v>
      </c>
    </row>
    <row r="4" spans="1:10" x14ac:dyDescent="0.25">
      <c r="A4" t="s">
        <v>10</v>
      </c>
      <c r="E4" t="s">
        <v>5</v>
      </c>
      <c r="F4" s="2">
        <f>F2*F3</f>
        <v>159650.18374325</v>
      </c>
    </row>
    <row r="5" spans="1:10" x14ac:dyDescent="0.25">
      <c r="A5" t="s">
        <v>11</v>
      </c>
      <c r="E5" t="s">
        <v>6</v>
      </c>
      <c r="F5" s="2">
        <v>2586</v>
      </c>
      <c r="G5" t="s">
        <v>9</v>
      </c>
    </row>
    <row r="6" spans="1:10" x14ac:dyDescent="0.25">
      <c r="E6" t="s">
        <v>7</v>
      </c>
      <c r="F6" s="2">
        <f>2637+126375</f>
        <v>129012</v>
      </c>
      <c r="G6" t="s">
        <v>9</v>
      </c>
    </row>
    <row r="7" spans="1:10" x14ac:dyDescent="0.25">
      <c r="E7" t="s">
        <v>8</v>
      </c>
      <c r="F7" s="2">
        <f>F4-F5+F6</f>
        <v>286076.18374324997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9128-1440-4CBD-932D-51D3B04B6A40}">
  <dimension ref="A1:L56"/>
  <sheetViews>
    <sheetView topLeftCell="A39" zoomScale="160" zoomScaleNormal="160" workbookViewId="0">
      <selection activeCell="B56" sqref="B56"/>
    </sheetView>
  </sheetViews>
  <sheetFormatPr defaultRowHeight="15" x14ac:dyDescent="0.25"/>
  <cols>
    <col min="1" max="1" width="5.42578125" bestFit="1" customWidth="1"/>
    <col min="2" max="2" width="19.85546875" customWidth="1"/>
    <col min="3" max="3" width="11.5703125" style="2" bestFit="1" customWidth="1"/>
    <col min="4" max="5" width="9.28515625" style="2" bestFit="1" customWidth="1"/>
    <col min="7" max="12" width="10.42578125" customWidth="1"/>
  </cols>
  <sheetData>
    <row r="1" spans="1:12" x14ac:dyDescent="0.25">
      <c r="A1" s="4" t="s">
        <v>12</v>
      </c>
      <c r="C1"/>
      <c r="D1"/>
      <c r="E1"/>
      <c r="G1" s="3">
        <v>45657</v>
      </c>
      <c r="H1" s="3">
        <f>EOMONTH(G1,12)</f>
        <v>46022</v>
      </c>
      <c r="I1" s="3">
        <f t="shared" ref="I1:L1" si="0">EOMONTH(H1,12)</f>
        <v>46387</v>
      </c>
      <c r="J1" s="3">
        <f t="shared" si="0"/>
        <v>46752</v>
      </c>
      <c r="K1" s="3">
        <f t="shared" si="0"/>
        <v>47118</v>
      </c>
      <c r="L1" s="3">
        <f t="shared" si="0"/>
        <v>47483</v>
      </c>
    </row>
    <row r="2" spans="1:12" x14ac:dyDescent="0.25">
      <c r="C2" s="5">
        <v>2021</v>
      </c>
      <c r="D2" s="5">
        <v>2022</v>
      </c>
      <c r="E2" s="5">
        <v>2023</v>
      </c>
      <c r="F2" s="5"/>
      <c r="G2" s="5">
        <v>2024</v>
      </c>
      <c r="H2" s="5">
        <f>G2+1</f>
        <v>2025</v>
      </c>
      <c r="I2" s="5">
        <f t="shared" ref="I2:L2" si="1">H2+1</f>
        <v>2026</v>
      </c>
      <c r="J2" s="5">
        <f t="shared" si="1"/>
        <v>2027</v>
      </c>
      <c r="K2" s="5">
        <f t="shared" si="1"/>
        <v>2028</v>
      </c>
      <c r="L2" s="5">
        <f t="shared" si="1"/>
        <v>2029</v>
      </c>
    </row>
    <row r="3" spans="1:12" x14ac:dyDescent="0.25">
      <c r="B3" t="s">
        <v>13</v>
      </c>
      <c r="C3" s="2">
        <v>111565</v>
      </c>
      <c r="D3" s="2">
        <v>97649</v>
      </c>
      <c r="E3" s="2">
        <v>99649</v>
      </c>
      <c r="G3" s="2">
        <f>E3*(1+G20)</f>
        <v>95364.092999999993</v>
      </c>
      <c r="H3" s="2">
        <f>G3*(1+H20)</f>
        <v>91263.437000999984</v>
      </c>
      <c r="I3" s="2">
        <f t="shared" ref="I3:L3" si="2">H3*(1+I20)</f>
        <v>87339.10920995698</v>
      </c>
      <c r="J3" s="2">
        <f t="shared" si="2"/>
        <v>83583.527513928828</v>
      </c>
      <c r="K3" s="2">
        <f t="shared" si="2"/>
        <v>79989.435830829883</v>
      </c>
      <c r="L3" s="2">
        <f t="shared" si="2"/>
        <v>76549.890090104192</v>
      </c>
    </row>
    <row r="4" spans="1:12" x14ac:dyDescent="0.25">
      <c r="B4" t="s">
        <v>15</v>
      </c>
      <c r="C4" s="2">
        <v>22473</v>
      </c>
      <c r="D4" s="2">
        <v>22910</v>
      </c>
      <c r="E4" s="2">
        <v>22779</v>
      </c>
      <c r="G4" s="2">
        <f>E4*(1+G21)</f>
        <v>36218.609999999993</v>
      </c>
      <c r="H4" s="2">
        <f>G4*(1+H20)</f>
        <v>34661.209769999994</v>
      </c>
      <c r="I4" s="2">
        <f t="shared" ref="I4:L4" si="3">H4*(1+I20)</f>
        <v>33170.777749889996</v>
      </c>
      <c r="J4" s="2">
        <f t="shared" si="3"/>
        <v>31744.434306644725</v>
      </c>
      <c r="K4" s="2">
        <f t="shared" si="3"/>
        <v>30379.423631459002</v>
      </c>
      <c r="L4" s="2">
        <f t="shared" si="3"/>
        <v>29073.108415306262</v>
      </c>
    </row>
    <row r="5" spans="1:12" x14ac:dyDescent="0.25">
      <c r="B5" s="6" t="s">
        <v>14</v>
      </c>
      <c r="C5" s="7">
        <f>C3+C4</f>
        <v>134038</v>
      </c>
      <c r="D5" s="7">
        <f t="shared" ref="D5:E5" si="4">D3+D4</f>
        <v>120559</v>
      </c>
      <c r="E5" s="7">
        <f t="shared" si="4"/>
        <v>122428</v>
      </c>
      <c r="G5" s="2">
        <f>G3+G4</f>
        <v>131582.70299999998</v>
      </c>
      <c r="H5" s="2">
        <f t="shared" ref="H5:L5" si="5">H3+H4</f>
        <v>125924.64677099997</v>
      </c>
      <c r="I5" s="2">
        <f t="shared" si="5"/>
        <v>120509.88695984698</v>
      </c>
      <c r="J5" s="2">
        <f t="shared" si="5"/>
        <v>115327.96182057355</v>
      </c>
      <c r="K5" s="2">
        <f t="shared" si="5"/>
        <v>110368.85946228888</v>
      </c>
      <c r="L5" s="2">
        <f t="shared" si="5"/>
        <v>105622.99850541045</v>
      </c>
    </row>
    <row r="6" spans="1:12" x14ac:dyDescent="0.25">
      <c r="B6" t="s">
        <v>15</v>
      </c>
      <c r="C6" s="2">
        <v>23685</v>
      </c>
      <c r="D6" s="2">
        <v>24009</v>
      </c>
      <c r="E6" s="2">
        <v>23136</v>
      </c>
      <c r="G6" s="2"/>
      <c r="H6" s="2"/>
      <c r="I6" s="2"/>
      <c r="J6" s="2"/>
      <c r="K6" s="2"/>
      <c r="L6" s="2"/>
    </row>
    <row r="7" spans="1:12" x14ac:dyDescent="0.25">
      <c r="B7" t="s">
        <v>16</v>
      </c>
      <c r="C7" s="2">
        <v>8106</v>
      </c>
      <c r="D7" s="2">
        <v>0</v>
      </c>
      <c r="E7" s="2">
        <v>0</v>
      </c>
      <c r="G7" s="2"/>
      <c r="H7" s="2"/>
      <c r="I7" s="2"/>
      <c r="J7" s="2"/>
      <c r="K7" s="2"/>
      <c r="L7" s="2"/>
    </row>
    <row r="8" spans="1:12" x14ac:dyDescent="0.25">
      <c r="B8" t="s">
        <v>17</v>
      </c>
      <c r="C8" s="2">
        <v>28616</v>
      </c>
      <c r="D8" s="2">
        <v>26839</v>
      </c>
      <c r="E8" s="2">
        <v>26987</v>
      </c>
      <c r="G8" s="2"/>
      <c r="H8" s="2"/>
      <c r="I8" s="2"/>
      <c r="J8" s="2"/>
      <c r="K8" s="2"/>
      <c r="L8" s="2"/>
    </row>
    <row r="9" spans="1:12" x14ac:dyDescent="0.25">
      <c r="B9" t="s">
        <v>18</v>
      </c>
      <c r="C9" s="2">
        <f>C5-SUM(C6:C8)</f>
        <v>73631</v>
      </c>
      <c r="D9" s="2">
        <f t="shared" ref="D9" si="6">D5-SUM(D6:D8)</f>
        <v>69711</v>
      </c>
      <c r="E9" s="2">
        <f>E5-SUM(E6:E8)</f>
        <v>72305</v>
      </c>
      <c r="G9" s="2">
        <f>G5*G21</f>
        <v>77633.794769999979</v>
      </c>
      <c r="H9" s="2">
        <f t="shared" ref="H9:L9" si="7">H5*H21</f>
        <v>74295.541594889975</v>
      </c>
      <c r="I9" s="2">
        <f t="shared" si="7"/>
        <v>71100.833306309709</v>
      </c>
      <c r="J9" s="2">
        <f t="shared" si="7"/>
        <v>68043.497474138392</v>
      </c>
      <c r="K9" s="2">
        <f t="shared" si="7"/>
        <v>65117.627082750434</v>
      </c>
      <c r="L9" s="2">
        <f t="shared" si="7"/>
        <v>62317.569118192157</v>
      </c>
    </row>
    <row r="10" spans="1:12" x14ac:dyDescent="0.25">
      <c r="B10" t="s">
        <v>19</v>
      </c>
      <c r="C10" s="2">
        <v>29669</v>
      </c>
      <c r="D10" s="2">
        <v>28961</v>
      </c>
      <c r="E10" s="2">
        <v>28874</v>
      </c>
      <c r="G10" s="2">
        <v>29000</v>
      </c>
      <c r="H10" s="2">
        <v>29000</v>
      </c>
      <c r="I10" s="2">
        <v>29000</v>
      </c>
      <c r="J10" s="2">
        <v>29000</v>
      </c>
      <c r="K10" s="2">
        <v>29000</v>
      </c>
      <c r="L10" s="2">
        <v>29000</v>
      </c>
    </row>
    <row r="11" spans="1:12" x14ac:dyDescent="0.25">
      <c r="B11" t="s">
        <v>20</v>
      </c>
      <c r="C11" s="2">
        <v>213</v>
      </c>
      <c r="D11" s="2">
        <v>27498</v>
      </c>
      <c r="E11" s="2">
        <v>1193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</row>
    <row r="12" spans="1:12" x14ac:dyDescent="0.25">
      <c r="B12" t="s">
        <v>21</v>
      </c>
      <c r="C12" s="2">
        <f>C9-C10-C11</f>
        <v>43749</v>
      </c>
      <c r="D12" s="2">
        <f t="shared" ref="D12:E12" si="8">D9-D10-D11</f>
        <v>13252</v>
      </c>
      <c r="E12" s="2">
        <f t="shared" si="8"/>
        <v>42238</v>
      </c>
      <c r="G12" s="2">
        <f>G9-G10-G11</f>
        <v>47633.794769999979</v>
      </c>
      <c r="H12" s="2">
        <f t="shared" ref="H12:L12" si="9">H9-H10-H11</f>
        <v>44295.541594889975</v>
      </c>
      <c r="I12" s="2">
        <f t="shared" si="9"/>
        <v>41100.833306309709</v>
      </c>
      <c r="J12" s="2">
        <f t="shared" si="9"/>
        <v>38043.497474138392</v>
      </c>
      <c r="K12" s="2">
        <f t="shared" si="9"/>
        <v>35117.627082750434</v>
      </c>
      <c r="L12" s="2">
        <f t="shared" si="9"/>
        <v>32317.569118192157</v>
      </c>
    </row>
    <row r="13" spans="1:12" x14ac:dyDescent="0.25">
      <c r="B13" t="s">
        <v>22</v>
      </c>
      <c r="C13" s="2">
        <v>6716</v>
      </c>
      <c r="D13" s="2">
        <v>6108</v>
      </c>
      <c r="E13" s="2">
        <v>6704</v>
      </c>
      <c r="G13" s="2"/>
      <c r="H13" s="2"/>
      <c r="I13" s="2"/>
      <c r="J13" s="2"/>
      <c r="K13" s="2"/>
      <c r="L13" s="2"/>
    </row>
    <row r="14" spans="1:12" x14ac:dyDescent="0.25">
      <c r="B14" t="s">
        <v>23</v>
      </c>
      <c r="C14" s="2">
        <v>603</v>
      </c>
      <c r="D14" s="2">
        <v>1791</v>
      </c>
      <c r="E14" s="2">
        <v>1675</v>
      </c>
      <c r="G14" s="2"/>
      <c r="H14" s="2"/>
      <c r="I14" s="2"/>
      <c r="J14" s="2"/>
      <c r="K14" s="2"/>
      <c r="L14" s="2"/>
    </row>
    <row r="15" spans="1:12" x14ac:dyDescent="0.25">
      <c r="B15" t="s">
        <v>24</v>
      </c>
      <c r="C15" s="2">
        <v>9387</v>
      </c>
      <c r="D15" s="2">
        <v>5810</v>
      </c>
      <c r="E15" s="2">
        <v>1416</v>
      </c>
      <c r="G15" s="2"/>
      <c r="H15" s="2"/>
      <c r="I15" s="2"/>
      <c r="J15" s="2"/>
      <c r="K15" s="2"/>
      <c r="L15" s="2"/>
    </row>
    <row r="16" spans="1:12" x14ac:dyDescent="0.25">
      <c r="B16" t="s">
        <v>25</v>
      </c>
      <c r="C16" s="2">
        <f>C12-C13+C14+C15</f>
        <v>47023</v>
      </c>
      <c r="D16" s="2">
        <f t="shared" ref="D16:E16" si="10">D12-D13+D14+D15</f>
        <v>14745</v>
      </c>
      <c r="E16" s="2">
        <f t="shared" si="10"/>
        <v>38625</v>
      </c>
      <c r="G16" s="2"/>
      <c r="H16" s="2"/>
      <c r="I16" s="2"/>
      <c r="J16" s="2"/>
      <c r="K16" s="2"/>
      <c r="L16" s="2"/>
    </row>
    <row r="17" spans="1:12" x14ac:dyDescent="0.25">
      <c r="B17" t="s">
        <v>26</v>
      </c>
      <c r="C17" s="2">
        <v>5395</v>
      </c>
      <c r="D17" s="2">
        <v>3780</v>
      </c>
      <c r="E17" s="2">
        <v>4225</v>
      </c>
      <c r="G17" s="2"/>
      <c r="H17" s="2"/>
      <c r="I17" s="2"/>
      <c r="J17" s="2"/>
      <c r="K17" s="2"/>
      <c r="L17" s="2"/>
    </row>
    <row r="18" spans="1:12" x14ac:dyDescent="0.25">
      <c r="B18" t="s">
        <v>27</v>
      </c>
      <c r="C18" s="2">
        <f>C16-C17</f>
        <v>41628</v>
      </c>
      <c r="D18" s="2">
        <f t="shared" ref="D18:E18" si="11">D16-D17</f>
        <v>10965</v>
      </c>
      <c r="E18" s="2">
        <f t="shared" si="11"/>
        <v>34400</v>
      </c>
      <c r="G18" s="2"/>
      <c r="H18" s="2"/>
      <c r="I18" s="2"/>
      <c r="J18" s="2"/>
      <c r="K18" s="2"/>
      <c r="L18" s="2"/>
    </row>
    <row r="19" spans="1:12" x14ac:dyDescent="0.25">
      <c r="F19" t="s">
        <v>34</v>
      </c>
    </row>
    <row r="20" spans="1:12" x14ac:dyDescent="0.25">
      <c r="B20" t="s">
        <v>28</v>
      </c>
      <c r="C20" s="9"/>
      <c r="D20" s="9">
        <f>(D5/C5)-1</f>
        <v>-0.10056103493039292</v>
      </c>
      <c r="E20" s="9">
        <f>(E5/D5)-1</f>
        <v>1.5502782869798226E-2</v>
      </c>
      <c r="F20" s="10">
        <f>AVERAGE(C20:E20)</f>
        <v>-4.2529126030297348E-2</v>
      </c>
      <c r="G20" s="9">
        <v>-4.2999999999999997E-2</v>
      </c>
      <c r="H20" s="9">
        <v>-4.2999999999999997E-2</v>
      </c>
      <c r="I20" s="9">
        <v>-4.2999999999999997E-2</v>
      </c>
      <c r="J20" s="9">
        <v>-4.2999999999999997E-2</v>
      </c>
      <c r="K20" s="9">
        <v>-4.2999999999999997E-2</v>
      </c>
      <c r="L20" s="9">
        <v>-4.2999999999999997E-2</v>
      </c>
    </row>
    <row r="21" spans="1:12" x14ac:dyDescent="0.25">
      <c r="B21" t="s">
        <v>29</v>
      </c>
      <c r="C21" s="9">
        <f>C9/C5</f>
        <v>0.5493292946776287</v>
      </c>
      <c r="D21" s="9">
        <f t="shared" ref="D21:E21" si="12">D9/D5</f>
        <v>0.57823140536998485</v>
      </c>
      <c r="E21" s="9">
        <f t="shared" si="12"/>
        <v>0.59059202143300549</v>
      </c>
      <c r="F21" s="10">
        <f t="shared" ref="F21:F25" si="13">AVERAGE(C21:E21)</f>
        <v>0.57271757382687305</v>
      </c>
      <c r="G21" s="9">
        <v>0.59</v>
      </c>
      <c r="H21" s="9">
        <v>0.59</v>
      </c>
      <c r="I21" s="9">
        <v>0.59</v>
      </c>
      <c r="J21" s="9">
        <v>0.59</v>
      </c>
      <c r="K21" s="9">
        <v>0.59</v>
      </c>
      <c r="L21" s="9">
        <v>0.59</v>
      </c>
    </row>
    <row r="22" spans="1:12" x14ac:dyDescent="0.25">
      <c r="B22" t="s">
        <v>30</v>
      </c>
      <c r="C22" s="9">
        <f>C12/C5</f>
        <v>0.32639251555529031</v>
      </c>
      <c r="D22" s="9">
        <f t="shared" ref="D22:E22" si="14">D12/D5</f>
        <v>0.10992128335503779</v>
      </c>
      <c r="E22" s="9">
        <f t="shared" si="14"/>
        <v>0.34500277714248373</v>
      </c>
      <c r="F22" s="10">
        <f t="shared" si="13"/>
        <v>0.26043885868427058</v>
      </c>
      <c r="G22" s="9">
        <v>0.34499999999999997</v>
      </c>
      <c r="H22" s="9">
        <v>0.34</v>
      </c>
      <c r="I22" s="9">
        <v>0.33500000000000002</v>
      </c>
      <c r="J22" s="9">
        <v>0.33</v>
      </c>
      <c r="K22" s="9">
        <v>0.32500000000000001</v>
      </c>
      <c r="L22" s="9">
        <v>0.32</v>
      </c>
    </row>
    <row r="23" spans="1:12" x14ac:dyDescent="0.25">
      <c r="B23" t="s">
        <v>31</v>
      </c>
      <c r="C23" s="9">
        <f>C15/C5</f>
        <v>7.003237887763171E-2</v>
      </c>
      <c r="D23" s="9">
        <f t="shared" ref="D23:E23" si="15">D15/D5</f>
        <v>4.8192171467911979E-2</v>
      </c>
      <c r="E23" s="9">
        <f t="shared" si="15"/>
        <v>1.1565981638187343E-2</v>
      </c>
      <c r="F23" s="10">
        <f t="shared" si="13"/>
        <v>4.3263510661243676E-2</v>
      </c>
      <c r="G23" s="9">
        <v>0.01</v>
      </c>
      <c r="H23" s="9">
        <v>0.01</v>
      </c>
      <c r="I23" s="9">
        <v>0.01</v>
      </c>
      <c r="J23" s="9">
        <v>0.01</v>
      </c>
      <c r="K23" s="9">
        <v>0.01</v>
      </c>
      <c r="L23" s="9">
        <v>0.01</v>
      </c>
    </row>
    <row r="24" spans="1:12" x14ac:dyDescent="0.25">
      <c r="B24" t="s">
        <v>32</v>
      </c>
      <c r="C24" s="9">
        <f>C14/C5</f>
        <v>4.4987242423790265E-3</v>
      </c>
      <c r="D24" s="9">
        <f t="shared" ref="D24:E24" si="16">D14/D5</f>
        <v>1.4855796746821059E-2</v>
      </c>
      <c r="E24" s="9">
        <f t="shared" si="16"/>
        <v>1.3681510765511157E-2</v>
      </c>
      <c r="F24" s="10">
        <f t="shared" si="13"/>
        <v>1.1012010584903748E-2</v>
      </c>
      <c r="G24" s="9">
        <v>0.01</v>
      </c>
      <c r="H24" s="9">
        <v>0.01</v>
      </c>
      <c r="I24" s="9">
        <v>0.01</v>
      </c>
      <c r="J24" s="9">
        <v>0.01</v>
      </c>
      <c r="K24" s="9">
        <v>0.01</v>
      </c>
      <c r="L24" s="9">
        <v>0.01</v>
      </c>
    </row>
    <row r="25" spans="1:12" x14ac:dyDescent="0.25">
      <c r="B25" t="s">
        <v>33</v>
      </c>
      <c r="C25" s="9">
        <f>C17/C16</f>
        <v>0.11473108904153287</v>
      </c>
      <c r="D25" s="9">
        <f t="shared" ref="D25:E25" si="17">D17/D16</f>
        <v>0.25635808748728384</v>
      </c>
      <c r="E25" s="9">
        <f t="shared" si="17"/>
        <v>0.10938511326860842</v>
      </c>
      <c r="F25" s="10">
        <f t="shared" si="13"/>
        <v>0.16015809659914171</v>
      </c>
      <c r="G25" s="9">
        <v>0.16</v>
      </c>
      <c r="H25" s="9">
        <v>0.16</v>
      </c>
      <c r="I25" s="9">
        <v>0.16</v>
      </c>
      <c r="J25" s="9">
        <v>0.16</v>
      </c>
      <c r="K25" s="9">
        <v>0.16</v>
      </c>
      <c r="L25" s="9">
        <v>0.16</v>
      </c>
    </row>
    <row r="27" spans="1:12" x14ac:dyDescent="0.25">
      <c r="B27" t="s">
        <v>35</v>
      </c>
      <c r="C27" s="2">
        <v>17852</v>
      </c>
      <c r="D27" s="2">
        <v>18021</v>
      </c>
      <c r="E27" s="2">
        <v>18777</v>
      </c>
      <c r="G27" s="2">
        <f>G5*G28</f>
        <v>20132.153558999995</v>
      </c>
      <c r="H27" s="2">
        <f t="shared" ref="H27:L27" si="18">H5*H28</f>
        <v>19266.470955962996</v>
      </c>
      <c r="I27" s="2">
        <f t="shared" si="18"/>
        <v>18438.012704856588</v>
      </c>
      <c r="J27" s="2">
        <f t="shared" si="18"/>
        <v>17645.178158547751</v>
      </c>
      <c r="K27" s="2">
        <f t="shared" si="18"/>
        <v>16886.435497730199</v>
      </c>
      <c r="L27" s="2">
        <f t="shared" si="18"/>
        <v>16160.318771327798</v>
      </c>
    </row>
    <row r="28" spans="1:12" s="8" customFormat="1" x14ac:dyDescent="0.25">
      <c r="A28"/>
      <c r="B28" t="s">
        <v>36</v>
      </c>
      <c r="C28" s="9">
        <f>C27/C5</f>
        <v>0.13318611140124442</v>
      </c>
      <c r="D28" s="9">
        <f t="shared" ref="D28:E28" si="19">D27/D5</f>
        <v>0.14947867848937035</v>
      </c>
      <c r="E28" s="9">
        <f t="shared" si="19"/>
        <v>0.15337177769791224</v>
      </c>
      <c r="G28" s="9">
        <v>0.153</v>
      </c>
      <c r="H28" s="9">
        <v>0.153</v>
      </c>
      <c r="I28" s="9">
        <v>0.153</v>
      </c>
      <c r="J28" s="9">
        <v>0.153</v>
      </c>
      <c r="K28" s="9">
        <v>0.153</v>
      </c>
      <c r="L28" s="9">
        <v>0.153</v>
      </c>
    </row>
    <row r="29" spans="1:12" x14ac:dyDescent="0.25">
      <c r="B29" t="s">
        <v>37</v>
      </c>
      <c r="D29" s="2">
        <f>33108-3701-56173+7467</f>
        <v>-19299</v>
      </c>
      <c r="E29" s="2">
        <f>36458-6722-51127+9477</f>
        <v>-11914</v>
      </c>
      <c r="G29" s="2">
        <f>G5*G30</f>
        <v>-12763.522190999998</v>
      </c>
      <c r="H29" s="2">
        <f t="shared" ref="H29:L29" si="20">H5*H30</f>
        <v>-10955.444269076997</v>
      </c>
      <c r="I29" s="2">
        <f t="shared" si="20"/>
        <v>-9279.2612959082162</v>
      </c>
      <c r="J29" s="2">
        <f t="shared" si="20"/>
        <v>-8880.2530601841627</v>
      </c>
      <c r="K29" s="2">
        <f t="shared" si="20"/>
        <v>-8498.4021785962432</v>
      </c>
      <c r="L29" s="2">
        <f t="shared" si="20"/>
        <v>-8132.9708849166045</v>
      </c>
    </row>
    <row r="30" spans="1:12" s="8" customFormat="1" x14ac:dyDescent="0.25">
      <c r="A30"/>
      <c r="B30" t="s">
        <v>36</v>
      </c>
      <c r="C30" s="2"/>
      <c r="D30" s="9">
        <f>D29/D5</f>
        <v>-0.16007929727353412</v>
      </c>
      <c r="E30" s="9">
        <f>E29/E5</f>
        <v>-9.7314339856895485E-2</v>
      </c>
      <c r="G30" s="9">
        <v>-9.7000000000000003E-2</v>
      </c>
      <c r="H30" s="9">
        <v>-8.6999999999999994E-2</v>
      </c>
      <c r="I30" s="9">
        <v>-7.6999999999999999E-2</v>
      </c>
      <c r="J30" s="9">
        <v>-7.6999999999999999E-2</v>
      </c>
      <c r="K30" s="9">
        <v>-7.6999999999999999E-2</v>
      </c>
      <c r="L30" s="9">
        <v>-7.6999999999999999E-2</v>
      </c>
    </row>
    <row r="31" spans="1:12" x14ac:dyDescent="0.25">
      <c r="B31" t="s">
        <v>38</v>
      </c>
      <c r="E31" s="2">
        <f>D29-E29</f>
        <v>-7385</v>
      </c>
      <c r="G31" s="2">
        <f>E29-G29</f>
        <v>849.5221909999982</v>
      </c>
      <c r="H31" s="2">
        <f t="shared" ref="H31:L31" si="21">G29-H29</f>
        <v>-1808.0779219230008</v>
      </c>
      <c r="I31" s="2">
        <f t="shared" si="21"/>
        <v>-1676.1829731687812</v>
      </c>
      <c r="J31" s="2">
        <f t="shared" si="21"/>
        <v>-399.00823572405352</v>
      </c>
      <c r="K31" s="2">
        <f t="shared" si="21"/>
        <v>-381.8508815879195</v>
      </c>
      <c r="L31" s="2">
        <f t="shared" si="21"/>
        <v>-365.43129367963866</v>
      </c>
    </row>
    <row r="32" spans="1:12" x14ac:dyDescent="0.25">
      <c r="B32" t="s">
        <v>39</v>
      </c>
      <c r="C32" s="2">
        <v>15545</v>
      </c>
      <c r="D32" s="2">
        <v>19626</v>
      </c>
      <c r="E32" s="2">
        <v>17853</v>
      </c>
      <c r="G32" s="2">
        <f>G5*G33</f>
        <v>19211.074637999995</v>
      </c>
      <c r="H32" s="2">
        <f t="shared" ref="H32:L32" si="22">H5*H33</f>
        <v>18384.998428565996</v>
      </c>
      <c r="I32" s="2">
        <f t="shared" si="22"/>
        <v>17594.443496137657</v>
      </c>
      <c r="J32" s="2">
        <f t="shared" si="22"/>
        <v>16837.882425803738</v>
      </c>
      <c r="K32" s="2">
        <f t="shared" si="22"/>
        <v>16113.853481494176</v>
      </c>
      <c r="L32" s="2">
        <f t="shared" si="22"/>
        <v>15420.957781789924</v>
      </c>
    </row>
    <row r="33" spans="1:12" s="8" customFormat="1" x14ac:dyDescent="0.25">
      <c r="A33"/>
      <c r="B33" t="s">
        <v>36</v>
      </c>
      <c r="C33" s="9">
        <f>C32/C5</f>
        <v>0.11597457437443114</v>
      </c>
      <c r="D33" s="9">
        <f t="shared" ref="D33:E33" si="23">D32/D5</f>
        <v>0.16279166217370747</v>
      </c>
      <c r="E33" s="9">
        <f t="shared" si="23"/>
        <v>0.14582448459502728</v>
      </c>
      <c r="G33" s="9">
        <v>0.14599999999999999</v>
      </c>
      <c r="H33" s="9">
        <v>0.14599999999999999</v>
      </c>
      <c r="I33" s="9">
        <v>0.14599999999999999</v>
      </c>
      <c r="J33" s="9">
        <v>0.14599999999999999</v>
      </c>
      <c r="K33" s="9">
        <v>0.14599999999999999</v>
      </c>
      <c r="L33" s="9">
        <v>0.14599999999999999</v>
      </c>
    </row>
    <row r="35" spans="1:12" x14ac:dyDescent="0.25">
      <c r="B35" t="s">
        <v>21</v>
      </c>
      <c r="C35" s="2">
        <f>C12</f>
        <v>43749</v>
      </c>
      <c r="D35" s="2">
        <f t="shared" ref="D35:L35" si="24">D12</f>
        <v>13252</v>
      </c>
      <c r="E35" s="2">
        <f t="shared" si="24"/>
        <v>42238</v>
      </c>
      <c r="F35" s="2"/>
      <c r="G35" s="2">
        <f t="shared" si="24"/>
        <v>47633.794769999979</v>
      </c>
      <c r="H35" s="2">
        <f t="shared" si="24"/>
        <v>44295.541594889975</v>
      </c>
      <c r="I35" s="2">
        <f t="shared" si="24"/>
        <v>41100.833306309709</v>
      </c>
      <c r="J35" s="2">
        <f t="shared" si="24"/>
        <v>38043.497474138392</v>
      </c>
      <c r="K35" s="2">
        <f t="shared" si="24"/>
        <v>35117.627082750434</v>
      </c>
      <c r="L35" s="2">
        <f t="shared" si="24"/>
        <v>32317.569118192157</v>
      </c>
    </row>
    <row r="36" spans="1:12" x14ac:dyDescent="0.25">
      <c r="B36" t="s">
        <v>40</v>
      </c>
      <c r="C36" s="2">
        <f>C35*C25</f>
        <v>5019.3704144780213</v>
      </c>
      <c r="D36" s="2">
        <f t="shared" ref="D36:L36" si="25">D35*D25</f>
        <v>3397.2573753814854</v>
      </c>
      <c r="E36" s="2">
        <f t="shared" si="25"/>
        <v>4620.2084142394824</v>
      </c>
      <c r="F36" s="2"/>
      <c r="G36" s="2">
        <f t="shared" si="25"/>
        <v>7621.4071631999968</v>
      </c>
      <c r="H36" s="2">
        <f t="shared" si="25"/>
        <v>7087.2866551823963</v>
      </c>
      <c r="I36" s="2">
        <f t="shared" si="25"/>
        <v>6576.1333290095536</v>
      </c>
      <c r="J36" s="2">
        <f t="shared" si="25"/>
        <v>6086.959595862143</v>
      </c>
      <c r="K36" s="2">
        <f t="shared" si="25"/>
        <v>5618.8203332400699</v>
      </c>
      <c r="L36" s="2">
        <f t="shared" si="25"/>
        <v>5170.8110589107455</v>
      </c>
    </row>
    <row r="37" spans="1:12" x14ac:dyDescent="0.25">
      <c r="B37" t="s">
        <v>41</v>
      </c>
      <c r="C37" s="2">
        <f>C35-C36</f>
        <v>38729.62958552198</v>
      </c>
      <c r="D37" s="2">
        <f t="shared" ref="D37:L37" si="26">D35-D36</f>
        <v>9854.742624618515</v>
      </c>
      <c r="E37" s="2">
        <f t="shared" si="26"/>
        <v>37617.791585760519</v>
      </c>
      <c r="F37" s="2"/>
      <c r="G37" s="2">
        <f t="shared" si="26"/>
        <v>40012.387606799981</v>
      </c>
      <c r="H37" s="2">
        <f t="shared" si="26"/>
        <v>37208.254939707578</v>
      </c>
      <c r="I37" s="2">
        <f t="shared" si="26"/>
        <v>34524.699977300159</v>
      </c>
      <c r="J37" s="2">
        <f t="shared" si="26"/>
        <v>31956.537878276249</v>
      </c>
      <c r="K37" s="2">
        <f t="shared" si="26"/>
        <v>29498.806749510364</v>
      </c>
      <c r="L37" s="2">
        <f t="shared" si="26"/>
        <v>27146.758059281412</v>
      </c>
    </row>
    <row r="38" spans="1:12" x14ac:dyDescent="0.25">
      <c r="B38" s="6" t="s">
        <v>42</v>
      </c>
      <c r="G38" s="11">
        <f>G37+G27+G31-G32</f>
        <v>41782.988718799985</v>
      </c>
      <c r="H38" s="11">
        <f t="shared" ref="H38:L38" si="27">H37+H27+H31-H32</f>
        <v>36281.649545181579</v>
      </c>
      <c r="I38" s="11">
        <f t="shared" si="27"/>
        <v>33692.086212850307</v>
      </c>
      <c r="J38" s="11">
        <f t="shared" si="27"/>
        <v>32364.825375296208</v>
      </c>
      <c r="K38" s="11">
        <f t="shared" si="27"/>
        <v>29889.537884158468</v>
      </c>
      <c r="L38" s="11">
        <f t="shared" si="27"/>
        <v>27520.687755139639</v>
      </c>
    </row>
    <row r="40" spans="1:12" x14ac:dyDescent="0.25">
      <c r="B40" t="s">
        <v>43</v>
      </c>
      <c r="C40" s="12">
        <f ca="1">TODAY()</f>
        <v>45657</v>
      </c>
    </row>
    <row r="41" spans="1:12" x14ac:dyDescent="0.25">
      <c r="B41" t="s">
        <v>44</v>
      </c>
      <c r="C41" s="8">
        <f ca="1">(G1-v)/365</f>
        <v>0</v>
      </c>
    </row>
    <row r="42" spans="1:12" x14ac:dyDescent="0.25">
      <c r="B42" t="s">
        <v>45</v>
      </c>
      <c r="C42" s="8">
        <v>0.08</v>
      </c>
    </row>
    <row r="43" spans="1:12" x14ac:dyDescent="0.25">
      <c r="B43" t="s">
        <v>46</v>
      </c>
      <c r="C43" s="8">
        <v>-0.01</v>
      </c>
    </row>
    <row r="45" spans="1:12" x14ac:dyDescent="0.25">
      <c r="B45" s="6" t="s">
        <v>47</v>
      </c>
      <c r="G45" s="7">
        <f ca="1">C41*G38/(1+d)^((G1-v)/365)</f>
        <v>0</v>
      </c>
      <c r="H45" s="7">
        <f ca="1">H38/(1+d)^((H1-v)/365)</f>
        <v>33594.119949242202</v>
      </c>
      <c r="I45" s="7">
        <f ca="1">I38/(1+d)^((I1-v)/365)</f>
        <v>28885.533447231057</v>
      </c>
      <c r="J45" s="7">
        <f ca="1">J38/(1+d)^((J1-v)/365)</f>
        <v>25692.24185789784</v>
      </c>
      <c r="K45" s="7">
        <f ca="1">K38/(1+d)^((K1-v)/365)</f>
        <v>21965.070760065177</v>
      </c>
      <c r="L45" s="7">
        <f ca="1">L38/(1+d)^((L1-v)/365)</f>
        <v>18726.168787383649</v>
      </c>
    </row>
    <row r="47" spans="1:12" x14ac:dyDescent="0.25">
      <c r="B47" t="s">
        <v>48</v>
      </c>
      <c r="C47" s="2">
        <f>L38</f>
        <v>27520.687755139639</v>
      </c>
    </row>
    <row r="48" spans="1:12" x14ac:dyDescent="0.25">
      <c r="B48" t="s">
        <v>49</v>
      </c>
      <c r="C48" s="2">
        <f>C47/(d-g)</f>
        <v>305785.41950155154</v>
      </c>
    </row>
    <row r="49" spans="2:3" x14ac:dyDescent="0.25">
      <c r="B49" t="s">
        <v>50</v>
      </c>
      <c r="C49" s="2">
        <f ca="1">C48/(1+d)^((L1-v)/365)</f>
        <v>208068.54208204054</v>
      </c>
    </row>
    <row r="50" spans="2:3" x14ac:dyDescent="0.25">
      <c r="B50" t="s">
        <v>51</v>
      </c>
      <c r="C50" s="2">
        <f ca="1">SUM(G45:L45)</f>
        <v>128863.13480181994</v>
      </c>
    </row>
    <row r="51" spans="2:3" x14ac:dyDescent="0.25">
      <c r="B51" t="s">
        <v>52</v>
      </c>
      <c r="C51" s="2">
        <f ca="1">C49+C50</f>
        <v>336931.67688386049</v>
      </c>
    </row>
    <row r="52" spans="2:3" x14ac:dyDescent="0.25">
      <c r="B52" t="s">
        <v>6</v>
      </c>
      <c r="C52" s="2">
        <f>Cash</f>
        <v>2586</v>
      </c>
    </row>
    <row r="53" spans="2:3" x14ac:dyDescent="0.25">
      <c r="B53" t="s">
        <v>7</v>
      </c>
      <c r="C53" s="2">
        <f>Debt</f>
        <v>129012</v>
      </c>
    </row>
    <row r="54" spans="2:3" x14ac:dyDescent="0.25">
      <c r="B54" t="s">
        <v>53</v>
      </c>
      <c r="C54" s="2">
        <f ca="1">C51-C52+C53</f>
        <v>463357.67688386049</v>
      </c>
    </row>
    <row r="55" spans="2:3" x14ac:dyDescent="0.25">
      <c r="B55" t="s">
        <v>54</v>
      </c>
      <c r="C55" s="1">
        <f ca="1">C54/Shares</f>
        <v>64.576864673366146</v>
      </c>
    </row>
    <row r="56" spans="2:3" x14ac:dyDescent="0.25">
      <c r="B56" t="s">
        <v>55</v>
      </c>
      <c r="C56" s="8">
        <f ca="1">(C55/Price)-1</f>
        <v>1.902330996555782</v>
      </c>
    </row>
  </sheetData>
  <hyperlinks>
    <hyperlink ref="A1" location="Main!A1" display="Main" xr:uid="{04F194F4-026E-4061-AC35-FA98EAD70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Main</vt:lpstr>
      <vt:lpstr>Model</vt:lpstr>
      <vt:lpstr>Cash</vt:lpstr>
      <vt:lpstr>d</vt:lpstr>
      <vt:lpstr>Debt</vt:lpstr>
      <vt:lpstr>g</vt:lpstr>
      <vt:lpstr>Price</vt:lpstr>
      <vt:lpstr>Shares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2024-11-16T00:29:59Z</dcterms:created>
  <dcterms:modified xsi:type="dcterms:W3CDTF">2024-12-31T21:28:09Z</dcterms:modified>
</cp:coreProperties>
</file>