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de\Dropbox\Jayden\Stocks\Tech\"/>
    </mc:Choice>
  </mc:AlternateContent>
  <xr:revisionPtr revIDLastSave="0" documentId="13_ncr:1_{5E4ED9B2-F711-448C-A5BB-EE3D2FEFE31E}" xr6:coauthVersionLast="47" xr6:coauthVersionMax="47" xr10:uidLastSave="{00000000-0000-0000-0000-000000000000}"/>
  <bookViews>
    <workbookView xWindow="34260" yWindow="2535" windowWidth="21600" windowHeight="11295" xr2:uid="{05227719-63C4-4ACF-8251-DC6395BDC0E6}"/>
  </bookViews>
  <sheets>
    <sheet name="Main" sheetId="1" r:id="rId1"/>
    <sheet name="Model" sheetId="2" r:id="rId2"/>
  </sheets>
  <definedNames>
    <definedName name="discount">Model!$Q$36</definedName>
    <definedName name="dr">Model!$Q$36</definedName>
    <definedName name="tgr">Model!$Q$37</definedName>
    <definedName name="valDate">Model!$Q$34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Q46" i="2"/>
  <c r="Q34" i="2"/>
  <c r="Q35" i="2" s="1"/>
  <c r="S29" i="2"/>
  <c r="R29" i="2"/>
  <c r="Q30" i="2"/>
  <c r="Q31" i="2" s="1"/>
  <c r="Q29" i="2"/>
  <c r="V26" i="2"/>
  <c r="X10" i="2"/>
  <c r="U3" i="2"/>
  <c r="V3" i="2" s="1"/>
  <c r="W3" i="2" s="1"/>
  <c r="X3" i="2" s="1"/>
  <c r="Y3" i="2" s="1"/>
  <c r="Y5" i="2" s="1"/>
  <c r="W1" i="2"/>
  <c r="X1" i="2" s="1"/>
  <c r="Y1" i="2" s="1"/>
  <c r="V1" i="2"/>
  <c r="U1" i="2"/>
  <c r="S25" i="2"/>
  <c r="R24" i="2"/>
  <c r="S24" i="2"/>
  <c r="S23" i="2"/>
  <c r="R23" i="2"/>
  <c r="R27" i="2"/>
  <c r="Q27" i="2"/>
  <c r="S27" i="2"/>
  <c r="R22" i="2"/>
  <c r="Q22" i="2"/>
  <c r="S22" i="2"/>
  <c r="T19" i="2"/>
  <c r="T18" i="2"/>
  <c r="T17" i="2"/>
  <c r="T16" i="2"/>
  <c r="T15" i="2"/>
  <c r="W2" i="2"/>
  <c r="X2" i="2" s="1"/>
  <c r="Y2" i="2" s="1"/>
  <c r="V2" i="2"/>
  <c r="U2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9" i="2"/>
  <c r="D18" i="2"/>
  <c r="D17" i="2"/>
  <c r="D16" i="2"/>
  <c r="C19" i="2"/>
  <c r="C18" i="2"/>
  <c r="C17" i="2"/>
  <c r="C16" i="2"/>
  <c r="D15" i="2"/>
  <c r="E1" i="2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D1" i="2"/>
  <c r="E2" i="2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D2" i="2"/>
  <c r="G6" i="1"/>
  <c r="Q47" i="2" s="1"/>
  <c r="G4" i="1"/>
  <c r="G7" i="1" s="1"/>
  <c r="V5" i="2" l="1"/>
  <c r="V4" i="2"/>
  <c r="X23" i="2"/>
  <c r="U9" i="2"/>
  <c r="U6" i="2" s="1"/>
  <c r="X9" i="2"/>
  <c r="X11" i="2" s="1"/>
  <c r="X12" i="2" s="1"/>
  <c r="X13" i="2" s="1"/>
  <c r="X26" i="2"/>
  <c r="V10" i="2"/>
  <c r="U21" i="2"/>
  <c r="U5" i="2"/>
  <c r="U4" i="2" s="1"/>
  <c r="W21" i="2"/>
  <c r="V23" i="2"/>
  <c r="Y9" i="2"/>
  <c r="Y6" i="2" s="1"/>
  <c r="W10" i="2"/>
  <c r="W23" i="2"/>
  <c r="X25" i="2" s="1"/>
  <c r="U26" i="2"/>
  <c r="Y4" i="2"/>
  <c r="Y10" i="2"/>
  <c r="V21" i="2"/>
  <c r="Y23" i="2"/>
  <c r="Y25" i="2" s="1"/>
  <c r="W26" i="2"/>
  <c r="W5" i="2"/>
  <c r="W4" i="2" s="1"/>
  <c r="X21" i="2"/>
  <c r="Y26" i="2"/>
  <c r="X5" i="2"/>
  <c r="X4" i="2" s="1"/>
  <c r="V9" i="2"/>
  <c r="U10" i="2"/>
  <c r="Y21" i="2"/>
  <c r="W9" i="2"/>
  <c r="U23" i="2"/>
  <c r="R30" i="2"/>
  <c r="R31" i="2" s="1"/>
  <c r="S30" i="2"/>
  <c r="S31" i="2" s="1"/>
  <c r="X29" i="2" l="1"/>
  <c r="X30" i="2" s="1"/>
  <c r="X31" i="2" s="1"/>
  <c r="X32" i="2" s="1"/>
  <c r="X39" i="2" s="1"/>
  <c r="U29" i="2"/>
  <c r="U30" i="2" s="1"/>
  <c r="U31" i="2" s="1"/>
  <c r="U11" i="2"/>
  <c r="U12" i="2" s="1"/>
  <c r="U13" i="2" s="1"/>
  <c r="X6" i="2"/>
  <c r="W25" i="2"/>
  <c r="W11" i="2"/>
  <c r="W29" i="2"/>
  <c r="Y11" i="2"/>
  <c r="Y29" i="2"/>
  <c r="Y30" i="2" s="1"/>
  <c r="Y31" i="2" s="1"/>
  <c r="Y32" i="2" s="1"/>
  <c r="V11" i="2"/>
  <c r="V29" i="2"/>
  <c r="V30" i="2" s="1"/>
  <c r="V31" i="2" s="1"/>
  <c r="V6" i="2"/>
  <c r="U25" i="2"/>
  <c r="U32" i="2" s="1"/>
  <c r="U39" i="2" s="1"/>
  <c r="V25" i="2"/>
  <c r="W6" i="2"/>
  <c r="Y12" i="2" l="1"/>
  <c r="Y13" i="2" s="1"/>
  <c r="W12" i="2"/>
  <c r="W13" i="2" s="1"/>
  <c r="V12" i="2"/>
  <c r="V13" i="2" s="1"/>
  <c r="Q41" i="2"/>
  <c r="Q42" i="2" s="1"/>
  <c r="Q43" i="2" s="1"/>
  <c r="Y39" i="2"/>
  <c r="W30" i="2"/>
  <c r="W31" i="2" s="1"/>
  <c r="W32" i="2" s="1"/>
  <c r="W39" i="2" s="1"/>
  <c r="V32" i="2"/>
  <c r="V39" i="2" s="1"/>
  <c r="Q44" i="2" l="1"/>
  <c r="Q45" i="2" s="1"/>
  <c r="Q48" i="2" s="1"/>
  <c r="Q49" i="2" s="1"/>
  <c r="Q50" i="2" l="1"/>
  <c r="T42" i="2"/>
</calcChain>
</file>

<file path=xl/sharedStrings.xml><?xml version="1.0" encoding="utf-8"?>
<sst xmlns="http://schemas.openxmlformats.org/spreadsheetml/2006/main" count="119" uniqueCount="110">
  <si>
    <t>Adobe Inc.</t>
  </si>
  <si>
    <t>Price</t>
  </si>
  <si>
    <t>Shares</t>
  </si>
  <si>
    <t>MC</t>
  </si>
  <si>
    <t>Cash</t>
  </si>
  <si>
    <t>Debt</t>
  </si>
  <si>
    <t>EV</t>
  </si>
  <si>
    <t>Q2 24</t>
  </si>
  <si>
    <t>Main</t>
  </si>
  <si>
    <t>Other Income</t>
  </si>
  <si>
    <t>Net Income</t>
  </si>
  <si>
    <t>Revenue</t>
  </si>
  <si>
    <t>COGS</t>
  </si>
  <si>
    <t>Gross Profit</t>
  </si>
  <si>
    <t>OpEx</t>
  </si>
  <si>
    <t>SG&amp;A</t>
  </si>
  <si>
    <t>R&amp;D</t>
  </si>
  <si>
    <t>EBIT</t>
  </si>
  <si>
    <t>EBT</t>
  </si>
  <si>
    <t>Taxes</t>
  </si>
  <si>
    <t>Revenue Growth y/y</t>
  </si>
  <si>
    <t>Gross Margin</t>
  </si>
  <si>
    <t>Operating Margin</t>
  </si>
  <si>
    <t>Tax Rate</t>
  </si>
  <si>
    <t>Other Income % of Revenue</t>
  </si>
  <si>
    <t>D&amp;A</t>
  </si>
  <si>
    <t>% of Revenue</t>
  </si>
  <si>
    <t>Working Capital</t>
  </si>
  <si>
    <t>CIWC</t>
  </si>
  <si>
    <t>CapEx</t>
  </si>
  <si>
    <t>AVG</t>
  </si>
  <si>
    <t>Operating Income</t>
  </si>
  <si>
    <t>Operating Taxes</t>
  </si>
  <si>
    <t>NOPAT</t>
  </si>
  <si>
    <t>UFCF</t>
  </si>
  <si>
    <t>Valuation Date</t>
  </si>
  <si>
    <t>Stub %</t>
  </si>
  <si>
    <t>Discount Rate</t>
  </si>
  <si>
    <t>TGR</t>
  </si>
  <si>
    <t>PV of UFCF</t>
  </si>
  <si>
    <t>Final Year CF</t>
  </si>
  <si>
    <t>Terminal Value</t>
  </si>
  <si>
    <t>PV of Terminal Value</t>
  </si>
  <si>
    <t>Sum of Stage 1 CF</t>
  </si>
  <si>
    <t>Enterprise Value</t>
  </si>
  <si>
    <t>Equity Value</t>
  </si>
  <si>
    <t>Share Price</t>
  </si>
  <si>
    <t>Implied Upside</t>
  </si>
  <si>
    <t>Sensitivity Analysis</t>
  </si>
  <si>
    <t>Inc. in Delware</t>
  </si>
  <si>
    <t>HQ in San Jose, Cali.</t>
  </si>
  <si>
    <t>Ticker</t>
  </si>
  <si>
    <t>ADBE</t>
  </si>
  <si>
    <t>Segments</t>
  </si>
  <si>
    <t>Digital Media</t>
  </si>
  <si>
    <t>Digital Experience</t>
  </si>
  <si>
    <t>Publishing and Advertising</t>
  </si>
  <si>
    <t>Adobe creative cloud, subscription</t>
  </si>
  <si>
    <t>Adobe document cloud</t>
  </si>
  <si>
    <t>Adobe experience cloud</t>
  </si>
  <si>
    <t>Adobe PostScript</t>
  </si>
  <si>
    <t>Adobe photoshop</t>
  </si>
  <si>
    <t>Adobe lightroom</t>
  </si>
  <si>
    <t>CEO</t>
  </si>
  <si>
    <t>CFO</t>
  </si>
  <si>
    <t>Daniel Burn</t>
  </si>
  <si>
    <t>Shantanu Narayen</t>
  </si>
  <si>
    <t>Acrobat</t>
  </si>
  <si>
    <t>Acrobat Reader</t>
  </si>
  <si>
    <t>Acrobat Sign</t>
  </si>
  <si>
    <t>Adobe</t>
  </si>
  <si>
    <t>Adobe Audition</t>
  </si>
  <si>
    <t>Adobe Campaign</t>
  </si>
  <si>
    <t>Adobe Commerce</t>
  </si>
  <si>
    <t>Adobe Experience Cloud</t>
  </si>
  <si>
    <t>Adobe Express</t>
  </si>
  <si>
    <t>Adobe Firefly</t>
  </si>
  <si>
    <t>Adobe Fonts</t>
  </si>
  <si>
    <t>Adobe Fresco</t>
  </si>
  <si>
    <t>Adobe Premiere</t>
  </si>
  <si>
    <t>Adobe Scan</t>
  </si>
  <si>
    <t>Adobe Sensei</t>
  </si>
  <si>
    <t>Adobe Stock</t>
  </si>
  <si>
    <t>Adobe Target</t>
  </si>
  <si>
    <t>After Effects</t>
  </si>
  <si>
    <t>Behance</t>
  </si>
  <si>
    <t>Camera to Cloud</t>
  </si>
  <si>
    <t>Creative Cloud</t>
  </si>
  <si>
    <t>Document Cloud</t>
  </si>
  <si>
    <t>Frame.io</t>
  </si>
  <si>
    <t>Illustrator</t>
  </si>
  <si>
    <t>InCopy</t>
  </si>
  <si>
    <t>InDesign</t>
  </si>
  <si>
    <t>Journey Optimizer</t>
  </si>
  <si>
    <t>Lightroom</t>
  </si>
  <si>
    <t>Marketo Engage</t>
  </si>
  <si>
    <t>Photoshop</t>
  </si>
  <si>
    <t>PostScript</t>
  </si>
  <si>
    <t>Premiere Pro</t>
  </si>
  <si>
    <t>Reader</t>
  </si>
  <si>
    <t>Sensei</t>
  </si>
  <si>
    <t>Substance 3D</t>
  </si>
  <si>
    <t>Substance 3D Designer</t>
  </si>
  <si>
    <t>Substance 3D Modeler</t>
  </si>
  <si>
    <t>Substance 3D Painter</t>
  </si>
  <si>
    <t>Substance 3D Sampler</t>
  </si>
  <si>
    <t>Substance 3D Stager</t>
  </si>
  <si>
    <t>Workfront</t>
  </si>
  <si>
    <t>Trademarks:</t>
  </si>
  <si>
    <t>EV/EBITDA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</si>
</sst>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u/>
      <sz val="11"/>
      <color theme="10"/>
      <name val="Aptos Narrow"/>
      <family val="2"/>
      <scheme val="minor"/>
    </font>
    <font>
      <u/>
      <sz val="11"/>
      <color theme="10"/>
      <name val="Arial"/>
      <family val="2"/>
    </font>
    <font>
      <sz val="11"/>
      <color theme="3" tint="0.499984740745262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43" fontId="2" fillId="0" borderId="0" xfId="1" applyFont="1"/>
    <xf numFmtId="164" fontId="2" fillId="0" borderId="0" xfId="1" applyNumberFormat="1" applyFont="1"/>
    <xf numFmtId="14" fontId="2" fillId="0" borderId="0" xfId="0" applyNumberFormat="1" applyFont="1"/>
    <xf numFmtId="0" fontId="4" fillId="0" borderId="0" xfId="3" applyFont="1"/>
    <xf numFmtId="0" fontId="2" fillId="0" borderId="1" xfId="0" applyFont="1" applyBorder="1"/>
    <xf numFmtId="9" fontId="2" fillId="0" borderId="0" xfId="2" applyFont="1"/>
    <xf numFmtId="9" fontId="5" fillId="0" borderId="0" xfId="0" applyNumberFormat="1" applyFont="1"/>
    <xf numFmtId="0" fontId="6" fillId="0" borderId="0" xfId="0" applyFont="1"/>
    <xf numFmtId="43" fontId="6" fillId="0" borderId="0" xfId="1" applyFont="1"/>
    <xf numFmtId="0" fontId="6" fillId="0" borderId="2" xfId="0" applyFont="1" applyBorder="1"/>
    <xf numFmtId="0" fontId="2" fillId="0" borderId="2" xfId="0" applyFont="1" applyBorder="1"/>
    <xf numFmtId="164" fontId="6" fillId="0" borderId="2" xfId="1" applyNumberFormat="1" applyFont="1" applyBorder="1"/>
    <xf numFmtId="164" fontId="6" fillId="0" borderId="2" xfId="0" applyNumberFormat="1" applyFont="1" applyBorder="1"/>
    <xf numFmtId="165" fontId="2" fillId="0" borderId="1" xfId="2" applyNumberFormat="1" applyFont="1" applyBorder="1"/>
    <xf numFmtId="165" fontId="2" fillId="0" borderId="3" xfId="2" applyNumberFormat="1" applyFont="1" applyBorder="1"/>
    <xf numFmtId="43" fontId="7" fillId="0" borderId="0" xfId="0" applyNumberFormat="1" applyFont="1"/>
    <xf numFmtId="43" fontId="6" fillId="0" borderId="4" xfId="1" applyFont="1" applyBorder="1"/>
    <xf numFmtId="0" fontId="6" fillId="0" borderId="0" xfId="0" applyFont="1" applyAlignment="1">
      <alignment horizontal="center"/>
    </xf>
    <xf numFmtId="43" fontId="2" fillId="0" borderId="0" xfId="0" applyNumberFormat="1" applyFon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823E8-E87D-441E-90C4-AF2BA906B11C}">
  <dimension ref="A1:K69"/>
  <sheetViews>
    <sheetView tabSelected="1" zoomScale="130" zoomScaleNormal="130" workbookViewId="0">
      <selection activeCell="J3" sqref="J3"/>
    </sheetView>
  </sheetViews>
  <sheetFormatPr defaultRowHeight="14.25" x14ac:dyDescent="0.2"/>
  <cols>
    <col min="1" max="6" width="9.140625" style="1"/>
    <col min="7" max="7" width="13.140625" style="1" bestFit="1" customWidth="1"/>
    <col min="8" max="8" width="10.5703125" style="1" bestFit="1" customWidth="1"/>
    <col min="9" max="9" width="9.140625" style="1"/>
    <col min="10" max="10" width="12.28515625" style="1" bestFit="1" customWidth="1"/>
    <col min="11" max="16384" width="9.140625" style="1"/>
  </cols>
  <sheetData>
    <row r="1" spans="1:11" x14ac:dyDescent="0.2">
      <c r="A1" s="1" t="s">
        <v>0</v>
      </c>
    </row>
    <row r="2" spans="1:11" x14ac:dyDescent="0.2">
      <c r="A2" s="1" t="s">
        <v>51</v>
      </c>
      <c r="B2" s="1" t="s">
        <v>52</v>
      </c>
      <c r="F2" s="1" t="s">
        <v>1</v>
      </c>
      <c r="G2" s="1">
        <v>444.69</v>
      </c>
      <c r="H2" s="4">
        <v>45553</v>
      </c>
      <c r="J2" s="1" t="s">
        <v>109</v>
      </c>
      <c r="K2" s="20">
        <f>G7/SUM(Model!S9,Model!S21)</f>
        <v>26.004459718160064</v>
      </c>
    </row>
    <row r="3" spans="1:11" x14ac:dyDescent="0.2">
      <c r="F3" s="1" t="s">
        <v>2</v>
      </c>
      <c r="G3" s="3">
        <v>443.4</v>
      </c>
      <c r="H3" s="1" t="s">
        <v>7</v>
      </c>
    </row>
    <row r="4" spans="1:11" x14ac:dyDescent="0.2">
      <c r="A4" s="1" t="s">
        <v>49</v>
      </c>
      <c r="F4" s="1" t="s">
        <v>3</v>
      </c>
      <c r="G4" s="3">
        <f>G2*G3</f>
        <v>197175.546</v>
      </c>
    </row>
    <row r="5" spans="1:11" x14ac:dyDescent="0.2">
      <c r="A5" s="1" t="s">
        <v>50</v>
      </c>
      <c r="F5" s="1" t="s">
        <v>4</v>
      </c>
      <c r="G5" s="3">
        <v>7660</v>
      </c>
      <c r="H5" s="1" t="s">
        <v>7</v>
      </c>
    </row>
    <row r="6" spans="1:11" x14ac:dyDescent="0.2">
      <c r="F6" s="1" t="s">
        <v>5</v>
      </c>
      <c r="G6" s="3">
        <f>1498+67+4127+398</f>
        <v>6090</v>
      </c>
      <c r="H6" s="1" t="s">
        <v>7</v>
      </c>
    </row>
    <row r="7" spans="1:11" x14ac:dyDescent="0.2">
      <c r="F7" s="1" t="s">
        <v>6</v>
      </c>
      <c r="G7" s="3">
        <f>G4-G5+G6</f>
        <v>195605.546</v>
      </c>
    </row>
    <row r="8" spans="1:11" x14ac:dyDescent="0.2">
      <c r="B8" s="1" t="s">
        <v>53</v>
      </c>
    </row>
    <row r="9" spans="1:11" x14ac:dyDescent="0.2">
      <c r="C9" s="1" t="s">
        <v>54</v>
      </c>
    </row>
    <row r="10" spans="1:11" x14ac:dyDescent="0.2">
      <c r="C10" s="1" t="s">
        <v>55</v>
      </c>
    </row>
    <row r="11" spans="1:11" x14ac:dyDescent="0.2">
      <c r="C11" s="1" t="s">
        <v>56</v>
      </c>
    </row>
    <row r="13" spans="1:11" x14ac:dyDescent="0.2">
      <c r="B13" s="1" t="s">
        <v>54</v>
      </c>
    </row>
    <row r="14" spans="1:11" x14ac:dyDescent="0.2">
      <c r="C14" s="1" t="s">
        <v>57</v>
      </c>
    </row>
    <row r="15" spans="1:11" x14ac:dyDescent="0.2">
      <c r="C15" s="1" t="s">
        <v>58</v>
      </c>
    </row>
    <row r="16" spans="1:11" x14ac:dyDescent="0.2">
      <c r="C16" s="1" t="s">
        <v>61</v>
      </c>
    </row>
    <row r="17" spans="1:3" x14ac:dyDescent="0.2">
      <c r="C17" s="1" t="s">
        <v>62</v>
      </c>
    </row>
    <row r="19" spans="1:3" x14ac:dyDescent="0.2">
      <c r="B19" s="1" t="s">
        <v>55</v>
      </c>
    </row>
    <row r="20" spans="1:3" x14ac:dyDescent="0.2">
      <c r="C20" s="1" t="s">
        <v>59</v>
      </c>
    </row>
    <row r="22" spans="1:3" x14ac:dyDescent="0.2">
      <c r="B22" s="1" t="s">
        <v>56</v>
      </c>
    </row>
    <row r="23" spans="1:3" x14ac:dyDescent="0.2">
      <c r="C23" s="1" t="s">
        <v>60</v>
      </c>
    </row>
    <row r="25" spans="1:3" x14ac:dyDescent="0.2">
      <c r="A25" s="1" t="s">
        <v>63</v>
      </c>
      <c r="B25" s="1" t="s">
        <v>66</v>
      </c>
    </row>
    <row r="26" spans="1:3" x14ac:dyDescent="0.2">
      <c r="A26" s="1" t="s">
        <v>64</v>
      </c>
      <c r="B26" s="1" t="s">
        <v>65</v>
      </c>
    </row>
    <row r="28" spans="1:3" ht="15" x14ac:dyDescent="0.25">
      <c r="B28" s="9" t="s">
        <v>108</v>
      </c>
    </row>
    <row r="29" spans="1:3" x14ac:dyDescent="0.2">
      <c r="B29" s="1" t="s">
        <v>67</v>
      </c>
    </row>
    <row r="30" spans="1:3" x14ac:dyDescent="0.2">
      <c r="B30" s="1" t="s">
        <v>68</v>
      </c>
    </row>
    <row r="31" spans="1:3" x14ac:dyDescent="0.2">
      <c r="B31" s="1" t="s">
        <v>69</v>
      </c>
    </row>
    <row r="32" spans="1:3" x14ac:dyDescent="0.2">
      <c r="B32" s="1" t="s">
        <v>70</v>
      </c>
    </row>
    <row r="33" spans="2:2" x14ac:dyDescent="0.2">
      <c r="B33" s="1" t="s">
        <v>71</v>
      </c>
    </row>
    <row r="34" spans="2:2" x14ac:dyDescent="0.2">
      <c r="B34" s="1" t="s">
        <v>72</v>
      </c>
    </row>
    <row r="35" spans="2:2" x14ac:dyDescent="0.2">
      <c r="B35" s="1" t="s">
        <v>73</v>
      </c>
    </row>
    <row r="36" spans="2:2" x14ac:dyDescent="0.2">
      <c r="B36" s="1" t="s">
        <v>74</v>
      </c>
    </row>
    <row r="37" spans="2:2" x14ac:dyDescent="0.2">
      <c r="B37" s="1" t="s">
        <v>75</v>
      </c>
    </row>
    <row r="38" spans="2:2" x14ac:dyDescent="0.2">
      <c r="B38" s="1" t="s">
        <v>76</v>
      </c>
    </row>
    <row r="39" spans="2:2" x14ac:dyDescent="0.2">
      <c r="B39" s="1" t="s">
        <v>77</v>
      </c>
    </row>
    <row r="40" spans="2:2" x14ac:dyDescent="0.2">
      <c r="B40" s="1" t="s">
        <v>78</v>
      </c>
    </row>
    <row r="41" spans="2:2" x14ac:dyDescent="0.2">
      <c r="B41" s="1" t="s">
        <v>79</v>
      </c>
    </row>
    <row r="42" spans="2:2" x14ac:dyDescent="0.2">
      <c r="B42" s="1" t="s">
        <v>80</v>
      </c>
    </row>
    <row r="43" spans="2:2" x14ac:dyDescent="0.2">
      <c r="B43" s="1" t="s">
        <v>81</v>
      </c>
    </row>
    <row r="44" spans="2:2" x14ac:dyDescent="0.2">
      <c r="B44" s="1" t="s">
        <v>82</v>
      </c>
    </row>
    <row r="45" spans="2:2" x14ac:dyDescent="0.2">
      <c r="B45" s="1" t="s">
        <v>83</v>
      </c>
    </row>
    <row r="46" spans="2:2" x14ac:dyDescent="0.2">
      <c r="B46" s="1" t="s">
        <v>84</v>
      </c>
    </row>
    <row r="47" spans="2:2" x14ac:dyDescent="0.2">
      <c r="B47" s="1" t="s">
        <v>85</v>
      </c>
    </row>
    <row r="48" spans="2:2" x14ac:dyDescent="0.2">
      <c r="B48" s="1" t="s">
        <v>86</v>
      </c>
    </row>
    <row r="49" spans="2:2" x14ac:dyDescent="0.2">
      <c r="B49" s="1" t="s">
        <v>87</v>
      </c>
    </row>
    <row r="50" spans="2:2" x14ac:dyDescent="0.2">
      <c r="B50" s="1" t="s">
        <v>88</v>
      </c>
    </row>
    <row r="51" spans="2:2" x14ac:dyDescent="0.2">
      <c r="B51" s="1" t="s">
        <v>89</v>
      </c>
    </row>
    <row r="52" spans="2:2" x14ac:dyDescent="0.2">
      <c r="B52" s="1" t="s">
        <v>90</v>
      </c>
    </row>
    <row r="53" spans="2:2" x14ac:dyDescent="0.2">
      <c r="B53" s="1" t="s">
        <v>91</v>
      </c>
    </row>
    <row r="54" spans="2:2" x14ac:dyDescent="0.2">
      <c r="B54" s="1" t="s">
        <v>92</v>
      </c>
    </row>
    <row r="55" spans="2:2" x14ac:dyDescent="0.2">
      <c r="B55" s="1" t="s">
        <v>93</v>
      </c>
    </row>
    <row r="56" spans="2:2" x14ac:dyDescent="0.2">
      <c r="B56" s="1" t="s">
        <v>94</v>
      </c>
    </row>
    <row r="57" spans="2:2" x14ac:dyDescent="0.2">
      <c r="B57" s="1" t="s">
        <v>95</v>
      </c>
    </row>
    <row r="58" spans="2:2" x14ac:dyDescent="0.2">
      <c r="B58" s="1" t="s">
        <v>96</v>
      </c>
    </row>
    <row r="59" spans="2:2" x14ac:dyDescent="0.2">
      <c r="B59" s="1" t="s">
        <v>97</v>
      </c>
    </row>
    <row r="60" spans="2:2" x14ac:dyDescent="0.2">
      <c r="B60" s="1" t="s">
        <v>98</v>
      </c>
    </row>
    <row r="61" spans="2:2" x14ac:dyDescent="0.2">
      <c r="B61" s="1" t="s">
        <v>99</v>
      </c>
    </row>
    <row r="62" spans="2:2" x14ac:dyDescent="0.2">
      <c r="B62" s="1" t="s">
        <v>100</v>
      </c>
    </row>
    <row r="63" spans="2:2" x14ac:dyDescent="0.2">
      <c r="B63" s="1" t="s">
        <v>101</v>
      </c>
    </row>
    <row r="64" spans="2:2" x14ac:dyDescent="0.2">
      <c r="B64" s="1" t="s">
        <v>102</v>
      </c>
    </row>
    <row r="65" spans="2:2" x14ac:dyDescent="0.2">
      <c r="B65" s="1" t="s">
        <v>103</v>
      </c>
    </row>
    <row r="66" spans="2:2" x14ac:dyDescent="0.2">
      <c r="B66" s="1" t="s">
        <v>104</v>
      </c>
    </row>
    <row r="67" spans="2:2" x14ac:dyDescent="0.2">
      <c r="B67" s="1" t="s">
        <v>105</v>
      </c>
    </row>
    <row r="68" spans="2:2" x14ac:dyDescent="0.2">
      <c r="B68" s="1" t="s">
        <v>106</v>
      </c>
    </row>
    <row r="69" spans="2:2" x14ac:dyDescent="0.2">
      <c r="B69" s="1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27CB8-C229-49C7-933B-6576A40C9677}">
  <dimension ref="A1:Y50"/>
  <sheetViews>
    <sheetView topLeftCell="A10" zoomScale="140" zoomScaleNormal="140" workbookViewId="0">
      <selection activeCell="R48" sqref="R48"/>
    </sheetView>
  </sheetViews>
  <sheetFormatPr defaultRowHeight="14.25" x14ac:dyDescent="0.2"/>
  <cols>
    <col min="1" max="1" width="9.140625" style="1"/>
    <col min="2" max="2" width="28.42578125" style="1" bestFit="1" customWidth="1"/>
    <col min="3" max="16" width="12" style="1" hidden="1" customWidth="1"/>
    <col min="17" max="17" width="14.5703125" style="1" bestFit="1" customWidth="1"/>
    <col min="18" max="19" width="12" style="1" bestFit="1" customWidth="1"/>
    <col min="20" max="20" width="9.140625" style="1"/>
    <col min="21" max="25" width="12" style="1" bestFit="1" customWidth="1"/>
    <col min="26" max="16384" width="9.140625" style="1"/>
  </cols>
  <sheetData>
    <row r="1" spans="1:25" x14ac:dyDescent="0.2">
      <c r="A1" s="5" t="s">
        <v>8</v>
      </c>
      <c r="C1" s="4">
        <v>39447</v>
      </c>
      <c r="D1" s="4">
        <f>EOMONTH(C1,12)</f>
        <v>39813</v>
      </c>
      <c r="E1" s="4">
        <f t="shared" ref="E1:S1" si="0">EOMONTH(D1,12)</f>
        <v>40178</v>
      </c>
      <c r="F1" s="4">
        <f t="shared" si="0"/>
        <v>40543</v>
      </c>
      <c r="G1" s="4">
        <f t="shared" si="0"/>
        <v>40908</v>
      </c>
      <c r="H1" s="4">
        <f t="shared" si="0"/>
        <v>41274</v>
      </c>
      <c r="I1" s="4">
        <f t="shared" si="0"/>
        <v>41639</v>
      </c>
      <c r="J1" s="4">
        <f t="shared" si="0"/>
        <v>42004</v>
      </c>
      <c r="K1" s="4">
        <f t="shared" si="0"/>
        <v>42369</v>
      </c>
      <c r="L1" s="4">
        <f t="shared" si="0"/>
        <v>42735</v>
      </c>
      <c r="M1" s="4">
        <f t="shared" si="0"/>
        <v>43100</v>
      </c>
      <c r="N1" s="4">
        <f t="shared" si="0"/>
        <v>43465</v>
      </c>
      <c r="O1" s="4">
        <f t="shared" si="0"/>
        <v>43830</v>
      </c>
      <c r="P1" s="4">
        <f t="shared" si="0"/>
        <v>44196</v>
      </c>
      <c r="Q1" s="4">
        <f t="shared" si="0"/>
        <v>44561</v>
      </c>
      <c r="R1" s="4">
        <f t="shared" si="0"/>
        <v>44926</v>
      </c>
      <c r="S1" s="4">
        <f t="shared" si="0"/>
        <v>45291</v>
      </c>
      <c r="U1" s="4">
        <f>EOMONTH(S1,12)</f>
        <v>45657</v>
      </c>
      <c r="V1" s="4">
        <f>EOMONTH(U1,12)</f>
        <v>46022</v>
      </c>
      <c r="W1" s="4">
        <f t="shared" ref="W1:Y1" si="1">EOMONTH(V1,12)</f>
        <v>46387</v>
      </c>
      <c r="X1" s="4">
        <f t="shared" si="1"/>
        <v>46752</v>
      </c>
      <c r="Y1" s="4">
        <f t="shared" si="1"/>
        <v>47118</v>
      </c>
    </row>
    <row r="2" spans="1:25" x14ac:dyDescent="0.2">
      <c r="C2" s="6">
        <v>2007</v>
      </c>
      <c r="D2" s="6">
        <f>C2+1</f>
        <v>2008</v>
      </c>
      <c r="E2" s="6">
        <f t="shared" ref="E2:S2" si="2">D2+1</f>
        <v>2009</v>
      </c>
      <c r="F2" s="6">
        <f t="shared" si="2"/>
        <v>2010</v>
      </c>
      <c r="G2" s="6">
        <f t="shared" si="2"/>
        <v>2011</v>
      </c>
      <c r="H2" s="6">
        <f t="shared" si="2"/>
        <v>2012</v>
      </c>
      <c r="I2" s="6">
        <f t="shared" si="2"/>
        <v>2013</v>
      </c>
      <c r="J2" s="6">
        <f t="shared" si="2"/>
        <v>2014</v>
      </c>
      <c r="K2" s="6">
        <f t="shared" si="2"/>
        <v>2015</v>
      </c>
      <c r="L2" s="6">
        <f t="shared" si="2"/>
        <v>2016</v>
      </c>
      <c r="M2" s="6">
        <f t="shared" si="2"/>
        <v>2017</v>
      </c>
      <c r="N2" s="6">
        <f t="shared" si="2"/>
        <v>2018</v>
      </c>
      <c r="O2" s="6">
        <f t="shared" si="2"/>
        <v>2019</v>
      </c>
      <c r="P2" s="6">
        <f t="shared" si="2"/>
        <v>2020</v>
      </c>
      <c r="Q2" s="6">
        <f t="shared" si="2"/>
        <v>2021</v>
      </c>
      <c r="R2" s="6">
        <f t="shared" si="2"/>
        <v>2022</v>
      </c>
      <c r="S2" s="6">
        <f t="shared" si="2"/>
        <v>2023</v>
      </c>
      <c r="U2" s="6">
        <f>S2+1</f>
        <v>2024</v>
      </c>
      <c r="V2" s="6">
        <f>U2+1</f>
        <v>2025</v>
      </c>
      <c r="W2" s="6">
        <f t="shared" ref="W2:Y2" si="3">V2+1</f>
        <v>2026</v>
      </c>
      <c r="X2" s="6">
        <f t="shared" si="3"/>
        <v>2027</v>
      </c>
      <c r="Y2" s="6">
        <f t="shared" si="3"/>
        <v>2028</v>
      </c>
    </row>
    <row r="3" spans="1:25" x14ac:dyDescent="0.2">
      <c r="B3" s="3" t="s">
        <v>11</v>
      </c>
      <c r="C3" s="3">
        <v>3157.9</v>
      </c>
      <c r="D3" s="3">
        <v>3579.9</v>
      </c>
      <c r="E3" s="3">
        <v>2945.9</v>
      </c>
      <c r="F3" s="3">
        <v>3800</v>
      </c>
      <c r="G3" s="3">
        <v>4216.3</v>
      </c>
      <c r="H3" s="3">
        <v>4403.7</v>
      </c>
      <c r="I3" s="3">
        <v>4055.2</v>
      </c>
      <c r="J3" s="3">
        <v>4147.1000000000004</v>
      </c>
      <c r="K3" s="3">
        <v>4795.5</v>
      </c>
      <c r="L3" s="3">
        <v>5854.4</v>
      </c>
      <c r="M3" s="3">
        <v>7301.5</v>
      </c>
      <c r="N3" s="3">
        <v>9030</v>
      </c>
      <c r="O3" s="3">
        <v>11171</v>
      </c>
      <c r="P3" s="3">
        <v>12868</v>
      </c>
      <c r="Q3" s="3">
        <v>15785</v>
      </c>
      <c r="R3" s="3">
        <v>17606</v>
      </c>
      <c r="S3" s="3">
        <v>19409</v>
      </c>
      <c r="U3" s="3">
        <f>S3*(1+U15)</f>
        <v>23290.799999999999</v>
      </c>
      <c r="V3" s="3">
        <f>U3*(1+V15)</f>
        <v>27948.959999999999</v>
      </c>
      <c r="W3" s="3">
        <f t="shared" ref="W3:Y3" si="4">V3*(1+W15)</f>
        <v>33538.752</v>
      </c>
      <c r="X3" s="3">
        <f t="shared" si="4"/>
        <v>40246.502399999998</v>
      </c>
      <c r="Y3" s="3">
        <f t="shared" si="4"/>
        <v>48295.802879999996</v>
      </c>
    </row>
    <row r="4" spans="1:25" x14ac:dyDescent="0.2">
      <c r="B4" s="3" t="s">
        <v>12</v>
      </c>
      <c r="C4" s="3">
        <v>354.7</v>
      </c>
      <c r="D4" s="3">
        <v>362.6</v>
      </c>
      <c r="E4" s="3">
        <v>296.7</v>
      </c>
      <c r="F4" s="3">
        <v>403.5</v>
      </c>
      <c r="G4" s="3">
        <v>437.9</v>
      </c>
      <c r="H4" s="3">
        <v>483.8</v>
      </c>
      <c r="I4" s="3">
        <v>586.6</v>
      </c>
      <c r="J4" s="3">
        <v>622.1</v>
      </c>
      <c r="K4" s="3">
        <v>744.3</v>
      </c>
      <c r="L4" s="3">
        <v>819.9</v>
      </c>
      <c r="M4" s="3">
        <v>1010.5</v>
      </c>
      <c r="N4" s="3">
        <v>1195</v>
      </c>
      <c r="O4" s="3">
        <v>1673</v>
      </c>
      <c r="P4" s="3">
        <v>1722</v>
      </c>
      <c r="Q4" s="3">
        <v>1865</v>
      </c>
      <c r="R4" s="3">
        <v>2165</v>
      </c>
      <c r="S4" s="3">
        <v>2354</v>
      </c>
      <c r="U4" s="3">
        <f>U3-U5</f>
        <v>2794.8960000000006</v>
      </c>
      <c r="V4" s="3">
        <f t="shared" ref="V4:Y4" si="5">V3-V5</f>
        <v>3353.8751999999986</v>
      </c>
      <c r="W4" s="3">
        <f t="shared" si="5"/>
        <v>4024.650239999999</v>
      </c>
      <c r="X4" s="3">
        <f t="shared" si="5"/>
        <v>4829.5802879999974</v>
      </c>
      <c r="Y4" s="3">
        <f t="shared" si="5"/>
        <v>5795.4963455999969</v>
      </c>
    </row>
    <row r="5" spans="1:25" x14ac:dyDescent="0.2">
      <c r="B5" s="3" t="s">
        <v>13</v>
      </c>
      <c r="C5" s="3">
        <v>2803.2</v>
      </c>
      <c r="D5" s="3">
        <v>3217.3</v>
      </c>
      <c r="E5" s="3">
        <v>2649.1</v>
      </c>
      <c r="F5" s="3">
        <v>3396.5</v>
      </c>
      <c r="G5" s="3">
        <v>3778.4</v>
      </c>
      <c r="H5" s="3">
        <v>3919.9</v>
      </c>
      <c r="I5" s="3">
        <v>3468.7</v>
      </c>
      <c r="J5" s="3">
        <v>3525</v>
      </c>
      <c r="K5" s="3">
        <v>4051.2</v>
      </c>
      <c r="L5" s="3">
        <v>5034.5</v>
      </c>
      <c r="M5" s="3">
        <v>6291</v>
      </c>
      <c r="N5" s="3">
        <v>7835</v>
      </c>
      <c r="O5" s="3">
        <v>9498</v>
      </c>
      <c r="P5" s="3">
        <v>11146</v>
      </c>
      <c r="Q5" s="3">
        <v>13920</v>
      </c>
      <c r="R5" s="3">
        <v>15441</v>
      </c>
      <c r="S5" s="3">
        <v>17055</v>
      </c>
      <c r="U5" s="3">
        <f>U3*U16</f>
        <v>20495.903999999999</v>
      </c>
      <c r="V5" s="3">
        <f t="shared" ref="V5:Y5" si="6">V3*V16</f>
        <v>24595.084800000001</v>
      </c>
      <c r="W5" s="3">
        <f t="shared" si="6"/>
        <v>29514.101760000001</v>
      </c>
      <c r="X5" s="3">
        <f t="shared" si="6"/>
        <v>35416.922112</v>
      </c>
      <c r="Y5" s="3">
        <f t="shared" si="6"/>
        <v>42500.306534399999</v>
      </c>
    </row>
    <row r="6" spans="1:25" x14ac:dyDescent="0.2">
      <c r="B6" s="3" t="s">
        <v>14</v>
      </c>
      <c r="C6" s="3">
        <v>1945.6</v>
      </c>
      <c r="D6" s="3">
        <v>2189</v>
      </c>
      <c r="E6" s="3">
        <v>1958.6</v>
      </c>
      <c r="F6" s="3">
        <v>2403.4</v>
      </c>
      <c r="G6" s="3">
        <v>2679.1</v>
      </c>
      <c r="H6" s="3">
        <v>2739.7</v>
      </c>
      <c r="I6" s="3">
        <v>3046</v>
      </c>
      <c r="J6" s="3">
        <v>3112.3</v>
      </c>
      <c r="K6" s="3">
        <v>3148.1</v>
      </c>
      <c r="L6" s="3">
        <v>3540.9</v>
      </c>
      <c r="M6" s="3">
        <v>4122.8999999999996</v>
      </c>
      <c r="N6" s="3">
        <v>4995</v>
      </c>
      <c r="O6" s="3">
        <v>6230</v>
      </c>
      <c r="P6" s="3">
        <v>6909</v>
      </c>
      <c r="Q6" s="3">
        <v>8118</v>
      </c>
      <c r="R6" s="3">
        <v>9343</v>
      </c>
      <c r="S6" s="3">
        <v>10405</v>
      </c>
      <c r="U6" s="3">
        <f>U3-U9</f>
        <v>14906.111999999999</v>
      </c>
      <c r="V6" s="3">
        <f t="shared" ref="V6:Y6" si="7">V3-V9</f>
        <v>17887.3344</v>
      </c>
      <c r="W6" s="3">
        <f t="shared" si="7"/>
        <v>21464.80128</v>
      </c>
      <c r="X6" s="3">
        <f t="shared" si="7"/>
        <v>25757.761535999998</v>
      </c>
      <c r="Y6" s="3">
        <f t="shared" si="7"/>
        <v>30909.313843199998</v>
      </c>
    </row>
    <row r="7" spans="1:25" x14ac:dyDescent="0.2">
      <c r="B7" s="3" t="s">
        <v>15</v>
      </c>
      <c r="C7" s="3">
        <v>275</v>
      </c>
      <c r="D7" s="3">
        <v>337.3</v>
      </c>
      <c r="E7" s="3">
        <v>298.7</v>
      </c>
      <c r="F7" s="3">
        <v>383.5</v>
      </c>
      <c r="G7" s="3">
        <v>414.6</v>
      </c>
      <c r="H7" s="3">
        <v>435</v>
      </c>
      <c r="I7" s="3">
        <v>520.1</v>
      </c>
      <c r="J7" s="3">
        <v>543.29999999999995</v>
      </c>
      <c r="K7" s="3">
        <v>533.5</v>
      </c>
      <c r="L7" s="3">
        <v>576.20000000000005</v>
      </c>
      <c r="M7" s="3">
        <v>624.70000000000005</v>
      </c>
      <c r="N7" s="3">
        <v>745</v>
      </c>
      <c r="O7" s="3">
        <v>881</v>
      </c>
      <c r="P7" s="3">
        <v>968</v>
      </c>
      <c r="Q7" s="3">
        <v>1085</v>
      </c>
      <c r="R7" s="3">
        <v>1219</v>
      </c>
      <c r="S7" s="3">
        <v>1413</v>
      </c>
      <c r="U7" s="3"/>
      <c r="V7" s="3"/>
      <c r="W7" s="3"/>
      <c r="X7" s="3"/>
      <c r="Y7" s="3"/>
    </row>
    <row r="8" spans="1:25" x14ac:dyDescent="0.2">
      <c r="B8" s="3" t="s">
        <v>16</v>
      </c>
      <c r="C8" s="3">
        <v>613.20000000000005</v>
      </c>
      <c r="D8" s="3">
        <v>662.1</v>
      </c>
      <c r="E8" s="3">
        <v>565.1</v>
      </c>
      <c r="F8" s="3">
        <v>680.3</v>
      </c>
      <c r="G8" s="3">
        <v>738.1</v>
      </c>
      <c r="H8" s="3">
        <v>742.8</v>
      </c>
      <c r="I8" s="3">
        <v>826.6</v>
      </c>
      <c r="J8" s="3">
        <v>844.4</v>
      </c>
      <c r="K8" s="3">
        <v>862.7</v>
      </c>
      <c r="L8" s="3">
        <v>976</v>
      </c>
      <c r="M8" s="3">
        <v>1224.0999999999999</v>
      </c>
      <c r="N8" s="3">
        <v>1538</v>
      </c>
      <c r="O8" s="3">
        <v>1930</v>
      </c>
      <c r="P8" s="3">
        <v>2188</v>
      </c>
      <c r="Q8" s="3">
        <v>2540</v>
      </c>
      <c r="R8" s="3">
        <v>2987</v>
      </c>
      <c r="S8" s="3">
        <v>3473</v>
      </c>
      <c r="U8" s="3"/>
      <c r="V8" s="3"/>
      <c r="W8" s="3"/>
      <c r="X8" s="3"/>
      <c r="Y8" s="3"/>
    </row>
    <row r="9" spans="1:25" x14ac:dyDescent="0.2">
      <c r="B9" s="3" t="s">
        <v>17</v>
      </c>
      <c r="C9" s="3">
        <v>857.6</v>
      </c>
      <c r="D9" s="3">
        <v>1028.3</v>
      </c>
      <c r="E9" s="3">
        <v>690.5</v>
      </c>
      <c r="F9" s="3">
        <v>993.1</v>
      </c>
      <c r="G9" s="3">
        <v>1099.3</v>
      </c>
      <c r="H9" s="3">
        <v>1180.2</v>
      </c>
      <c r="I9" s="3">
        <v>422.7</v>
      </c>
      <c r="J9" s="3">
        <v>412.7</v>
      </c>
      <c r="K9" s="3">
        <v>903.1</v>
      </c>
      <c r="L9" s="3">
        <v>1493.6</v>
      </c>
      <c r="M9" s="3">
        <v>2168.1</v>
      </c>
      <c r="N9" s="3">
        <v>2840</v>
      </c>
      <c r="O9" s="3">
        <v>3268</v>
      </c>
      <c r="P9" s="3">
        <v>4237</v>
      </c>
      <c r="Q9" s="3">
        <v>5802</v>
      </c>
      <c r="R9" s="3">
        <v>6098</v>
      </c>
      <c r="S9" s="3">
        <v>6650</v>
      </c>
      <c r="U9" s="3">
        <f>U3*U17</f>
        <v>8384.6880000000001</v>
      </c>
      <c r="V9" s="3">
        <f t="shared" ref="V9:Y9" si="8">V3*V17</f>
        <v>10061.625599999999</v>
      </c>
      <c r="W9" s="3">
        <f t="shared" si="8"/>
        <v>12073.950719999999</v>
      </c>
      <c r="X9" s="3">
        <f t="shared" si="8"/>
        <v>14488.740863999999</v>
      </c>
      <c r="Y9" s="3">
        <f t="shared" si="8"/>
        <v>17386.489036799998</v>
      </c>
    </row>
    <row r="10" spans="1:25" x14ac:dyDescent="0.2">
      <c r="B10" s="3" t="s">
        <v>9</v>
      </c>
      <c r="C10" s="3">
        <v>89.6</v>
      </c>
      <c r="D10" s="3">
        <v>50.2</v>
      </c>
      <c r="E10" s="3">
        <v>11</v>
      </c>
      <c r="F10" s="3">
        <v>-49.9</v>
      </c>
      <c r="G10" s="3">
        <v>-64.099999999999994</v>
      </c>
      <c r="H10" s="3">
        <v>-61.4</v>
      </c>
      <c r="I10" s="3">
        <v>-66.599999999999994</v>
      </c>
      <c r="J10" s="3">
        <v>-51.3</v>
      </c>
      <c r="K10" s="3">
        <v>-29.3</v>
      </c>
      <c r="L10" s="3">
        <v>-58.5</v>
      </c>
      <c r="M10" s="3">
        <v>-30.5</v>
      </c>
      <c r="N10" s="3">
        <v>-46</v>
      </c>
      <c r="O10" s="3">
        <v>-63</v>
      </c>
      <c r="P10" s="3">
        <v>-61</v>
      </c>
      <c r="Q10" s="3">
        <v>-97</v>
      </c>
      <c r="R10" s="3">
        <v>-90</v>
      </c>
      <c r="S10" s="3">
        <v>149</v>
      </c>
      <c r="U10" s="3">
        <f>U3*U19</f>
        <v>232.90799999999999</v>
      </c>
      <c r="V10" s="3">
        <f t="shared" ref="V10:Y10" si="9">V3*V19</f>
        <v>279.4896</v>
      </c>
      <c r="W10" s="3">
        <f t="shared" si="9"/>
        <v>335.38751999999999</v>
      </c>
      <c r="X10" s="3">
        <f t="shared" si="9"/>
        <v>402.46502399999997</v>
      </c>
      <c r="Y10" s="3">
        <f t="shared" si="9"/>
        <v>482.95802879999997</v>
      </c>
    </row>
    <row r="11" spans="1:25" x14ac:dyDescent="0.2">
      <c r="B11" s="3" t="s">
        <v>18</v>
      </c>
      <c r="C11" s="3">
        <v>947.2</v>
      </c>
      <c r="D11" s="3">
        <v>1078.5</v>
      </c>
      <c r="E11" s="3">
        <v>701.5</v>
      </c>
      <c r="F11" s="3">
        <v>943.2</v>
      </c>
      <c r="G11" s="3">
        <v>1035.2</v>
      </c>
      <c r="H11" s="3">
        <v>1118.8</v>
      </c>
      <c r="I11" s="3">
        <v>356.1</v>
      </c>
      <c r="J11" s="3">
        <v>361.4</v>
      </c>
      <c r="K11" s="3">
        <v>873.8</v>
      </c>
      <c r="L11" s="3">
        <v>1435.1</v>
      </c>
      <c r="M11" s="3">
        <v>2137.6</v>
      </c>
      <c r="N11" s="3">
        <v>2794</v>
      </c>
      <c r="O11" s="3">
        <v>3205</v>
      </c>
      <c r="P11" s="3">
        <v>4176</v>
      </c>
      <c r="Q11" s="3">
        <v>5705</v>
      </c>
      <c r="R11" s="3">
        <v>6008</v>
      </c>
      <c r="S11" s="3">
        <v>6799</v>
      </c>
      <c r="U11" s="3">
        <f>U9+U10</f>
        <v>8617.5959999999995</v>
      </c>
      <c r="V11" s="3">
        <f t="shared" ref="V11:Y11" si="10">V9+V10</f>
        <v>10341.1152</v>
      </c>
      <c r="W11" s="3">
        <f t="shared" si="10"/>
        <v>12409.338239999999</v>
      </c>
      <c r="X11" s="3">
        <f t="shared" si="10"/>
        <v>14891.205887999999</v>
      </c>
      <c r="Y11" s="3">
        <f t="shared" si="10"/>
        <v>17869.447065599998</v>
      </c>
    </row>
    <row r="12" spans="1:25" x14ac:dyDescent="0.2">
      <c r="B12" s="3" t="s">
        <v>19</v>
      </c>
      <c r="C12" s="3">
        <v>223.4</v>
      </c>
      <c r="D12" s="3">
        <v>206.7</v>
      </c>
      <c r="E12" s="3">
        <v>315</v>
      </c>
      <c r="F12" s="3">
        <v>168.5</v>
      </c>
      <c r="G12" s="3">
        <v>202.4</v>
      </c>
      <c r="H12" s="3">
        <v>286</v>
      </c>
      <c r="I12" s="3">
        <v>66.2</v>
      </c>
      <c r="J12" s="3">
        <v>93</v>
      </c>
      <c r="K12" s="3">
        <v>244.2</v>
      </c>
      <c r="L12" s="3">
        <v>266.39999999999998</v>
      </c>
      <c r="M12" s="3">
        <v>443.7</v>
      </c>
      <c r="N12" s="3">
        <v>203</v>
      </c>
      <c r="O12" s="3">
        <v>254</v>
      </c>
      <c r="P12" s="3">
        <v>-1084</v>
      </c>
      <c r="Q12" s="3">
        <v>883</v>
      </c>
      <c r="R12" s="3">
        <v>1252</v>
      </c>
      <c r="S12" s="3">
        <v>1371</v>
      </c>
      <c r="U12" s="3">
        <f>U11*U18</f>
        <v>1637.3432399999999</v>
      </c>
      <c r="V12" s="3">
        <f t="shared" ref="V12:Y12" si="11">V11*V18</f>
        <v>1964.811888</v>
      </c>
      <c r="W12" s="3">
        <f t="shared" si="11"/>
        <v>2357.7742656</v>
      </c>
      <c r="X12" s="3">
        <f t="shared" si="11"/>
        <v>2829.3291187199998</v>
      </c>
      <c r="Y12" s="3">
        <f t="shared" si="11"/>
        <v>3395.1949424639997</v>
      </c>
    </row>
    <row r="13" spans="1:25" x14ac:dyDescent="0.2">
      <c r="B13" s="3" t="s">
        <v>10</v>
      </c>
      <c r="C13" s="3">
        <v>723.8</v>
      </c>
      <c r="D13" s="3">
        <v>871.8</v>
      </c>
      <c r="E13" s="3">
        <v>386.5</v>
      </c>
      <c r="F13" s="3">
        <v>774.7</v>
      </c>
      <c r="G13" s="3">
        <v>832.8</v>
      </c>
      <c r="H13" s="3">
        <v>832.8</v>
      </c>
      <c r="I13" s="3">
        <v>290</v>
      </c>
      <c r="J13" s="3">
        <v>268.39999999999998</v>
      </c>
      <c r="K13" s="3">
        <v>629.6</v>
      </c>
      <c r="L13" s="3">
        <v>1168.8</v>
      </c>
      <c r="M13" s="3">
        <v>1694</v>
      </c>
      <c r="N13" s="3">
        <v>2591</v>
      </c>
      <c r="O13" s="3">
        <v>2951</v>
      </c>
      <c r="P13" s="3">
        <v>5260</v>
      </c>
      <c r="Q13" s="3">
        <v>4822</v>
      </c>
      <c r="R13" s="3">
        <v>4756</v>
      </c>
      <c r="S13" s="3">
        <v>5428</v>
      </c>
      <c r="U13" s="3">
        <f>U11-U12</f>
        <v>6980.2527599999994</v>
      </c>
      <c r="V13" s="3">
        <f t="shared" ref="V13:Y13" si="12">V11-V12</f>
        <v>8376.303312</v>
      </c>
      <c r="W13" s="3">
        <f t="shared" si="12"/>
        <v>10051.5639744</v>
      </c>
      <c r="X13" s="3">
        <f t="shared" si="12"/>
        <v>12061.876769279999</v>
      </c>
      <c r="Y13" s="3">
        <f t="shared" si="12"/>
        <v>14474.252123135997</v>
      </c>
    </row>
    <row r="14" spans="1:25" x14ac:dyDescent="0.2">
      <c r="T14" s="1" t="s">
        <v>30</v>
      </c>
    </row>
    <row r="15" spans="1:25" x14ac:dyDescent="0.2">
      <c r="B15" s="1" t="s">
        <v>20</v>
      </c>
      <c r="C15" s="7"/>
      <c r="D15" s="7">
        <f>(D3/C3)-1</f>
        <v>0.13363311061148231</v>
      </c>
      <c r="E15" s="7">
        <f t="shared" ref="E15:S15" si="13">(E3/D3)-1</f>
        <v>-0.17709991899215061</v>
      </c>
      <c r="F15" s="7">
        <f t="shared" si="13"/>
        <v>0.28992837502970237</v>
      </c>
      <c r="G15" s="7">
        <f t="shared" si="13"/>
        <v>0.10955263157894746</v>
      </c>
      <c r="H15" s="7">
        <f t="shared" si="13"/>
        <v>4.4446552664658467E-2</v>
      </c>
      <c r="I15" s="7">
        <f t="shared" si="13"/>
        <v>-7.9137997592933274E-2</v>
      </c>
      <c r="J15" s="7">
        <f t="shared" si="13"/>
        <v>2.2662260800947021E-2</v>
      </c>
      <c r="K15" s="7">
        <f t="shared" si="13"/>
        <v>0.15635022063610715</v>
      </c>
      <c r="L15" s="7">
        <f t="shared" si="13"/>
        <v>0.22081117714524034</v>
      </c>
      <c r="M15" s="7">
        <f t="shared" si="13"/>
        <v>0.2471816069964472</v>
      </c>
      <c r="N15" s="7">
        <f t="shared" si="13"/>
        <v>0.23673217831952331</v>
      </c>
      <c r="O15" s="7">
        <f t="shared" si="13"/>
        <v>0.23709856035437427</v>
      </c>
      <c r="P15" s="7">
        <f t="shared" si="13"/>
        <v>0.151911198639334</v>
      </c>
      <c r="Q15" s="7">
        <f t="shared" si="13"/>
        <v>0.22668635374572577</v>
      </c>
      <c r="R15" s="7">
        <f t="shared" si="13"/>
        <v>0.11536268609439349</v>
      </c>
      <c r="S15" s="7">
        <f t="shared" si="13"/>
        <v>0.10240826990798602</v>
      </c>
      <c r="T15" s="8">
        <f>AVERAGE(Q15:S15)</f>
        <v>0.14815243658270175</v>
      </c>
      <c r="U15" s="7">
        <v>0.2</v>
      </c>
      <c r="V15" s="7">
        <v>0.2</v>
      </c>
      <c r="W15" s="7">
        <v>0.2</v>
      </c>
      <c r="X15" s="7">
        <v>0.2</v>
      </c>
      <c r="Y15" s="7">
        <v>0.2</v>
      </c>
    </row>
    <row r="16" spans="1:25" x14ac:dyDescent="0.2">
      <c r="B16" s="1" t="s">
        <v>21</v>
      </c>
      <c r="C16" s="7">
        <f>C5/C3</f>
        <v>0.88767852053579899</v>
      </c>
      <c r="D16" s="7">
        <f>D5/D3</f>
        <v>0.89871225453224957</v>
      </c>
      <c r="E16" s="7">
        <f t="shared" ref="E16:S16" si="14">E5/E3</f>
        <v>0.8992498048134695</v>
      </c>
      <c r="F16" s="7">
        <f t="shared" si="14"/>
        <v>0.89381578947368423</v>
      </c>
      <c r="G16" s="7">
        <f t="shared" si="14"/>
        <v>0.89614116642553898</v>
      </c>
      <c r="H16" s="7">
        <f t="shared" si="14"/>
        <v>0.89013783863569274</v>
      </c>
      <c r="I16" s="7">
        <f t="shared" si="14"/>
        <v>0.85537088183073584</v>
      </c>
      <c r="J16" s="7">
        <f t="shared" si="14"/>
        <v>0.84999156036748569</v>
      </c>
      <c r="K16" s="7">
        <f t="shared" si="14"/>
        <v>0.84479199249296211</v>
      </c>
      <c r="L16" s="7">
        <f t="shared" si="14"/>
        <v>0.85995148947799949</v>
      </c>
      <c r="M16" s="7">
        <f t="shared" si="14"/>
        <v>0.86160378004519622</v>
      </c>
      <c r="N16" s="7">
        <f t="shared" si="14"/>
        <v>0.86766334440753046</v>
      </c>
      <c r="O16" s="7">
        <f t="shared" si="14"/>
        <v>0.85023722137677915</v>
      </c>
      <c r="P16" s="7">
        <f t="shared" si="14"/>
        <v>0.86617967050046629</v>
      </c>
      <c r="Q16" s="7">
        <f t="shared" si="14"/>
        <v>0.88184985745961353</v>
      </c>
      <c r="R16" s="7">
        <f t="shared" si="14"/>
        <v>0.87703055776439853</v>
      </c>
      <c r="S16" s="7">
        <f t="shared" si="14"/>
        <v>0.87871605955999799</v>
      </c>
      <c r="T16" s="8">
        <f t="shared" ref="T16:T19" si="15">AVERAGE(Q16:S16)</f>
        <v>0.87919882492800339</v>
      </c>
      <c r="U16" s="7">
        <v>0.88</v>
      </c>
      <c r="V16" s="7">
        <v>0.88</v>
      </c>
      <c r="W16" s="7">
        <v>0.88</v>
      </c>
      <c r="X16" s="7">
        <v>0.88</v>
      </c>
      <c r="Y16" s="7">
        <v>0.88</v>
      </c>
    </row>
    <row r="17" spans="1:25" x14ac:dyDescent="0.2">
      <c r="B17" s="1" t="s">
        <v>22</v>
      </c>
      <c r="C17" s="7">
        <f>C9/C3</f>
        <v>0.27157288071186547</v>
      </c>
      <c r="D17" s="7">
        <f>D9/D3</f>
        <v>0.28724266040950863</v>
      </c>
      <c r="E17" s="7">
        <f t="shared" ref="E17:S17" si="16">E9/E3</f>
        <v>0.23439356393631827</v>
      </c>
      <c r="F17" s="7">
        <f t="shared" si="16"/>
        <v>0.26134210526315788</v>
      </c>
      <c r="G17" s="7">
        <f t="shared" si="16"/>
        <v>0.26072622915826671</v>
      </c>
      <c r="H17" s="7">
        <f t="shared" si="16"/>
        <v>0.26800190748688607</v>
      </c>
      <c r="I17" s="7">
        <f t="shared" si="16"/>
        <v>0.10423653580587887</v>
      </c>
      <c r="J17" s="7">
        <f t="shared" si="16"/>
        <v>9.9515323961322358E-2</v>
      </c>
      <c r="K17" s="7">
        <f t="shared" si="16"/>
        <v>0.18832238556980502</v>
      </c>
      <c r="L17" s="7">
        <f t="shared" si="16"/>
        <v>0.25512435091555069</v>
      </c>
      <c r="M17" s="7">
        <f t="shared" si="16"/>
        <v>0.29693898514003969</v>
      </c>
      <c r="N17" s="7">
        <f t="shared" si="16"/>
        <v>0.31450719822812845</v>
      </c>
      <c r="O17" s="7">
        <f t="shared" si="16"/>
        <v>0.29254319219407393</v>
      </c>
      <c r="P17" s="7">
        <f t="shared" si="16"/>
        <v>0.32926639726453216</v>
      </c>
      <c r="Q17" s="7">
        <f t="shared" si="16"/>
        <v>0.36756414317389929</v>
      </c>
      <c r="R17" s="7">
        <f t="shared" si="16"/>
        <v>0.34635919572872886</v>
      </c>
      <c r="S17" s="7">
        <f t="shared" si="16"/>
        <v>0.3426245556185275</v>
      </c>
      <c r="T17" s="8">
        <f t="shared" si="15"/>
        <v>0.35218263150705192</v>
      </c>
      <c r="U17" s="7">
        <v>0.36</v>
      </c>
      <c r="V17" s="7">
        <v>0.36</v>
      </c>
      <c r="W17" s="7">
        <v>0.36</v>
      </c>
      <c r="X17" s="7">
        <v>0.36</v>
      </c>
      <c r="Y17" s="7">
        <v>0.36</v>
      </c>
    </row>
    <row r="18" spans="1:25" x14ac:dyDescent="0.2">
      <c r="B18" s="1" t="s">
        <v>23</v>
      </c>
      <c r="C18" s="7">
        <f>C12/C11</f>
        <v>0.23585304054054054</v>
      </c>
      <c r="D18" s="7">
        <f>D12/D11</f>
        <v>0.19165507649513211</v>
      </c>
      <c r="E18" s="7">
        <f t="shared" ref="E18:S18" si="17">E12/E11</f>
        <v>0.44903777619387025</v>
      </c>
      <c r="F18" s="7">
        <f t="shared" si="17"/>
        <v>0.17864715860899066</v>
      </c>
      <c r="G18" s="7">
        <f t="shared" si="17"/>
        <v>0.19551777434312209</v>
      </c>
      <c r="H18" s="7">
        <f t="shared" si="17"/>
        <v>0.25563103324991066</v>
      </c>
      <c r="I18" s="7">
        <f t="shared" si="17"/>
        <v>0.18590283628194326</v>
      </c>
      <c r="J18" s="7">
        <f t="shared" si="17"/>
        <v>0.25733259546209186</v>
      </c>
      <c r="K18" s="7">
        <f t="shared" si="17"/>
        <v>0.27946898603799497</v>
      </c>
      <c r="L18" s="7">
        <f t="shared" si="17"/>
        <v>0.18563166329872482</v>
      </c>
      <c r="M18" s="7">
        <f t="shared" si="17"/>
        <v>0.20756923652694612</v>
      </c>
      <c r="N18" s="7">
        <f t="shared" si="17"/>
        <v>7.2655690765926983E-2</v>
      </c>
      <c r="O18" s="7">
        <f t="shared" si="17"/>
        <v>7.9251170046801878E-2</v>
      </c>
      <c r="P18" s="7">
        <f t="shared" si="17"/>
        <v>-0.25957854406130271</v>
      </c>
      <c r="Q18" s="7">
        <f t="shared" si="17"/>
        <v>0.15477651183172655</v>
      </c>
      <c r="R18" s="7">
        <f t="shared" si="17"/>
        <v>0.20838881491344874</v>
      </c>
      <c r="S18" s="7">
        <f t="shared" si="17"/>
        <v>0.20164730107368731</v>
      </c>
      <c r="T18" s="8">
        <f t="shared" si="15"/>
        <v>0.18827087593962089</v>
      </c>
      <c r="U18" s="7">
        <v>0.19</v>
      </c>
      <c r="V18" s="7">
        <v>0.19</v>
      </c>
      <c r="W18" s="7">
        <v>0.19</v>
      </c>
      <c r="X18" s="7">
        <v>0.19</v>
      </c>
      <c r="Y18" s="7">
        <v>0.19</v>
      </c>
    </row>
    <row r="19" spans="1:25" x14ac:dyDescent="0.2">
      <c r="B19" s="1" t="s">
        <v>24</v>
      </c>
      <c r="C19" s="7">
        <f>C10/C3</f>
        <v>2.8373286044523258E-2</v>
      </c>
      <c r="D19" s="7">
        <f>D10/D3</f>
        <v>1.4022738065309088E-2</v>
      </c>
      <c r="E19" s="7">
        <f t="shared" ref="E19:S19" si="18">E10/E3</f>
        <v>3.734003190875454E-3</v>
      </c>
      <c r="F19" s="7">
        <f t="shared" si="18"/>
        <v>-1.3131578947368421E-2</v>
      </c>
      <c r="G19" s="7">
        <f t="shared" si="18"/>
        <v>-1.5202903019234873E-2</v>
      </c>
      <c r="H19" s="7">
        <f t="shared" si="18"/>
        <v>-1.39428208097736E-2</v>
      </c>
      <c r="I19" s="7">
        <f t="shared" si="18"/>
        <v>-1.6423357664233577E-2</v>
      </c>
      <c r="J19" s="7">
        <f t="shared" si="18"/>
        <v>-1.2370089942369366E-2</v>
      </c>
      <c r="K19" s="7">
        <f t="shared" si="18"/>
        <v>-6.1098946929412992E-3</v>
      </c>
      <c r="L19" s="7">
        <f t="shared" si="18"/>
        <v>-9.9924842853238594E-3</v>
      </c>
      <c r="M19" s="7">
        <f t="shared" si="18"/>
        <v>-4.1772238581113466E-3</v>
      </c>
      <c r="N19" s="7">
        <f t="shared" si="18"/>
        <v>-5.0941306755260245E-3</v>
      </c>
      <c r="O19" s="7">
        <f t="shared" si="18"/>
        <v>-5.6396025422970194E-3</v>
      </c>
      <c r="P19" s="7">
        <f t="shared" si="18"/>
        <v>-4.7404414050357477E-3</v>
      </c>
      <c r="Q19" s="7">
        <f t="shared" si="18"/>
        <v>-6.1450744377573646E-3</v>
      </c>
      <c r="R19" s="7">
        <f t="shared" si="18"/>
        <v>-5.1118936726116098E-3</v>
      </c>
      <c r="S19" s="7">
        <f t="shared" si="18"/>
        <v>7.6768509454376837E-3</v>
      </c>
      <c r="T19" s="8">
        <f t="shared" si="15"/>
        <v>-1.1933723883104299E-3</v>
      </c>
      <c r="U19" s="7">
        <v>0.01</v>
      </c>
      <c r="V19" s="7">
        <v>0.01</v>
      </c>
      <c r="W19" s="7">
        <v>0.01</v>
      </c>
      <c r="X19" s="7">
        <v>0.01</v>
      </c>
      <c r="Y19" s="7">
        <v>0.01</v>
      </c>
    </row>
    <row r="21" spans="1:25" s="3" customFormat="1" x14ac:dyDescent="0.2">
      <c r="A21" s="1"/>
      <c r="B21" s="1" t="s">
        <v>25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3">
        <v>788</v>
      </c>
      <c r="R21" s="3">
        <v>856</v>
      </c>
      <c r="S21" s="3">
        <v>872</v>
      </c>
      <c r="U21" s="3">
        <f>U3*U22</f>
        <v>931.63199999999995</v>
      </c>
      <c r="V21" s="3">
        <f t="shared" ref="V21:Y21" si="19">V3*V22</f>
        <v>1117.9584</v>
      </c>
      <c r="W21" s="3">
        <f t="shared" si="19"/>
        <v>1341.55008</v>
      </c>
      <c r="X21" s="3">
        <f t="shared" si="19"/>
        <v>1609.8600959999999</v>
      </c>
      <c r="Y21" s="3">
        <f t="shared" si="19"/>
        <v>1931.8321151999999</v>
      </c>
    </row>
    <row r="22" spans="1:25" s="7" customFormat="1" x14ac:dyDescent="0.2">
      <c r="A22" s="1"/>
      <c r="B22" s="1" t="s">
        <v>26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7">
        <f t="shared" ref="Q22:R22" si="20">Q21/Q3</f>
        <v>4.9920810896420656E-2</v>
      </c>
      <c r="R22" s="7">
        <f t="shared" si="20"/>
        <v>4.8619788708394868E-2</v>
      </c>
      <c r="S22" s="7">
        <f>S21/S3</f>
        <v>4.4927610902158792E-2</v>
      </c>
      <c r="U22" s="7">
        <v>0.04</v>
      </c>
      <c r="V22" s="7">
        <v>0.04</v>
      </c>
      <c r="W22" s="7">
        <v>0.04</v>
      </c>
      <c r="X22" s="7">
        <v>0.04</v>
      </c>
      <c r="Y22" s="7">
        <v>0.04</v>
      </c>
    </row>
    <row r="23" spans="1:25" s="3" customFormat="1" x14ac:dyDescent="0.2">
      <c r="A23" s="1"/>
      <c r="B23" s="1" t="s">
        <v>27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R23" s="3">
        <f>2065+835-1790-5297-75</f>
        <v>-4262</v>
      </c>
      <c r="S23" s="3">
        <f>2224+1018-1942-5837-85-314</f>
        <v>-4936</v>
      </c>
      <c r="U23" s="3">
        <f>U3*U24</f>
        <v>-5822.7</v>
      </c>
      <c r="V23" s="3">
        <f t="shared" ref="V23:Y23" si="21">V3*V24</f>
        <v>-6987.24</v>
      </c>
      <c r="W23" s="3">
        <f t="shared" si="21"/>
        <v>-8384.6880000000001</v>
      </c>
      <c r="X23" s="3">
        <f t="shared" si="21"/>
        <v>-10061.625599999999</v>
      </c>
      <c r="Y23" s="3">
        <f t="shared" si="21"/>
        <v>-12073.950719999999</v>
      </c>
    </row>
    <row r="24" spans="1:25" s="7" customFormat="1" x14ac:dyDescent="0.2">
      <c r="A24" s="1"/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R24" s="7">
        <f t="shared" ref="R24" si="22">R23/R3</f>
        <v>-0.24207656480745202</v>
      </c>
      <c r="S24" s="7">
        <f>S23/S3</f>
        <v>-0.2543150085012108</v>
      </c>
      <c r="U24" s="7">
        <v>-0.25</v>
      </c>
      <c r="V24" s="7">
        <v>-0.25</v>
      </c>
      <c r="W24" s="7">
        <v>-0.25</v>
      </c>
      <c r="X24" s="7">
        <v>-0.25</v>
      </c>
      <c r="Y24" s="7">
        <v>-0.25</v>
      </c>
    </row>
    <row r="25" spans="1:25" s="3" customFormat="1" x14ac:dyDescent="0.2">
      <c r="A25" s="1"/>
      <c r="B25" s="1" t="s">
        <v>28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S25" s="3">
        <f>R23-S23</f>
        <v>674</v>
      </c>
      <c r="U25" s="3">
        <f>S23-U23</f>
        <v>886.69999999999982</v>
      </c>
      <c r="V25" s="3">
        <f>U23-V23</f>
        <v>1164.54</v>
      </c>
      <c r="W25" s="3">
        <f t="shared" ref="W25:Y25" si="23">V23-W23</f>
        <v>1397.4480000000003</v>
      </c>
      <c r="X25" s="3">
        <f t="shared" si="23"/>
        <v>1676.9375999999993</v>
      </c>
      <c r="Y25" s="3">
        <f t="shared" si="23"/>
        <v>2012.3251199999995</v>
      </c>
    </row>
    <row r="26" spans="1:25" s="3" customFormat="1" x14ac:dyDescent="0.2">
      <c r="A26" s="1"/>
      <c r="B26" s="1" t="s">
        <v>29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3">
        <v>348</v>
      </c>
      <c r="R26" s="3">
        <v>442</v>
      </c>
      <c r="S26" s="3">
        <v>360</v>
      </c>
      <c r="U26" s="3">
        <f>U3*U27</f>
        <v>465.81599999999997</v>
      </c>
      <c r="V26" s="3">
        <f t="shared" ref="V26:Y26" si="24">V3*V27</f>
        <v>558.97919999999999</v>
      </c>
      <c r="W26" s="3">
        <f t="shared" si="24"/>
        <v>670.77503999999999</v>
      </c>
      <c r="X26" s="3">
        <f t="shared" si="24"/>
        <v>804.93004799999994</v>
      </c>
      <c r="Y26" s="3">
        <f t="shared" si="24"/>
        <v>965.91605759999993</v>
      </c>
    </row>
    <row r="27" spans="1:25" s="7" customFormat="1" x14ac:dyDescent="0.2">
      <c r="A27" s="1"/>
      <c r="B27" s="1" t="s">
        <v>26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7">
        <f t="shared" ref="Q27:R27" si="25">Q26/Q3</f>
        <v>2.2046246436490339E-2</v>
      </c>
      <c r="R27" s="7">
        <f t="shared" si="25"/>
        <v>2.5105077814381462E-2</v>
      </c>
      <c r="S27" s="7">
        <f>S26/S3</f>
        <v>1.854809624401051E-2</v>
      </c>
      <c r="U27" s="7">
        <v>0.02</v>
      </c>
      <c r="V27" s="7">
        <v>0.02</v>
      </c>
      <c r="W27" s="7">
        <v>0.02</v>
      </c>
      <c r="X27" s="7">
        <v>0.02</v>
      </c>
      <c r="Y27" s="7">
        <v>0.02</v>
      </c>
    </row>
    <row r="29" spans="1:25" x14ac:dyDescent="0.2">
      <c r="B29" s="1" t="s">
        <v>31</v>
      </c>
      <c r="Q29" s="3">
        <f>Q9</f>
        <v>5802</v>
      </c>
      <c r="R29" s="3">
        <f t="shared" ref="R29:Y29" si="26">R9</f>
        <v>6098</v>
      </c>
      <c r="S29" s="3">
        <f t="shared" si="26"/>
        <v>6650</v>
      </c>
      <c r="T29" s="3"/>
      <c r="U29" s="3">
        <f t="shared" si="26"/>
        <v>8384.6880000000001</v>
      </c>
      <c r="V29" s="3">
        <f t="shared" si="26"/>
        <v>10061.625599999999</v>
      </c>
      <c r="W29" s="3">
        <f t="shared" si="26"/>
        <v>12073.950719999999</v>
      </c>
      <c r="X29" s="3">
        <f t="shared" si="26"/>
        <v>14488.740863999999</v>
      </c>
      <c r="Y29" s="3">
        <f t="shared" si="26"/>
        <v>17386.489036799998</v>
      </c>
    </row>
    <row r="30" spans="1:25" x14ac:dyDescent="0.2">
      <c r="B30" s="1" t="s">
        <v>32</v>
      </c>
      <c r="Q30" s="3">
        <f>Q29*Q18</f>
        <v>898.01332164767746</v>
      </c>
      <c r="R30" s="3">
        <f t="shared" ref="R30:Y30" si="27">R29*R18</f>
        <v>1270.7549933422104</v>
      </c>
      <c r="S30" s="3">
        <f t="shared" si="27"/>
        <v>1340.9545521400205</v>
      </c>
      <c r="T30" s="3"/>
      <c r="U30" s="3">
        <f t="shared" si="27"/>
        <v>1593.0907200000001</v>
      </c>
      <c r="V30" s="3">
        <f t="shared" si="27"/>
        <v>1911.7088639999999</v>
      </c>
      <c r="W30" s="3">
        <f t="shared" si="27"/>
        <v>2294.0506367999997</v>
      </c>
      <c r="X30" s="3">
        <f t="shared" si="27"/>
        <v>2752.8607641600001</v>
      </c>
      <c r="Y30" s="3">
        <f t="shared" si="27"/>
        <v>3303.4329169919997</v>
      </c>
    </row>
    <row r="31" spans="1:25" x14ac:dyDescent="0.2">
      <c r="B31" s="1" t="s">
        <v>33</v>
      </c>
      <c r="Q31" s="3">
        <f>Q29-Q30</f>
        <v>4903.986678352323</v>
      </c>
      <c r="R31" s="3">
        <f t="shared" ref="R31:Y31" si="28">R29-R30</f>
        <v>4827.2450066577894</v>
      </c>
      <c r="S31" s="3">
        <f t="shared" si="28"/>
        <v>5309.0454478599795</v>
      </c>
      <c r="T31" s="3"/>
      <c r="U31" s="3">
        <f t="shared" si="28"/>
        <v>6791.59728</v>
      </c>
      <c r="V31" s="3">
        <f t="shared" si="28"/>
        <v>8149.9167359999992</v>
      </c>
      <c r="W31" s="3">
        <f t="shared" si="28"/>
        <v>9779.9000831999983</v>
      </c>
      <c r="X31" s="3">
        <f t="shared" si="28"/>
        <v>11735.88009984</v>
      </c>
      <c r="Y31" s="3">
        <f t="shared" si="28"/>
        <v>14083.056119807998</v>
      </c>
    </row>
    <row r="32" spans="1:25" ht="15" x14ac:dyDescent="0.25">
      <c r="B32" s="11" t="s">
        <v>34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4">
        <f>U31+U21+U25-U26</f>
        <v>8144.1132800000005</v>
      </c>
      <c r="V32" s="14">
        <f t="shared" ref="V32:Y32" si="29">V31+V21+V25-V26</f>
        <v>9873.4359359999999</v>
      </c>
      <c r="W32" s="14">
        <f t="shared" si="29"/>
        <v>11848.123123199999</v>
      </c>
      <c r="X32" s="14">
        <f t="shared" si="29"/>
        <v>14217.74774784</v>
      </c>
      <c r="Y32" s="14">
        <f t="shared" si="29"/>
        <v>17061.297297407997</v>
      </c>
    </row>
    <row r="34" spans="2:25" x14ac:dyDescent="0.2">
      <c r="B34" s="1" t="s">
        <v>35</v>
      </c>
      <c r="Q34" s="4">
        <f ca="1">TODAY()</f>
        <v>45656</v>
      </c>
    </row>
    <row r="35" spans="2:25" x14ac:dyDescent="0.2">
      <c r="B35" s="1" t="s">
        <v>36</v>
      </c>
      <c r="Q35" s="7">
        <f ca="1">(U1-valDate)/365</f>
        <v>2.7397260273972603E-3</v>
      </c>
    </row>
    <row r="36" spans="2:25" x14ac:dyDescent="0.2">
      <c r="B36" s="1" t="s">
        <v>37</v>
      </c>
      <c r="Q36" s="7">
        <v>0.08</v>
      </c>
    </row>
    <row r="37" spans="2:25" x14ac:dyDescent="0.2">
      <c r="B37" s="1" t="s">
        <v>38</v>
      </c>
      <c r="Q37" s="7">
        <v>0.02</v>
      </c>
    </row>
    <row r="39" spans="2:25" ht="15" x14ac:dyDescent="0.25">
      <c r="B39" s="11" t="s">
        <v>39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3">
        <f ca="1">Q35*U32/(1+dr)^((U1-valDate)/365)</f>
        <v>22.307934950925869</v>
      </c>
      <c r="V39" s="13">
        <f ca="1">V32/(1+dr)^((V1-valDate)/365)</f>
        <v>9140.1428889783165</v>
      </c>
      <c r="W39" s="13">
        <f ca="1">W32/(1+dr)^((W1-valDate)/365)</f>
        <v>10155.714321087018</v>
      </c>
      <c r="X39" s="13">
        <f ca="1">X32/(1+dr)^((X1-valDate)/365)</f>
        <v>11284.127023430021</v>
      </c>
      <c r="Y39" s="13">
        <f ca="1">Y32/(1+dr)^((Y1-valDate)/365)</f>
        <v>12535.275546232941</v>
      </c>
    </row>
    <row r="41" spans="2:25" ht="15" x14ac:dyDescent="0.25">
      <c r="B41" s="1" t="s">
        <v>40</v>
      </c>
      <c r="Q41" s="3">
        <f>Y32*(1+dr)</f>
        <v>18426.201081200637</v>
      </c>
      <c r="V41" s="19" t="s">
        <v>48</v>
      </c>
      <c r="W41" s="19"/>
      <c r="X41" s="19"/>
    </row>
    <row r="42" spans="2:25" x14ac:dyDescent="0.2">
      <c r="B42" s="1" t="s">
        <v>41</v>
      </c>
      <c r="Q42" s="3">
        <f>Q41/(dr-tgr)</f>
        <v>307103.35135334398</v>
      </c>
      <c r="T42" s="17">
        <f ca="1">Q49</f>
        <v>602.62184832402386</v>
      </c>
      <c r="U42" s="15">
        <v>7.0000000000000007E-2</v>
      </c>
      <c r="V42" s="15">
        <v>7.4999999999999997E-2</v>
      </c>
      <c r="W42" s="15">
        <v>0.08</v>
      </c>
      <c r="X42" s="15">
        <v>8.5000000000000006E-2</v>
      </c>
      <c r="Y42" s="15">
        <v>0.09</v>
      </c>
    </row>
    <row r="43" spans="2:25" x14ac:dyDescent="0.2">
      <c r="B43" s="1" t="s">
        <v>42</v>
      </c>
      <c r="Q43" s="3">
        <f ca="1">Q42/(1+dr)^((Y1-valDate)/365)</f>
        <v>225634.95983219295</v>
      </c>
      <c r="T43" s="16">
        <v>-0.01</v>
      </c>
      <c r="U43" s="2">
        <f t="dataTable" ref="U43:Y47" dt2D="1" dtr="1" r1="Q36" r2="Q37" ca="1"/>
        <v>488.64220719692361</v>
      </c>
      <c r="V43" s="2">
        <v>459.19511495408489</v>
      </c>
      <c r="W43" s="2">
        <v>432.99701008000574</v>
      </c>
      <c r="X43" s="2">
        <v>409.53602962123864</v>
      </c>
      <c r="Y43" s="2">
        <v>388.40263762959961</v>
      </c>
    </row>
    <row r="44" spans="2:25" x14ac:dyDescent="0.2">
      <c r="B44" s="1" t="s">
        <v>43</v>
      </c>
      <c r="Q44" s="3">
        <f ca="1">SUM(U39:Y39)</f>
        <v>43137.567714679222</v>
      </c>
      <c r="T44" s="16">
        <v>0.01</v>
      </c>
      <c r="U44" s="2">
        <v>619.4678207462523</v>
      </c>
      <c r="V44" s="2">
        <v>571.27213657767106</v>
      </c>
      <c r="W44" s="2">
        <v>529.9254890765875</v>
      </c>
      <c r="X44" s="2">
        <v>494.05965934663658</v>
      </c>
      <c r="Y44" s="2">
        <v>462.64842206520245</v>
      </c>
    </row>
    <row r="45" spans="2:25" ht="15" x14ac:dyDescent="0.25">
      <c r="B45" s="1" t="s">
        <v>44</v>
      </c>
      <c r="Q45" s="3">
        <f ca="1">Q43+Q44</f>
        <v>268772.52754687215</v>
      </c>
      <c r="T45" s="16">
        <v>0.02</v>
      </c>
      <c r="U45" s="2">
        <v>724.12831158571532</v>
      </c>
      <c r="V45" s="2">
        <v>657.87710783226044</v>
      </c>
      <c r="W45" s="18">
        <v>602.62184832402386</v>
      </c>
      <c r="X45" s="2">
        <v>555.82692722288903</v>
      </c>
      <c r="Y45" s="2">
        <v>515.68112523349032</v>
      </c>
    </row>
    <row r="46" spans="2:25" x14ac:dyDescent="0.2">
      <c r="B46" s="1" t="s">
        <v>4</v>
      </c>
      <c r="Q46" s="3">
        <f>Main!G5</f>
        <v>7660</v>
      </c>
      <c r="T46" s="16">
        <v>2.5000000000000001E-2</v>
      </c>
      <c r="U46" s="2">
        <v>793.90197214535738</v>
      </c>
      <c r="V46" s="2">
        <v>714.17033914774368</v>
      </c>
      <c r="W46" s="2">
        <v>648.88316784511971</v>
      </c>
      <c r="X46" s="2">
        <v>594.43146964554683</v>
      </c>
      <c r="Y46" s="2">
        <v>548.3166348755135</v>
      </c>
    </row>
    <row r="47" spans="2:25" x14ac:dyDescent="0.2">
      <c r="B47" s="1" t="s">
        <v>5</v>
      </c>
      <c r="Q47" s="3">
        <f>Main!G6</f>
        <v>6090</v>
      </c>
      <c r="T47" s="16">
        <v>0.03</v>
      </c>
      <c r="U47" s="2">
        <v>881.1190478449098</v>
      </c>
      <c r="V47" s="2">
        <v>782.97317742222288</v>
      </c>
      <c r="W47" s="2">
        <v>704.39675127043472</v>
      </c>
      <c r="X47" s="2">
        <v>640.05501978141501</v>
      </c>
      <c r="Y47" s="2">
        <v>586.39139612454062</v>
      </c>
    </row>
    <row r="48" spans="2:25" x14ac:dyDescent="0.2">
      <c r="B48" s="1" t="s">
        <v>45</v>
      </c>
      <c r="Q48" s="3">
        <f ca="1">Q45-Q46+Q47</f>
        <v>267202.52754687215</v>
      </c>
    </row>
    <row r="49" spans="2:17" ht="15" x14ac:dyDescent="0.25">
      <c r="B49" s="9" t="s">
        <v>46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10">
        <f ca="1">Q48/Main!G3</f>
        <v>602.62184832402386</v>
      </c>
    </row>
    <row r="50" spans="2:17" x14ac:dyDescent="0.2">
      <c r="B50" s="1" t="s">
        <v>47</v>
      </c>
      <c r="Q50" s="7">
        <f ca="1">(Q49/Main!G2)-1</f>
        <v>0.35515043811199676</v>
      </c>
    </row>
  </sheetData>
  <mergeCells count="1">
    <mergeCell ref="V41:X41"/>
  </mergeCells>
  <hyperlinks>
    <hyperlink ref="A1" location="Main!A1" display="Main" xr:uid="{39A95655-65BE-4BA3-B868-EBCA425E0F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Main</vt:lpstr>
      <vt:lpstr>Model</vt:lpstr>
      <vt:lpstr>discount</vt:lpstr>
      <vt:lpstr>dr</vt:lpstr>
      <vt:lpstr>tgr</vt:lpstr>
      <vt:lpstr>valDate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Hammen</dc:creator>
  <cp:lastModifiedBy>Jayden Hammen</cp:lastModifiedBy>
  <dcterms:created xsi:type="dcterms:W3CDTF">2024-09-18T21:16:55Z</dcterms:created>
  <dcterms:modified xsi:type="dcterms:W3CDTF">2024-12-30T23:01:19Z</dcterms:modified>
</cp:coreProperties>
</file>