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Tech\"/>
    </mc:Choice>
  </mc:AlternateContent>
  <xr:revisionPtr revIDLastSave="0" documentId="13_ncr:1_{A14067F8-EB42-4E44-80B1-54ED779C7DF2}" xr6:coauthVersionLast="47" xr6:coauthVersionMax="47" xr10:uidLastSave="{00000000-0000-0000-0000-000000000000}"/>
  <bookViews>
    <workbookView xWindow="28680" yWindow="-120" windowWidth="29040" windowHeight="15720" xr2:uid="{B002E920-FAD0-7741-AAB1-AF81464A1874}"/>
  </bookViews>
  <sheets>
    <sheet name="Main" sheetId="1" r:id="rId1"/>
    <sheet name="Model" sheetId="3" r:id="rId2"/>
    <sheet name="Financials" sheetId="2" r:id="rId3"/>
  </sheets>
  <definedNames>
    <definedName name="Cash">Main!$F$5</definedName>
    <definedName name="d">Model!$C$37</definedName>
    <definedName name="Debt">Main!$F$6</definedName>
    <definedName name="g">Model!$C$38</definedName>
    <definedName name="Price">Main!$F$2</definedName>
    <definedName name="Shares">Main!$F$3</definedName>
    <definedName name="v">Model!$C$35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C48" i="3"/>
  <c r="C47" i="3"/>
  <c r="C43" i="3"/>
  <c r="C42" i="3"/>
  <c r="C35" i="3"/>
  <c r="C36" i="3" s="1"/>
  <c r="G40" i="3" s="1"/>
  <c r="K33" i="3"/>
  <c r="J33" i="3"/>
  <c r="I33" i="3"/>
  <c r="H33" i="3"/>
  <c r="G33" i="3"/>
  <c r="K31" i="3"/>
  <c r="J31" i="3"/>
  <c r="I31" i="3"/>
  <c r="K30" i="3"/>
  <c r="K32" i="3" s="1"/>
  <c r="J30" i="3"/>
  <c r="J32" i="3" s="1"/>
  <c r="I30" i="3"/>
  <c r="I32" i="3" s="1"/>
  <c r="H30" i="3"/>
  <c r="H31" i="3" s="1"/>
  <c r="G30" i="3"/>
  <c r="G31" i="3" s="1"/>
  <c r="E30" i="3"/>
  <c r="D30" i="3"/>
  <c r="D31" i="3" s="1"/>
  <c r="D32" i="3" s="1"/>
  <c r="C31" i="3"/>
  <c r="C32" i="3" s="1"/>
  <c r="C30" i="3"/>
  <c r="K27" i="3"/>
  <c r="J27" i="3"/>
  <c r="I27" i="3"/>
  <c r="H27" i="3"/>
  <c r="G27" i="3"/>
  <c r="K26" i="3"/>
  <c r="J26" i="3"/>
  <c r="I26" i="3"/>
  <c r="H26" i="3"/>
  <c r="G26" i="3"/>
  <c r="K24" i="3"/>
  <c r="J24" i="3"/>
  <c r="I24" i="3"/>
  <c r="H24" i="3"/>
  <c r="G24" i="3"/>
  <c r="K22" i="3"/>
  <c r="J22" i="3"/>
  <c r="I22" i="3"/>
  <c r="H22" i="3"/>
  <c r="G22" i="3"/>
  <c r="K11" i="3"/>
  <c r="J11" i="3"/>
  <c r="I11" i="3"/>
  <c r="I12" i="3" s="1"/>
  <c r="H11" i="3"/>
  <c r="K10" i="3"/>
  <c r="J10" i="3"/>
  <c r="I10" i="3"/>
  <c r="H10" i="3"/>
  <c r="K9" i="3"/>
  <c r="J9" i="3"/>
  <c r="I9" i="3"/>
  <c r="H9" i="3"/>
  <c r="K8" i="3"/>
  <c r="J8" i="3"/>
  <c r="I8" i="3"/>
  <c r="H8" i="3"/>
  <c r="K5" i="3"/>
  <c r="K4" i="3" s="1"/>
  <c r="J5" i="3"/>
  <c r="J6" i="3" s="1"/>
  <c r="J7" i="3" s="1"/>
  <c r="I5" i="3"/>
  <c r="I6" i="3" s="1"/>
  <c r="I7" i="3" s="1"/>
  <c r="H5" i="3"/>
  <c r="H6" i="3" s="1"/>
  <c r="H7" i="3" s="1"/>
  <c r="G11" i="3"/>
  <c r="G10" i="3"/>
  <c r="G8" i="3"/>
  <c r="G6" i="3"/>
  <c r="G7" i="3" s="1"/>
  <c r="G9" i="3"/>
  <c r="G4" i="3"/>
  <c r="G5" i="3"/>
  <c r="I3" i="3"/>
  <c r="J3" i="3" s="1"/>
  <c r="K3" i="3" s="1"/>
  <c r="H3" i="3"/>
  <c r="G3" i="3"/>
  <c r="E26" i="3"/>
  <c r="D25" i="3"/>
  <c r="E25" i="3"/>
  <c r="D24" i="3"/>
  <c r="E24" i="3"/>
  <c r="D28" i="3"/>
  <c r="C28" i="3"/>
  <c r="E28" i="3"/>
  <c r="D23" i="3"/>
  <c r="C23" i="3"/>
  <c r="E23" i="3"/>
  <c r="F20" i="3"/>
  <c r="F19" i="3"/>
  <c r="F18" i="3"/>
  <c r="F17" i="3"/>
  <c r="F16" i="3"/>
  <c r="F15" i="3"/>
  <c r="I1" i="3"/>
  <c r="J1" i="3" s="1"/>
  <c r="K1" i="3" s="1"/>
  <c r="H1" i="3"/>
  <c r="G1" i="3"/>
  <c r="I2" i="3"/>
  <c r="J2" i="3" s="1"/>
  <c r="K2" i="3" s="1"/>
  <c r="H2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D2" i="3"/>
  <c r="E2" i="3" s="1"/>
  <c r="C57" i="2"/>
  <c r="C58" i="2" s="1"/>
  <c r="D58" i="2"/>
  <c r="D57" i="2"/>
  <c r="D39" i="2"/>
  <c r="D38" i="2"/>
  <c r="D37" i="2"/>
  <c r="D36" i="2"/>
  <c r="D35" i="2"/>
  <c r="C39" i="2"/>
  <c r="C38" i="2"/>
  <c r="C37" i="2"/>
  <c r="C36" i="2"/>
  <c r="C35" i="2"/>
  <c r="D34" i="2"/>
  <c r="D26" i="2"/>
  <c r="D25" i="2"/>
  <c r="D24" i="2"/>
  <c r="C26" i="2"/>
  <c r="C25" i="2"/>
  <c r="C24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9" i="2"/>
  <c r="D18" i="2"/>
  <c r="D17" i="2"/>
  <c r="D16" i="2"/>
  <c r="D15" i="2"/>
  <c r="C19" i="2"/>
  <c r="C18" i="2"/>
  <c r="C17" i="2"/>
  <c r="C16" i="2"/>
  <c r="C15" i="2"/>
  <c r="D14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G2" i="1"/>
  <c r="F6" i="1"/>
  <c r="F4" i="1"/>
  <c r="F7" i="1" s="1"/>
  <c r="C44" i="3" l="1"/>
  <c r="I40" i="3"/>
  <c r="J40" i="3"/>
  <c r="H40" i="3"/>
  <c r="K40" i="3"/>
  <c r="H32" i="3"/>
  <c r="E31" i="3"/>
  <c r="E32" i="3" s="1"/>
  <c r="G32" i="3"/>
  <c r="K13" i="3"/>
  <c r="H12" i="3"/>
  <c r="H13" i="3" s="1"/>
  <c r="H4" i="3"/>
  <c r="I4" i="3"/>
  <c r="I13" i="3"/>
  <c r="G12" i="3"/>
  <c r="G13" i="3" s="1"/>
  <c r="J12" i="3"/>
  <c r="J13" i="3" s="1"/>
  <c r="K6" i="3"/>
  <c r="K7" i="3" s="1"/>
  <c r="J4" i="3"/>
  <c r="K12" i="3"/>
  <c r="D28" i="2"/>
  <c r="D30" i="2" s="1"/>
  <c r="D32" i="2" s="1"/>
  <c r="C28" i="2"/>
  <c r="C30" i="2" s="1"/>
  <c r="C32" i="2" s="1"/>
  <c r="C45" i="3" l="1"/>
  <c r="C46" i="3" s="1"/>
  <c r="C49" i="3" s="1"/>
  <c r="C50" i="3" s="1"/>
  <c r="C51" i="3" s="1"/>
</calcChain>
</file>

<file path=xl/sharedStrings.xml><?xml version="1.0" encoding="utf-8"?>
<sst xmlns="http://schemas.openxmlformats.org/spreadsheetml/2006/main" count="114" uniqueCount="71">
  <si>
    <t>Alphabet Inc.</t>
  </si>
  <si>
    <t>Ticker</t>
  </si>
  <si>
    <t>GOOG</t>
  </si>
  <si>
    <t>Price</t>
  </si>
  <si>
    <t>Shares</t>
  </si>
  <si>
    <t>MC</t>
  </si>
  <si>
    <t>Cash</t>
  </si>
  <si>
    <t>Debt</t>
  </si>
  <si>
    <t>EV</t>
  </si>
  <si>
    <t>Q2 24</t>
  </si>
  <si>
    <t>Main</t>
  </si>
  <si>
    <t>Other Income</t>
  </si>
  <si>
    <t>Income Taxes</t>
  </si>
  <si>
    <t>Net Income</t>
  </si>
  <si>
    <t>Revenue</t>
  </si>
  <si>
    <t>COGS</t>
  </si>
  <si>
    <t>Gross Profit</t>
  </si>
  <si>
    <t>OpEx</t>
  </si>
  <si>
    <t>SG&amp;A</t>
  </si>
  <si>
    <t>R&amp;D</t>
  </si>
  <si>
    <t>Operating Income</t>
  </si>
  <si>
    <t>Earnings Before Taxes</t>
  </si>
  <si>
    <t>Revenue Growth y/y</t>
  </si>
  <si>
    <t>Gross Margin</t>
  </si>
  <si>
    <t>Operating Margin</t>
  </si>
  <si>
    <t>Tax Rate</t>
  </si>
  <si>
    <t>Other Income % of Rev</t>
  </si>
  <si>
    <t>R&amp;D % of Rev</t>
  </si>
  <si>
    <t>x</t>
  </si>
  <si>
    <t>Q1 24</t>
  </si>
  <si>
    <t>Cash and Equivalents</t>
  </si>
  <si>
    <t>AR</t>
  </si>
  <si>
    <t>Total Current Assets</t>
  </si>
  <si>
    <t>PP&amp;E</t>
  </si>
  <si>
    <t>Operating Lease Assets</t>
  </si>
  <si>
    <t>Total Assets</t>
  </si>
  <si>
    <t>AP</t>
  </si>
  <si>
    <t>Deferred Revenue</t>
  </si>
  <si>
    <t>Total Current Liabilities</t>
  </si>
  <si>
    <t>Long Term Debt</t>
  </si>
  <si>
    <t>Deferred Taxes</t>
  </si>
  <si>
    <t>Operating Lease Liabilities</t>
  </si>
  <si>
    <t>Total Liabilities</t>
  </si>
  <si>
    <t>Retained Earnings</t>
  </si>
  <si>
    <t>Total Stockholder's Equity</t>
  </si>
  <si>
    <t>L&amp;SE</t>
  </si>
  <si>
    <t>Balance Check</t>
  </si>
  <si>
    <t>AVG</t>
  </si>
  <si>
    <t>D&amp;A</t>
  </si>
  <si>
    <t>% of Revenue</t>
  </si>
  <si>
    <t>Working Capital</t>
  </si>
  <si>
    <t>CIWC</t>
  </si>
  <si>
    <t>CapEx</t>
  </si>
  <si>
    <t>Operating Taxes</t>
  </si>
  <si>
    <t>NOPAT</t>
  </si>
  <si>
    <t>UFCF</t>
  </si>
  <si>
    <t>Valuation Date</t>
  </si>
  <si>
    <t>Stub %</t>
  </si>
  <si>
    <t>Discount Rate</t>
  </si>
  <si>
    <t>TGR</t>
  </si>
  <si>
    <t>PV of UFCF</t>
  </si>
  <si>
    <t>Final FCF</t>
  </si>
  <si>
    <t>Terminal Value</t>
  </si>
  <si>
    <t>PV of Terminal Value</t>
  </si>
  <si>
    <t>Sum of Stage 1 CF</t>
  </si>
  <si>
    <t>Enterprise Value</t>
  </si>
  <si>
    <t>Equity Value</t>
  </si>
  <si>
    <t>Share Price</t>
  </si>
  <si>
    <t>Implied Upside</t>
  </si>
  <si>
    <t>Q3 24</t>
  </si>
  <si>
    <t>EV/EBITDA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</si>
</sst>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2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64" fontId="4" fillId="0" borderId="0" xfId="1" applyNumberFormat="1" applyFont="1"/>
    <xf numFmtId="9" fontId="4" fillId="0" borderId="0" xfId="3" applyFont="1"/>
    <xf numFmtId="0" fontId="4" fillId="0" borderId="1" xfId="0" applyFont="1" applyBorder="1"/>
    <xf numFmtId="164" fontId="5" fillId="0" borderId="0" xfId="1" applyNumberFormat="1" applyFont="1"/>
    <xf numFmtId="165" fontId="4" fillId="0" borderId="0" xfId="3" applyNumberFormat="1" applyFont="1"/>
    <xf numFmtId="1" fontId="4" fillId="0" borderId="0" xfId="1" applyNumberFormat="1" applyFont="1"/>
    <xf numFmtId="165" fontId="6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43" fontId="5" fillId="0" borderId="0" xfId="1" applyFont="1"/>
    <xf numFmtId="43" fontId="4" fillId="0" borderId="0" xfId="1" applyFont="1"/>
    <xf numFmtId="43" fontId="4" fillId="0" borderId="0" xfId="0" applyNumberFormat="1" applyFon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4B73-97B1-FC42-9DC1-56028918784C}">
  <dimension ref="A1:J7"/>
  <sheetViews>
    <sheetView tabSelected="1" zoomScale="190" zoomScaleNormal="190" workbookViewId="0"/>
  </sheetViews>
  <sheetFormatPr defaultColWidth="10.875" defaultRowHeight="12.75" x14ac:dyDescent="0.2"/>
  <cols>
    <col min="1" max="1" width="11.875" style="2" bestFit="1" customWidth="1"/>
    <col min="2" max="5" width="10.875" style="2"/>
    <col min="6" max="6" width="13.125" style="2" bestFit="1" customWidth="1"/>
    <col min="7" max="16384" width="10.875" style="2"/>
  </cols>
  <sheetData>
    <row r="1" spans="1:10" x14ac:dyDescent="0.2">
      <c r="A1" s="3" t="s">
        <v>0</v>
      </c>
    </row>
    <row r="2" spans="1:10" x14ac:dyDescent="0.2">
      <c r="A2" s="2" t="s">
        <v>1</v>
      </c>
      <c r="B2" s="2" t="s">
        <v>2</v>
      </c>
      <c r="E2" s="2" t="s">
        <v>3</v>
      </c>
      <c r="F2" s="15">
        <v>190.61</v>
      </c>
      <c r="G2" s="4">
        <f ca="1">TODAY()</f>
        <v>45657</v>
      </c>
      <c r="I2" s="2" t="s">
        <v>70</v>
      </c>
      <c r="J2" s="16">
        <f>F7/SUM(Model!E9,Model!E22)</f>
        <v>11.10860461974875</v>
      </c>
    </row>
    <row r="3" spans="1:10" x14ac:dyDescent="0.2">
      <c r="E3" s="2" t="s">
        <v>4</v>
      </c>
      <c r="F3" s="5">
        <v>5600</v>
      </c>
      <c r="G3" s="2" t="s">
        <v>69</v>
      </c>
    </row>
    <row r="4" spans="1:10" x14ac:dyDescent="0.2">
      <c r="E4" s="2" t="s">
        <v>5</v>
      </c>
      <c r="F4" s="5">
        <f>F2*F3</f>
        <v>1067416</v>
      </c>
    </row>
    <row r="5" spans="1:10" x14ac:dyDescent="0.2">
      <c r="E5" s="2" t="s">
        <v>6</v>
      </c>
      <c r="F5" s="5">
        <v>24048</v>
      </c>
      <c r="G5" s="2" t="s">
        <v>69</v>
      </c>
    </row>
    <row r="6" spans="1:10" x14ac:dyDescent="0.2">
      <c r="E6" s="2" t="s">
        <v>7</v>
      </c>
      <c r="F6" s="5">
        <f>13253+12460</f>
        <v>25713</v>
      </c>
      <c r="G6" s="2" t="s">
        <v>69</v>
      </c>
    </row>
    <row r="7" spans="1:10" x14ac:dyDescent="0.2">
      <c r="E7" s="2" t="s">
        <v>8</v>
      </c>
      <c r="F7" s="5">
        <f>F4-F5+F6</f>
        <v>1069081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5610-2207-5847-99FB-7E19381D4EC2}">
  <dimension ref="A1:K51"/>
  <sheetViews>
    <sheetView zoomScale="210" zoomScaleNormal="210" workbookViewId="0"/>
  </sheetViews>
  <sheetFormatPr defaultColWidth="10.875" defaultRowHeight="12.75" x14ac:dyDescent="0.2"/>
  <cols>
    <col min="1" max="1" width="4.875" style="2" bestFit="1" customWidth="1"/>
    <col min="2" max="2" width="19.375" style="2" bestFit="1" customWidth="1"/>
    <col min="3" max="4" width="10.125" style="2" bestFit="1" customWidth="1"/>
    <col min="5" max="5" width="10.625" style="2" bestFit="1" customWidth="1"/>
    <col min="6" max="6" width="10.875" style="2"/>
    <col min="7" max="8" width="11.375" style="2" bestFit="1" customWidth="1"/>
    <col min="9" max="11" width="11.125" style="2" bestFit="1" customWidth="1"/>
    <col min="12" max="16384" width="10.875" style="2"/>
  </cols>
  <sheetData>
    <row r="1" spans="1:11" x14ac:dyDescent="0.2">
      <c r="A1" s="1" t="s">
        <v>10</v>
      </c>
      <c r="E1" s="4">
        <v>45291</v>
      </c>
      <c r="G1" s="4">
        <f>EOMONTH(E1,12)</f>
        <v>45657</v>
      </c>
      <c r="H1" s="4">
        <f>EOMONTH(G1,12)</f>
        <v>46022</v>
      </c>
      <c r="I1" s="4">
        <f t="shared" ref="I1:K1" si="0">EOMONTH(H1,12)</f>
        <v>46387</v>
      </c>
      <c r="J1" s="4">
        <f t="shared" si="0"/>
        <v>46752</v>
      </c>
      <c r="K1" s="4">
        <f t="shared" si="0"/>
        <v>47118</v>
      </c>
    </row>
    <row r="2" spans="1:11" x14ac:dyDescent="0.2">
      <c r="A2" s="1"/>
      <c r="C2" s="7">
        <v>2021</v>
      </c>
      <c r="D2" s="7">
        <f t="shared" ref="D2:E2" si="1">C2+1</f>
        <v>2022</v>
      </c>
      <c r="E2" s="7">
        <f t="shared" si="1"/>
        <v>2023</v>
      </c>
      <c r="F2" s="7"/>
      <c r="G2" s="7">
        <v>2024</v>
      </c>
      <c r="H2" s="7">
        <f>G2+1</f>
        <v>2025</v>
      </c>
      <c r="I2" s="7">
        <f t="shared" ref="I2:K2" si="2">H2+1</f>
        <v>2026</v>
      </c>
      <c r="J2" s="7">
        <f t="shared" si="2"/>
        <v>2027</v>
      </c>
      <c r="K2" s="7">
        <f t="shared" si="2"/>
        <v>2028</v>
      </c>
    </row>
    <row r="3" spans="1:11" x14ac:dyDescent="0.2">
      <c r="B3" s="2" t="s">
        <v>14</v>
      </c>
      <c r="C3" s="5">
        <v>257637</v>
      </c>
      <c r="D3" s="5">
        <v>282836</v>
      </c>
      <c r="E3" s="5">
        <v>307394</v>
      </c>
      <c r="G3" s="5">
        <f>E3*(1+G15)</f>
        <v>335674.24800000002</v>
      </c>
      <c r="H3" s="5">
        <f>G3*(1+H15)</f>
        <v>366556.27881600003</v>
      </c>
      <c r="I3" s="5">
        <f t="shared" ref="I3:K3" si="3">H3*(1+I15)</f>
        <v>400279.45646707207</v>
      </c>
      <c r="J3" s="5">
        <f t="shared" si="3"/>
        <v>437105.16646204272</v>
      </c>
      <c r="K3" s="5">
        <f t="shared" si="3"/>
        <v>477318.84177655069</v>
      </c>
    </row>
    <row r="4" spans="1:11" x14ac:dyDescent="0.2">
      <c r="B4" s="2" t="s">
        <v>15</v>
      </c>
      <c r="C4" s="5">
        <v>110939</v>
      </c>
      <c r="D4" s="5">
        <v>126203</v>
      </c>
      <c r="E4" s="5">
        <v>133332</v>
      </c>
      <c r="G4" s="5">
        <f>G3-G5</f>
        <v>146689.64637600002</v>
      </c>
      <c r="H4" s="5">
        <f t="shared" ref="H4:K4" si="4">H3-H5</f>
        <v>160185.09384259203</v>
      </c>
      <c r="I4" s="5">
        <f t="shared" si="4"/>
        <v>174922.12247611053</v>
      </c>
      <c r="J4" s="5">
        <f t="shared" si="4"/>
        <v>191014.9577439127</v>
      </c>
      <c r="K4" s="5">
        <f t="shared" si="4"/>
        <v>208588.33385635266</v>
      </c>
    </row>
    <row r="5" spans="1:11" x14ac:dyDescent="0.2">
      <c r="B5" s="2" t="s">
        <v>16</v>
      </c>
      <c r="C5" s="5">
        <v>146698</v>
      </c>
      <c r="D5" s="5">
        <v>156633</v>
      </c>
      <c r="E5" s="5">
        <v>174062</v>
      </c>
      <c r="G5" s="5">
        <f>G3*G16</f>
        <v>188984.601624</v>
      </c>
      <c r="H5" s="5">
        <f t="shared" ref="H5:K5" si="5">H3*H16</f>
        <v>206371.184973408</v>
      </c>
      <c r="I5" s="5">
        <f t="shared" si="5"/>
        <v>225357.33399096155</v>
      </c>
      <c r="J5" s="5">
        <f t="shared" si="5"/>
        <v>246090.20871813002</v>
      </c>
      <c r="K5" s="5">
        <f t="shared" si="5"/>
        <v>268730.50792019803</v>
      </c>
    </row>
    <row r="6" spans="1:11" x14ac:dyDescent="0.2">
      <c r="B6" s="2" t="s">
        <v>17</v>
      </c>
      <c r="C6" s="5">
        <v>67984</v>
      </c>
      <c r="D6" s="5">
        <v>81791</v>
      </c>
      <c r="E6" s="5">
        <v>89769</v>
      </c>
      <c r="G6" s="5">
        <f>G5-G9</f>
        <v>94660.137935999985</v>
      </c>
      <c r="H6" s="5">
        <f t="shared" ref="H6:K6" si="6">H5-H9</f>
        <v>103368.87062611198</v>
      </c>
      <c r="I6" s="5">
        <f t="shared" si="6"/>
        <v>112878.80672371428</v>
      </c>
      <c r="J6" s="5">
        <f t="shared" si="6"/>
        <v>123263.656942296</v>
      </c>
      <c r="K6" s="5">
        <f t="shared" si="6"/>
        <v>134603.91338098727</v>
      </c>
    </row>
    <row r="7" spans="1:11" x14ac:dyDescent="0.2">
      <c r="B7" s="2" t="s">
        <v>18</v>
      </c>
      <c r="C7" s="5">
        <v>13510</v>
      </c>
      <c r="D7" s="5">
        <v>15724</v>
      </c>
      <c r="E7" s="5">
        <v>16425</v>
      </c>
      <c r="G7" s="5">
        <f>G6-G8</f>
        <v>44980.349231999986</v>
      </c>
      <c r="H7" s="5">
        <f t="shared" ref="H7:K7" si="7">H6-H8</f>
        <v>49118.541361343981</v>
      </c>
      <c r="I7" s="5">
        <f t="shared" si="7"/>
        <v>53637.447166587619</v>
      </c>
      <c r="J7" s="5">
        <f t="shared" si="7"/>
        <v>58572.092305913684</v>
      </c>
      <c r="K7" s="5">
        <f t="shared" si="7"/>
        <v>63960.724798057781</v>
      </c>
    </row>
    <row r="8" spans="1:11" x14ac:dyDescent="0.2">
      <c r="B8" s="2" t="s">
        <v>19</v>
      </c>
      <c r="C8" s="5">
        <v>31562</v>
      </c>
      <c r="D8" s="5">
        <v>39500</v>
      </c>
      <c r="E8" s="5">
        <v>45427</v>
      </c>
      <c r="G8" s="5">
        <f>G3*G20</f>
        <v>49679.788703999999</v>
      </c>
      <c r="H8" s="5">
        <f t="shared" ref="H8:K8" si="8">H3*H20</f>
        <v>54250.329264767999</v>
      </c>
      <c r="I8" s="5">
        <f t="shared" si="8"/>
        <v>59241.359557126663</v>
      </c>
      <c r="J8" s="5">
        <f t="shared" si="8"/>
        <v>64691.564636382318</v>
      </c>
      <c r="K8" s="5">
        <f t="shared" si="8"/>
        <v>70643.188582929492</v>
      </c>
    </row>
    <row r="9" spans="1:11" x14ac:dyDescent="0.2">
      <c r="B9" s="2" t="s">
        <v>20</v>
      </c>
      <c r="C9" s="5">
        <v>78714</v>
      </c>
      <c r="D9" s="5">
        <v>74842</v>
      </c>
      <c r="E9" s="5">
        <v>84293</v>
      </c>
      <c r="G9" s="5">
        <f>G3*G17</f>
        <v>94324.463688000018</v>
      </c>
      <c r="H9" s="5">
        <f t="shared" ref="H9:K9" si="9">H3*H17</f>
        <v>103002.31434729602</v>
      </c>
      <c r="I9" s="5">
        <f t="shared" si="9"/>
        <v>112478.52726724726</v>
      </c>
      <c r="J9" s="5">
        <f t="shared" si="9"/>
        <v>122826.55177583401</v>
      </c>
      <c r="K9" s="5">
        <f t="shared" si="9"/>
        <v>134126.59453921075</v>
      </c>
    </row>
    <row r="10" spans="1:11" x14ac:dyDescent="0.2">
      <c r="B10" s="2" t="s">
        <v>11</v>
      </c>
      <c r="C10" s="5">
        <v>12020</v>
      </c>
      <c r="D10" s="5">
        <v>-3514</v>
      </c>
      <c r="E10" s="5">
        <v>1424</v>
      </c>
      <c r="G10" s="5">
        <f>G3*G19</f>
        <v>4363.7652239999998</v>
      </c>
      <c r="H10" s="5">
        <f t="shared" ref="H10:K10" si="10">H3*H19</f>
        <v>4765.2316246079999</v>
      </c>
      <c r="I10" s="5">
        <f t="shared" si="10"/>
        <v>5203.6329340719367</v>
      </c>
      <c r="J10" s="5">
        <f t="shared" si="10"/>
        <v>5682.367164006555</v>
      </c>
      <c r="K10" s="5">
        <f t="shared" si="10"/>
        <v>6205.1449430951589</v>
      </c>
    </row>
    <row r="11" spans="1:11" x14ac:dyDescent="0.2">
      <c r="B11" s="2" t="s">
        <v>21</v>
      </c>
      <c r="C11" s="5">
        <v>90734</v>
      </c>
      <c r="D11" s="5">
        <v>71328</v>
      </c>
      <c r="E11" s="5">
        <v>85717</v>
      </c>
      <c r="G11" s="5">
        <f>G9+G10</f>
        <v>98688.228912000021</v>
      </c>
      <c r="H11" s="5">
        <f t="shared" ref="H11:K11" si="11">H9+H10</f>
        <v>107767.54597190402</v>
      </c>
      <c r="I11" s="5">
        <f t="shared" si="11"/>
        <v>117682.1602013192</v>
      </c>
      <c r="J11" s="5">
        <f t="shared" si="11"/>
        <v>128508.91893984057</v>
      </c>
      <c r="K11" s="5">
        <f t="shared" si="11"/>
        <v>140331.73948230591</v>
      </c>
    </row>
    <row r="12" spans="1:11" x14ac:dyDescent="0.2">
      <c r="B12" s="2" t="s">
        <v>12</v>
      </c>
      <c r="C12" s="5">
        <v>14701</v>
      </c>
      <c r="D12" s="5">
        <v>11356</v>
      </c>
      <c r="E12" s="5">
        <v>11922</v>
      </c>
      <c r="G12" s="5">
        <f>G11*G18</f>
        <v>15099.299023536003</v>
      </c>
      <c r="H12" s="5">
        <f t="shared" ref="H12:K12" si="12">H11*H18</f>
        <v>16488.434533701315</v>
      </c>
      <c r="I12" s="5">
        <f t="shared" si="12"/>
        <v>18005.370510801837</v>
      </c>
      <c r="J12" s="5">
        <f t="shared" si="12"/>
        <v>19661.864597795608</v>
      </c>
      <c r="K12" s="5">
        <f t="shared" si="12"/>
        <v>21470.756140792804</v>
      </c>
    </row>
    <row r="13" spans="1:11" x14ac:dyDescent="0.2">
      <c r="B13" s="2" t="s">
        <v>13</v>
      </c>
      <c r="C13" s="5">
        <v>76033</v>
      </c>
      <c r="D13" s="5">
        <v>59972</v>
      </c>
      <c r="E13" s="5">
        <v>73795</v>
      </c>
      <c r="G13" s="5">
        <f>G11-G12</f>
        <v>83588.929888464016</v>
      </c>
      <c r="H13" s="5">
        <f t="shared" ref="H13:K13" si="13">H11-H12</f>
        <v>91279.111438202701</v>
      </c>
      <c r="I13" s="5">
        <f t="shared" si="13"/>
        <v>99676.789690517369</v>
      </c>
      <c r="J13" s="5">
        <f t="shared" si="13"/>
        <v>108847.05434204497</v>
      </c>
      <c r="K13" s="5">
        <f t="shared" si="13"/>
        <v>118860.98334151311</v>
      </c>
    </row>
    <row r="14" spans="1:11" x14ac:dyDescent="0.2">
      <c r="F14" s="2" t="s">
        <v>47</v>
      </c>
    </row>
    <row r="15" spans="1:11" x14ac:dyDescent="0.2">
      <c r="B15" s="2" t="s">
        <v>22</v>
      </c>
      <c r="C15" s="9"/>
      <c r="D15" s="9">
        <f t="shared" ref="D15:E15" si="14">(D3/C3)-1</f>
        <v>9.7808156437157789E-2</v>
      </c>
      <c r="E15" s="9">
        <f t="shared" si="14"/>
        <v>8.6827702272695095E-2</v>
      </c>
      <c r="F15" s="11">
        <f>AVERAGE(C15:E15)</f>
        <v>9.2317929354926442E-2</v>
      </c>
      <c r="G15" s="9">
        <v>9.1999999999999998E-2</v>
      </c>
      <c r="H15" s="9">
        <v>9.1999999999999998E-2</v>
      </c>
      <c r="I15" s="9">
        <v>9.1999999999999998E-2</v>
      </c>
      <c r="J15" s="9">
        <v>9.1999999999999998E-2</v>
      </c>
      <c r="K15" s="9">
        <v>9.1999999999999998E-2</v>
      </c>
    </row>
    <row r="16" spans="1:11" x14ac:dyDescent="0.2">
      <c r="B16" s="2" t="s">
        <v>23</v>
      </c>
      <c r="C16" s="9">
        <f t="shared" ref="C16:E16" si="15">C5/C3</f>
        <v>0.5693980290098084</v>
      </c>
      <c r="D16" s="9">
        <f t="shared" si="15"/>
        <v>0.55379442503783116</v>
      </c>
      <c r="E16" s="9">
        <f t="shared" si="15"/>
        <v>0.56625047984020505</v>
      </c>
      <c r="F16" s="11">
        <f t="shared" ref="F16:F20" si="16">AVERAGE(C16:E16)</f>
        <v>0.56314764462928146</v>
      </c>
      <c r="G16" s="9">
        <v>0.56299999999999994</v>
      </c>
      <c r="H16" s="9">
        <v>0.56299999999999994</v>
      </c>
      <c r="I16" s="9">
        <v>0.56299999999999994</v>
      </c>
      <c r="J16" s="9">
        <v>0.56299999999999994</v>
      </c>
      <c r="K16" s="9">
        <v>0.56299999999999994</v>
      </c>
    </row>
    <row r="17" spans="1:11" x14ac:dyDescent="0.2">
      <c r="B17" s="2" t="s">
        <v>24</v>
      </c>
      <c r="C17" s="9">
        <f t="shared" ref="C17:E17" si="17">C9/C3</f>
        <v>0.3055228868524319</v>
      </c>
      <c r="D17" s="9">
        <f t="shared" si="17"/>
        <v>0.26461270842467011</v>
      </c>
      <c r="E17" s="9">
        <f t="shared" si="17"/>
        <v>0.27421810445226646</v>
      </c>
      <c r="F17" s="11">
        <f t="shared" si="16"/>
        <v>0.28145123324312282</v>
      </c>
      <c r="G17" s="9">
        <v>0.28100000000000003</v>
      </c>
      <c r="H17" s="9">
        <v>0.28100000000000003</v>
      </c>
      <c r="I17" s="9">
        <v>0.28100000000000003</v>
      </c>
      <c r="J17" s="9">
        <v>0.28100000000000003</v>
      </c>
      <c r="K17" s="9">
        <v>0.28100000000000003</v>
      </c>
    </row>
    <row r="18" spans="1:11" x14ac:dyDescent="0.2">
      <c r="B18" s="2" t="s">
        <v>25</v>
      </c>
      <c r="C18" s="9">
        <f t="shared" ref="C18:E18" si="18">C12/C11</f>
        <v>0.16202305640663919</v>
      </c>
      <c r="D18" s="9">
        <f t="shared" si="18"/>
        <v>0.1592081650964558</v>
      </c>
      <c r="E18" s="9">
        <f t="shared" si="18"/>
        <v>0.13908559562280529</v>
      </c>
      <c r="F18" s="11">
        <f t="shared" si="16"/>
        <v>0.15343893904196679</v>
      </c>
      <c r="G18" s="9">
        <v>0.153</v>
      </c>
      <c r="H18" s="9">
        <v>0.153</v>
      </c>
      <c r="I18" s="9">
        <v>0.153</v>
      </c>
      <c r="J18" s="9">
        <v>0.153</v>
      </c>
      <c r="K18" s="9">
        <v>0.153</v>
      </c>
    </row>
    <row r="19" spans="1:11" x14ac:dyDescent="0.2">
      <c r="B19" s="2" t="s">
        <v>26</v>
      </c>
      <c r="C19" s="9">
        <f t="shared" ref="C19:E19" si="19">C10/C3</f>
        <v>4.6654789490639934E-2</v>
      </c>
      <c r="D19" s="9">
        <f t="shared" si="19"/>
        <v>-1.2424160997892772E-2</v>
      </c>
      <c r="E19" s="9">
        <f t="shared" si="19"/>
        <v>4.6324912002186115E-3</v>
      </c>
      <c r="F19" s="11">
        <f t="shared" si="16"/>
        <v>1.2954373230988589E-2</v>
      </c>
      <c r="G19" s="9">
        <v>1.2999999999999999E-2</v>
      </c>
      <c r="H19" s="9">
        <v>1.2999999999999999E-2</v>
      </c>
      <c r="I19" s="9">
        <v>1.2999999999999999E-2</v>
      </c>
      <c r="J19" s="9">
        <v>1.2999999999999999E-2</v>
      </c>
      <c r="K19" s="9">
        <v>1.2999999999999999E-2</v>
      </c>
    </row>
    <row r="20" spans="1:11" x14ac:dyDescent="0.2">
      <c r="B20" s="2" t="s">
        <v>27</v>
      </c>
      <c r="C20" s="9">
        <f t="shared" ref="C20:E20" si="20">C8/C3</f>
        <v>0.12250569599863374</v>
      </c>
      <c r="D20" s="9">
        <f t="shared" si="20"/>
        <v>0.13965690364734334</v>
      </c>
      <c r="E20" s="9">
        <f t="shared" si="20"/>
        <v>0.14778102370247956</v>
      </c>
      <c r="F20" s="11">
        <f t="shared" si="16"/>
        <v>0.13664787444948556</v>
      </c>
      <c r="G20" s="9">
        <v>0.14799999999999999</v>
      </c>
      <c r="H20" s="9">
        <v>0.14799999999999999</v>
      </c>
      <c r="I20" s="9">
        <v>0.14799999999999999</v>
      </c>
      <c r="J20" s="9">
        <v>0.14799999999999999</v>
      </c>
      <c r="K20" s="9">
        <v>0.14799999999999999</v>
      </c>
    </row>
    <row r="22" spans="1:11" s="5" customFormat="1" x14ac:dyDescent="0.2">
      <c r="A22" s="2"/>
      <c r="B22" s="2" t="s">
        <v>48</v>
      </c>
      <c r="C22" s="5">
        <v>10273</v>
      </c>
      <c r="D22" s="5">
        <v>13475</v>
      </c>
      <c r="E22" s="5">
        <v>11946</v>
      </c>
      <c r="G22" s="5">
        <f>G3*G23</f>
        <v>13091.295672</v>
      </c>
      <c r="H22" s="5">
        <f t="shared" ref="H22:K22" si="21">H3*H23</f>
        <v>14295.694873824001</v>
      </c>
      <c r="I22" s="5">
        <f t="shared" si="21"/>
        <v>15610.89880221581</v>
      </c>
      <c r="J22" s="5">
        <f t="shared" si="21"/>
        <v>17047.101492019665</v>
      </c>
      <c r="K22" s="5">
        <f t="shared" si="21"/>
        <v>18615.434829285477</v>
      </c>
    </row>
    <row r="23" spans="1:11" s="9" customFormat="1" x14ac:dyDescent="0.2">
      <c r="A23" s="2"/>
      <c r="B23" s="2" t="s">
        <v>49</v>
      </c>
      <c r="C23" s="9">
        <f t="shared" ref="C23:D23" si="22">C22/C3</f>
        <v>3.9873931151193344E-2</v>
      </c>
      <c r="D23" s="9">
        <f t="shared" si="22"/>
        <v>4.764245004172029E-2</v>
      </c>
      <c r="E23" s="9">
        <f>E22/E3</f>
        <v>3.8862176880485634E-2</v>
      </c>
      <c r="G23" s="9">
        <v>3.9E-2</v>
      </c>
      <c r="H23" s="9">
        <v>3.9E-2</v>
      </c>
      <c r="I23" s="9">
        <v>3.9E-2</v>
      </c>
      <c r="J23" s="9">
        <v>3.9E-2</v>
      </c>
      <c r="K23" s="9">
        <v>3.9E-2</v>
      </c>
    </row>
    <row r="24" spans="1:11" s="5" customFormat="1" x14ac:dyDescent="0.2">
      <c r="A24" s="2"/>
      <c r="B24" s="2" t="s">
        <v>50</v>
      </c>
      <c r="D24" s="5">
        <f>40258+10755-69300</f>
        <v>-18287</v>
      </c>
      <c r="E24" s="5">
        <f>47964+12650-81814</f>
        <v>-21200</v>
      </c>
      <c r="G24" s="5">
        <f>G3*G25</f>
        <v>-23161.523112000003</v>
      </c>
      <c r="H24" s="5">
        <f t="shared" ref="H24:K24" si="23">H3*H25</f>
        <v>-25292.383238304006</v>
      </c>
      <c r="I24" s="5">
        <f t="shared" si="23"/>
        <v>-27619.282496227974</v>
      </c>
      <c r="J24" s="5">
        <f t="shared" si="23"/>
        <v>-30160.256485880949</v>
      </c>
      <c r="K24" s="5">
        <f t="shared" si="23"/>
        <v>-32935.000082582003</v>
      </c>
    </row>
    <row r="25" spans="1:11" s="9" customFormat="1" x14ac:dyDescent="0.2">
      <c r="A25" s="2"/>
      <c r="B25" s="2" t="s">
        <v>49</v>
      </c>
      <c r="D25" s="9">
        <f>D24/D3</f>
        <v>-6.465584296199918E-2</v>
      </c>
      <c r="E25" s="9">
        <f>E24/E3</f>
        <v>-6.8966863374041135E-2</v>
      </c>
      <c r="G25" s="9">
        <v>-6.9000000000000006E-2</v>
      </c>
      <c r="H25" s="9">
        <v>-6.9000000000000006E-2</v>
      </c>
      <c r="I25" s="9">
        <v>-6.9000000000000006E-2</v>
      </c>
      <c r="J25" s="9">
        <v>-6.9000000000000006E-2</v>
      </c>
      <c r="K25" s="9">
        <v>-6.9000000000000006E-2</v>
      </c>
    </row>
    <row r="26" spans="1:11" x14ac:dyDescent="0.2">
      <c r="B26" s="2" t="s">
        <v>51</v>
      </c>
      <c r="E26" s="12">
        <f>D24-E24</f>
        <v>2913</v>
      </c>
      <c r="G26" s="12">
        <f>E24-G24</f>
        <v>1961.5231120000026</v>
      </c>
      <c r="H26" s="12">
        <f t="shared" ref="H26:K26" si="24">G24-H24</f>
        <v>2130.8601263040036</v>
      </c>
      <c r="I26" s="12">
        <f t="shared" si="24"/>
        <v>2326.8992579239675</v>
      </c>
      <c r="J26" s="12">
        <f t="shared" si="24"/>
        <v>2540.9739896529754</v>
      </c>
      <c r="K26" s="12">
        <f t="shared" si="24"/>
        <v>2774.7435967010533</v>
      </c>
    </row>
    <row r="27" spans="1:11" s="5" customFormat="1" x14ac:dyDescent="0.2">
      <c r="A27" s="2"/>
      <c r="B27" s="2" t="s">
        <v>52</v>
      </c>
      <c r="C27" s="5">
        <v>24640</v>
      </c>
      <c r="D27" s="5">
        <v>31485</v>
      </c>
      <c r="E27" s="5">
        <v>32251</v>
      </c>
      <c r="G27" s="5">
        <f>G3*G28</f>
        <v>35245.796040000001</v>
      </c>
      <c r="H27" s="5">
        <f t="shared" ref="H27:K27" si="25">H3*H28</f>
        <v>38488.409275680002</v>
      </c>
      <c r="I27" s="5">
        <f t="shared" si="25"/>
        <v>42029.342929042563</v>
      </c>
      <c r="J27" s="5">
        <f t="shared" si="25"/>
        <v>45896.042478514486</v>
      </c>
      <c r="K27" s="5">
        <f t="shared" si="25"/>
        <v>50118.478386537819</v>
      </c>
    </row>
    <row r="28" spans="1:11" s="9" customFormat="1" x14ac:dyDescent="0.2">
      <c r="A28" s="2"/>
      <c r="B28" s="2" t="s">
        <v>49</v>
      </c>
      <c r="C28" s="9">
        <f t="shared" ref="C28:D28" si="26">C27/C3</f>
        <v>9.5638437025737766E-2</v>
      </c>
      <c r="D28" s="9">
        <f t="shared" si="26"/>
        <v>0.11131892686928113</v>
      </c>
      <c r="E28" s="9">
        <f>E27/E3</f>
        <v>0.10491746748472644</v>
      </c>
      <c r="G28" s="9">
        <v>0.105</v>
      </c>
      <c r="H28" s="9">
        <v>0.105</v>
      </c>
      <c r="I28" s="9">
        <v>0.105</v>
      </c>
      <c r="J28" s="9">
        <v>0.105</v>
      </c>
      <c r="K28" s="9">
        <v>0.105</v>
      </c>
    </row>
    <row r="30" spans="1:11" x14ac:dyDescent="0.2">
      <c r="B30" s="2" t="s">
        <v>20</v>
      </c>
      <c r="C30" s="5">
        <f>C9</f>
        <v>78714</v>
      </c>
      <c r="D30" s="5">
        <f t="shared" ref="D30:K30" si="27">D9</f>
        <v>74842</v>
      </c>
      <c r="E30" s="5">
        <f t="shared" si="27"/>
        <v>84293</v>
      </c>
      <c r="F30" s="5"/>
      <c r="G30" s="5">
        <f t="shared" si="27"/>
        <v>94324.463688000018</v>
      </c>
      <c r="H30" s="5">
        <f t="shared" si="27"/>
        <v>103002.31434729602</v>
      </c>
      <c r="I30" s="5">
        <f t="shared" si="27"/>
        <v>112478.52726724726</v>
      </c>
      <c r="J30" s="5">
        <f t="shared" si="27"/>
        <v>122826.55177583401</v>
      </c>
      <c r="K30" s="5">
        <f t="shared" si="27"/>
        <v>134126.59453921075</v>
      </c>
    </row>
    <row r="31" spans="1:11" x14ac:dyDescent="0.2">
      <c r="B31" s="2" t="s">
        <v>53</v>
      </c>
      <c r="C31" s="5">
        <f>C30*C17</f>
        <v>24048.928515702326</v>
      </c>
      <c r="D31" s="5">
        <f t="shared" ref="D31:K31" si="28">D30*D17</f>
        <v>19804.144323919161</v>
      </c>
      <c r="E31" s="5">
        <f t="shared" si="28"/>
        <v>23114.666678594898</v>
      </c>
      <c r="F31" s="5"/>
      <c r="G31" s="5">
        <f t="shared" si="28"/>
        <v>26505.174296328008</v>
      </c>
      <c r="H31" s="5">
        <f t="shared" si="28"/>
        <v>28943.650331590186</v>
      </c>
      <c r="I31" s="5">
        <f t="shared" si="28"/>
        <v>31606.466162096483</v>
      </c>
      <c r="J31" s="5">
        <f t="shared" si="28"/>
        <v>34514.261049009365</v>
      </c>
      <c r="K31" s="5">
        <f t="shared" si="28"/>
        <v>37689.573065518227</v>
      </c>
    </row>
    <row r="32" spans="1:11" x14ac:dyDescent="0.2">
      <c r="B32" s="2" t="s">
        <v>54</v>
      </c>
      <c r="C32" s="5">
        <f>C30-C31</f>
        <v>54665.071484297674</v>
      </c>
      <c r="D32" s="5">
        <f t="shared" ref="D32:K32" si="29">D30-D31</f>
        <v>55037.855676080842</v>
      </c>
      <c r="E32" s="5">
        <f t="shared" si="29"/>
        <v>61178.333321405102</v>
      </c>
      <c r="F32" s="5"/>
      <c r="G32" s="5">
        <f t="shared" si="29"/>
        <v>67819.289391672006</v>
      </c>
      <c r="H32" s="5">
        <f t="shared" si="29"/>
        <v>74058.664015705843</v>
      </c>
      <c r="I32" s="5">
        <f t="shared" si="29"/>
        <v>80872.061105150788</v>
      </c>
      <c r="J32" s="5">
        <f t="shared" si="29"/>
        <v>88312.290726824649</v>
      </c>
      <c r="K32" s="5">
        <f t="shared" si="29"/>
        <v>96437.021473692526</v>
      </c>
    </row>
    <row r="33" spans="2:11" x14ac:dyDescent="0.2">
      <c r="B33" s="3" t="s">
        <v>55</v>
      </c>
      <c r="G33" s="13">
        <f>G32+G22+G26-G27</f>
        <v>47626.312135672008</v>
      </c>
      <c r="H33" s="13">
        <f t="shared" ref="H33:K33" si="30">H32+H22+H26-H27</f>
        <v>51996.809740153847</v>
      </c>
      <c r="I33" s="13">
        <f t="shared" si="30"/>
        <v>56780.516236248011</v>
      </c>
      <c r="J33" s="13">
        <f t="shared" si="30"/>
        <v>62004.323729982803</v>
      </c>
      <c r="K33" s="13">
        <f t="shared" si="30"/>
        <v>67708.721513141238</v>
      </c>
    </row>
    <row r="35" spans="2:11" x14ac:dyDescent="0.2">
      <c r="B35" s="2" t="s">
        <v>56</v>
      </c>
      <c r="C35" s="4">
        <f ca="1">TODAY()</f>
        <v>45657</v>
      </c>
    </row>
    <row r="36" spans="2:11" x14ac:dyDescent="0.2">
      <c r="B36" s="2" t="s">
        <v>57</v>
      </c>
      <c r="C36" s="6">
        <f ca="1">(G1-v)/365</f>
        <v>0</v>
      </c>
    </row>
    <row r="37" spans="2:11" x14ac:dyDescent="0.2">
      <c r="B37" s="2" t="s">
        <v>58</v>
      </c>
      <c r="C37" s="6">
        <v>0.08</v>
      </c>
    </row>
    <row r="38" spans="2:11" x14ac:dyDescent="0.2">
      <c r="B38" s="2" t="s">
        <v>59</v>
      </c>
      <c r="C38" s="6">
        <v>0.02</v>
      </c>
    </row>
    <row r="40" spans="2:11" x14ac:dyDescent="0.2">
      <c r="B40" s="3" t="s">
        <v>60</v>
      </c>
      <c r="G40" s="8">
        <f ca="1">C36*G33/(1+d)^((G1-v)/365)</f>
        <v>0</v>
      </c>
      <c r="H40" s="8">
        <f ca="1">H33/(1+d)^((H1-v)/365)</f>
        <v>48145.194203846149</v>
      </c>
      <c r="I40" s="8">
        <f ca="1">I33/(1+d)^((I1-v)/365)</f>
        <v>48680.140806111114</v>
      </c>
      <c r="J40" s="8">
        <f ca="1">J33/(1+d)^((J1-v)/365)</f>
        <v>49221.031259512332</v>
      </c>
      <c r="K40" s="8">
        <f ca="1">K33/(1+d)^((K1-v)/365)</f>
        <v>49757.439036818585</v>
      </c>
    </row>
    <row r="42" spans="2:11" x14ac:dyDescent="0.2">
      <c r="B42" s="2" t="s">
        <v>61</v>
      </c>
      <c r="C42" s="5">
        <f>K33*(1+d)</f>
        <v>73125.419234192537</v>
      </c>
    </row>
    <row r="43" spans="2:11" x14ac:dyDescent="0.2">
      <c r="B43" s="2" t="s">
        <v>62</v>
      </c>
      <c r="C43" s="5">
        <f>C42/(d-g)</f>
        <v>1218756.9872365424</v>
      </c>
    </row>
    <row r="44" spans="2:11" x14ac:dyDescent="0.2">
      <c r="B44" s="2" t="s">
        <v>63</v>
      </c>
      <c r="C44" s="5">
        <f ca="1">C43/(1+d)^((K1-v)/365)</f>
        <v>895633.90266273462</v>
      </c>
    </row>
    <row r="45" spans="2:11" x14ac:dyDescent="0.2">
      <c r="B45" s="2" t="s">
        <v>64</v>
      </c>
      <c r="C45" s="5">
        <f ca="1">SUM(G40:K40)</f>
        <v>195803.80530628818</v>
      </c>
    </row>
    <row r="46" spans="2:11" x14ac:dyDescent="0.2">
      <c r="B46" s="2" t="s">
        <v>65</v>
      </c>
      <c r="C46" s="5">
        <f ca="1">C44+C45</f>
        <v>1091437.7079690229</v>
      </c>
    </row>
    <row r="47" spans="2:11" x14ac:dyDescent="0.2">
      <c r="B47" s="2" t="s">
        <v>6</v>
      </c>
      <c r="C47" s="5">
        <f>Cash</f>
        <v>24048</v>
      </c>
    </row>
    <row r="48" spans="2:11" x14ac:dyDescent="0.2">
      <c r="B48" s="2" t="s">
        <v>7</v>
      </c>
      <c r="C48" s="5">
        <f>Debt</f>
        <v>25713</v>
      </c>
    </row>
    <row r="49" spans="2:3" x14ac:dyDescent="0.2">
      <c r="B49" s="2" t="s">
        <v>66</v>
      </c>
      <c r="C49" s="5">
        <f ca="1">C46-C47+C48</f>
        <v>1093102.7079690229</v>
      </c>
    </row>
    <row r="50" spans="2:3" x14ac:dyDescent="0.2">
      <c r="B50" s="3" t="s">
        <v>67</v>
      </c>
      <c r="C50" s="14">
        <f ca="1">C49/Shares</f>
        <v>195.19691213732551</v>
      </c>
    </row>
    <row r="51" spans="2:3" x14ac:dyDescent="0.2">
      <c r="B51" s="2" t="s">
        <v>68</v>
      </c>
      <c r="C51" s="9">
        <f ca="1">(C50/Price)-1</f>
        <v>2.4064383491556152E-2</v>
      </c>
    </row>
  </sheetData>
  <hyperlinks>
    <hyperlink ref="A1" location="Main!A1" display="Main" xr:uid="{F1CA3BED-FEB5-5941-B09D-6906CED35D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5271-687E-7C4D-B8A8-EB7439A5FF00}">
  <dimension ref="A1:S58"/>
  <sheetViews>
    <sheetView topLeftCell="K1" zoomScale="200" zoomScaleNormal="200" workbookViewId="0">
      <selection sqref="A1:S19"/>
    </sheetView>
  </sheetViews>
  <sheetFormatPr defaultColWidth="10.875" defaultRowHeight="12.75" x14ac:dyDescent="0.2"/>
  <cols>
    <col min="1" max="1" width="5.125" style="2" bestFit="1" customWidth="1"/>
    <col min="2" max="2" width="25" style="2" bestFit="1" customWidth="1"/>
    <col min="3" max="4" width="11" style="5" bestFit="1" customWidth="1"/>
    <col min="5" max="12" width="11" style="2" bestFit="1" customWidth="1"/>
    <col min="13" max="19" width="11.125" style="2" bestFit="1" customWidth="1"/>
    <col min="20" max="16384" width="10.875" style="2"/>
  </cols>
  <sheetData>
    <row r="1" spans="1:19" x14ac:dyDescent="0.2">
      <c r="A1" s="1" t="s">
        <v>10</v>
      </c>
      <c r="C1" s="7">
        <v>2007</v>
      </c>
      <c r="D1" s="7">
        <f>C1+1</f>
        <v>2008</v>
      </c>
      <c r="E1" s="7">
        <f t="shared" ref="E1:S1" si="0">D1+1</f>
        <v>2009</v>
      </c>
      <c r="F1" s="7">
        <f t="shared" si="0"/>
        <v>2010</v>
      </c>
      <c r="G1" s="7">
        <f t="shared" si="0"/>
        <v>2011</v>
      </c>
      <c r="H1" s="7">
        <f t="shared" si="0"/>
        <v>2012</v>
      </c>
      <c r="I1" s="7">
        <f t="shared" si="0"/>
        <v>2013</v>
      </c>
      <c r="J1" s="7">
        <f t="shared" si="0"/>
        <v>2014</v>
      </c>
      <c r="K1" s="7">
        <f t="shared" si="0"/>
        <v>2015</v>
      </c>
      <c r="L1" s="7">
        <f t="shared" si="0"/>
        <v>2016</v>
      </c>
      <c r="M1" s="7">
        <f t="shared" si="0"/>
        <v>2017</v>
      </c>
      <c r="N1" s="7">
        <f t="shared" si="0"/>
        <v>2018</v>
      </c>
      <c r="O1" s="7">
        <f t="shared" si="0"/>
        <v>2019</v>
      </c>
      <c r="P1" s="7">
        <f t="shared" si="0"/>
        <v>2020</v>
      </c>
      <c r="Q1" s="7">
        <f t="shared" si="0"/>
        <v>2021</v>
      </c>
      <c r="R1" s="7">
        <f t="shared" si="0"/>
        <v>2022</v>
      </c>
      <c r="S1" s="7">
        <f t="shared" si="0"/>
        <v>2023</v>
      </c>
    </row>
    <row r="2" spans="1:19" x14ac:dyDescent="0.2">
      <c r="B2" s="2" t="s">
        <v>14</v>
      </c>
      <c r="C2" s="5">
        <v>16594</v>
      </c>
      <c r="D2" s="5">
        <v>21796</v>
      </c>
      <c r="E2" s="5">
        <v>23651</v>
      </c>
      <c r="F2" s="5">
        <v>29321</v>
      </c>
      <c r="G2" s="5">
        <v>37905</v>
      </c>
      <c r="H2" s="5">
        <v>46039</v>
      </c>
      <c r="I2" s="5">
        <v>55519</v>
      </c>
      <c r="J2" s="5">
        <v>66001</v>
      </c>
      <c r="K2" s="5">
        <v>74989</v>
      </c>
      <c r="L2" s="5">
        <v>90272</v>
      </c>
      <c r="M2" s="5">
        <v>110855</v>
      </c>
      <c r="N2" s="5">
        <v>136819</v>
      </c>
      <c r="O2" s="5">
        <v>161857</v>
      </c>
      <c r="P2" s="5">
        <v>182527</v>
      </c>
      <c r="Q2" s="5">
        <v>257637</v>
      </c>
      <c r="R2" s="5">
        <v>282836</v>
      </c>
      <c r="S2" s="5">
        <v>307394</v>
      </c>
    </row>
    <row r="3" spans="1:19" x14ac:dyDescent="0.2">
      <c r="B3" s="2" t="s">
        <v>15</v>
      </c>
      <c r="C3" s="5">
        <v>6649.1</v>
      </c>
      <c r="D3" s="5">
        <v>8622</v>
      </c>
      <c r="E3" s="5">
        <v>8844</v>
      </c>
      <c r="F3" s="5">
        <v>10417</v>
      </c>
      <c r="G3" s="5">
        <v>13188</v>
      </c>
      <c r="H3" s="5">
        <v>17176</v>
      </c>
      <c r="I3" s="5">
        <v>21993</v>
      </c>
      <c r="J3" s="5">
        <v>25691</v>
      </c>
      <c r="K3" s="5">
        <v>28164</v>
      </c>
      <c r="L3" s="5">
        <v>35138</v>
      </c>
      <c r="M3" s="5">
        <v>45583</v>
      </c>
      <c r="N3" s="5">
        <v>59549</v>
      </c>
      <c r="O3" s="5">
        <v>71896</v>
      </c>
      <c r="P3" s="5">
        <v>84732</v>
      </c>
      <c r="Q3" s="5">
        <v>110939</v>
      </c>
      <c r="R3" s="5">
        <v>126203</v>
      </c>
      <c r="S3" s="5">
        <v>133332</v>
      </c>
    </row>
    <row r="4" spans="1:19" x14ac:dyDescent="0.2">
      <c r="B4" s="2" t="s">
        <v>16</v>
      </c>
      <c r="C4" s="5">
        <v>9944.9</v>
      </c>
      <c r="D4" s="5">
        <v>13174</v>
      </c>
      <c r="E4" s="5">
        <v>14807</v>
      </c>
      <c r="F4" s="5">
        <v>18904</v>
      </c>
      <c r="G4" s="5">
        <v>24717</v>
      </c>
      <c r="H4" s="5">
        <v>28863</v>
      </c>
      <c r="I4" s="5">
        <v>33526</v>
      </c>
      <c r="J4" s="5">
        <v>40310</v>
      </c>
      <c r="K4" s="5">
        <v>46825</v>
      </c>
      <c r="L4" s="5">
        <v>55134</v>
      </c>
      <c r="M4" s="5">
        <v>65272</v>
      </c>
      <c r="N4" s="5">
        <v>77270</v>
      </c>
      <c r="O4" s="5">
        <v>89961</v>
      </c>
      <c r="P4" s="5">
        <v>97795</v>
      </c>
      <c r="Q4" s="5">
        <v>146698</v>
      </c>
      <c r="R4" s="5">
        <v>156633</v>
      </c>
      <c r="S4" s="5">
        <v>174062</v>
      </c>
    </row>
    <row r="5" spans="1:19" x14ac:dyDescent="0.2">
      <c r="B5" s="2" t="s">
        <v>17</v>
      </c>
      <c r="C5" s="5">
        <v>4860.5</v>
      </c>
      <c r="D5" s="5">
        <v>6542</v>
      </c>
      <c r="E5" s="5">
        <v>6495</v>
      </c>
      <c r="F5" s="5">
        <v>8523</v>
      </c>
      <c r="G5" s="5">
        <v>12975</v>
      </c>
      <c r="H5" s="5">
        <v>15029</v>
      </c>
      <c r="I5" s="5">
        <v>18123</v>
      </c>
      <c r="J5" s="5">
        <v>23814</v>
      </c>
      <c r="K5" s="5">
        <v>27465</v>
      </c>
      <c r="L5" s="5">
        <v>31418</v>
      </c>
      <c r="M5" s="5">
        <v>39094</v>
      </c>
      <c r="N5" s="5">
        <v>49746</v>
      </c>
      <c r="O5" s="5">
        <v>55730</v>
      </c>
      <c r="P5" s="5">
        <v>56571</v>
      </c>
      <c r="Q5" s="5">
        <v>67984</v>
      </c>
      <c r="R5" s="5">
        <v>81791</v>
      </c>
      <c r="S5" s="5">
        <v>89769</v>
      </c>
    </row>
    <row r="6" spans="1:19" x14ac:dyDescent="0.2">
      <c r="B6" s="2" t="s">
        <v>18</v>
      </c>
      <c r="C6" s="5">
        <v>1279.2</v>
      </c>
      <c r="D6" s="5">
        <v>1803</v>
      </c>
      <c r="E6" s="5">
        <v>1668</v>
      </c>
      <c r="F6" s="5">
        <v>1962</v>
      </c>
      <c r="G6" s="5">
        <v>2724</v>
      </c>
      <c r="H6" s="5">
        <v>3481</v>
      </c>
      <c r="I6" s="5">
        <v>4432</v>
      </c>
      <c r="J6" s="5">
        <v>5851</v>
      </c>
      <c r="K6" s="5">
        <v>6136</v>
      </c>
      <c r="L6" s="5">
        <v>6985</v>
      </c>
      <c r="M6" s="5">
        <v>6840</v>
      </c>
      <c r="N6" s="5">
        <v>6923</v>
      </c>
      <c r="O6" s="5">
        <v>9551</v>
      </c>
      <c r="P6" s="5">
        <v>11052</v>
      </c>
      <c r="Q6" s="5">
        <v>13510</v>
      </c>
      <c r="R6" s="5">
        <v>15724</v>
      </c>
      <c r="S6" s="5">
        <v>16425</v>
      </c>
    </row>
    <row r="7" spans="1:19" x14ac:dyDescent="0.2">
      <c r="B7" s="2" t="s">
        <v>19</v>
      </c>
      <c r="C7" s="5">
        <v>2120</v>
      </c>
      <c r="D7" s="5">
        <v>2793</v>
      </c>
      <c r="E7" s="5">
        <v>2843</v>
      </c>
      <c r="F7" s="5">
        <v>3762</v>
      </c>
      <c r="G7" s="5">
        <v>5162</v>
      </c>
      <c r="H7" s="5">
        <v>6083</v>
      </c>
      <c r="I7" s="5">
        <v>7137</v>
      </c>
      <c r="J7" s="5">
        <v>9832</v>
      </c>
      <c r="K7" s="5">
        <v>12282</v>
      </c>
      <c r="L7" s="5">
        <v>13948</v>
      </c>
      <c r="M7" s="5">
        <v>16625</v>
      </c>
      <c r="N7" s="5">
        <v>21419</v>
      </c>
      <c r="O7" s="5">
        <v>26018</v>
      </c>
      <c r="P7" s="5">
        <v>27573</v>
      </c>
      <c r="Q7" s="5">
        <v>31562</v>
      </c>
      <c r="R7" s="5">
        <v>39500</v>
      </c>
      <c r="S7" s="5">
        <v>45427</v>
      </c>
    </row>
    <row r="8" spans="1:19" x14ac:dyDescent="0.2">
      <c r="B8" s="2" t="s">
        <v>20</v>
      </c>
      <c r="C8" s="5">
        <v>5084.3999999999996</v>
      </c>
      <c r="D8" s="5">
        <v>6632</v>
      </c>
      <c r="E8" s="5">
        <v>8312</v>
      </c>
      <c r="F8" s="5">
        <v>10381</v>
      </c>
      <c r="G8" s="5">
        <v>11742</v>
      </c>
      <c r="H8" s="5">
        <v>13834</v>
      </c>
      <c r="I8" s="5">
        <v>15403</v>
      </c>
      <c r="J8" s="5">
        <v>16496</v>
      </c>
      <c r="K8" s="5">
        <v>19360</v>
      </c>
      <c r="L8" s="5">
        <v>23716</v>
      </c>
      <c r="M8" s="5">
        <v>26178</v>
      </c>
      <c r="N8" s="5">
        <v>27524</v>
      </c>
      <c r="O8" s="5">
        <v>34231</v>
      </c>
      <c r="P8" s="5">
        <v>41224</v>
      </c>
      <c r="Q8" s="5">
        <v>78714</v>
      </c>
      <c r="R8" s="5">
        <v>74842</v>
      </c>
      <c r="S8" s="5">
        <v>84293</v>
      </c>
    </row>
    <row r="9" spans="1:19" x14ac:dyDescent="0.2">
      <c r="B9" s="2" t="s">
        <v>11</v>
      </c>
      <c r="C9" s="5">
        <v>589.6</v>
      </c>
      <c r="D9" s="5">
        <v>-779</v>
      </c>
      <c r="E9" s="5">
        <v>69</v>
      </c>
      <c r="F9" s="5">
        <v>415</v>
      </c>
      <c r="G9" s="5">
        <v>584</v>
      </c>
      <c r="H9" s="5">
        <v>635</v>
      </c>
      <c r="I9" s="5">
        <v>496</v>
      </c>
      <c r="J9" s="5">
        <v>763</v>
      </c>
      <c r="K9" s="5">
        <v>291</v>
      </c>
      <c r="L9" s="5">
        <v>434</v>
      </c>
      <c r="M9" s="5">
        <v>1015</v>
      </c>
      <c r="N9" s="5">
        <v>7389</v>
      </c>
      <c r="O9" s="5">
        <v>5394</v>
      </c>
      <c r="P9" s="5">
        <v>6858</v>
      </c>
      <c r="Q9" s="5">
        <v>12020</v>
      </c>
      <c r="R9" s="5">
        <v>-3514</v>
      </c>
      <c r="S9" s="5">
        <v>1424</v>
      </c>
    </row>
    <row r="10" spans="1:19" x14ac:dyDescent="0.2">
      <c r="B10" s="2" t="s">
        <v>21</v>
      </c>
      <c r="C10" s="5">
        <v>5674</v>
      </c>
      <c r="D10" s="5">
        <v>5853</v>
      </c>
      <c r="E10" s="5">
        <v>8381</v>
      </c>
      <c r="F10" s="5">
        <v>10796</v>
      </c>
      <c r="G10" s="5">
        <v>12326</v>
      </c>
      <c r="H10" s="5">
        <v>14469</v>
      </c>
      <c r="I10" s="5">
        <v>15899</v>
      </c>
      <c r="J10" s="5">
        <v>17259</v>
      </c>
      <c r="K10" s="5">
        <v>19651</v>
      </c>
      <c r="L10" s="5">
        <v>24150</v>
      </c>
      <c r="M10" s="5">
        <v>27193</v>
      </c>
      <c r="N10" s="5">
        <v>34913</v>
      </c>
      <c r="O10" s="5">
        <v>39625</v>
      </c>
      <c r="P10" s="5">
        <v>48082</v>
      </c>
      <c r="Q10" s="5">
        <v>90734</v>
      </c>
      <c r="R10" s="5">
        <v>71328</v>
      </c>
      <c r="S10" s="5">
        <v>85717</v>
      </c>
    </row>
    <row r="11" spans="1:19" x14ac:dyDescent="0.2">
      <c r="B11" s="2" t="s">
        <v>12</v>
      </c>
      <c r="C11" s="5">
        <v>1470.3</v>
      </c>
      <c r="D11" s="5">
        <v>1626</v>
      </c>
      <c r="E11" s="5">
        <v>1861</v>
      </c>
      <c r="F11" s="5">
        <v>2291</v>
      </c>
      <c r="G11" s="5">
        <v>2589</v>
      </c>
      <c r="H11" s="5">
        <v>2916</v>
      </c>
      <c r="I11" s="5">
        <v>2739</v>
      </c>
      <c r="J11" s="5">
        <v>3639</v>
      </c>
      <c r="K11" s="5">
        <v>3303</v>
      </c>
      <c r="L11" s="5">
        <v>4672</v>
      </c>
      <c r="M11" s="5">
        <v>14531</v>
      </c>
      <c r="N11" s="5">
        <v>4177</v>
      </c>
      <c r="O11" s="5">
        <v>5282</v>
      </c>
      <c r="P11" s="5">
        <v>7813</v>
      </c>
      <c r="Q11" s="5">
        <v>14701</v>
      </c>
      <c r="R11" s="5">
        <v>11356</v>
      </c>
      <c r="S11" s="5">
        <v>11922</v>
      </c>
    </row>
    <row r="12" spans="1:19" x14ac:dyDescent="0.2">
      <c r="B12" s="2" t="s">
        <v>13</v>
      </c>
      <c r="C12" s="5">
        <v>4203.7</v>
      </c>
      <c r="D12" s="5">
        <v>4227</v>
      </c>
      <c r="E12" s="5">
        <v>6520</v>
      </c>
      <c r="F12" s="5">
        <v>8505</v>
      </c>
      <c r="G12" s="5">
        <v>9737</v>
      </c>
      <c r="H12" s="5">
        <v>10737</v>
      </c>
      <c r="I12" s="5">
        <v>12733</v>
      </c>
      <c r="J12" s="5">
        <v>14136</v>
      </c>
      <c r="K12" s="5">
        <v>16348</v>
      </c>
      <c r="L12" s="5">
        <v>19478</v>
      </c>
      <c r="M12" s="5">
        <v>12662</v>
      </c>
      <c r="N12" s="5">
        <v>30736</v>
      </c>
      <c r="O12" s="5">
        <v>34343</v>
      </c>
      <c r="P12" s="5">
        <v>40269</v>
      </c>
      <c r="Q12" s="5">
        <v>76033</v>
      </c>
      <c r="R12" s="5">
        <v>59972</v>
      </c>
      <c r="S12" s="5">
        <v>73795</v>
      </c>
    </row>
    <row r="13" spans="1:19" x14ac:dyDescent="0.2">
      <c r="C13" s="2"/>
      <c r="D13" s="2"/>
    </row>
    <row r="14" spans="1:19" x14ac:dyDescent="0.2">
      <c r="B14" s="2" t="s">
        <v>22</v>
      </c>
      <c r="C14" s="6"/>
      <c r="D14" s="6">
        <f>(D2/C2)-1</f>
        <v>0.31348680245872007</v>
      </c>
      <c r="E14" s="6">
        <f t="shared" ref="E14:S14" si="1">(E2/D2)-1</f>
        <v>8.5107359148467676E-2</v>
      </c>
      <c r="F14" s="6">
        <f t="shared" si="1"/>
        <v>0.23973616337575576</v>
      </c>
      <c r="G14" s="6">
        <f t="shared" si="1"/>
        <v>0.2927594556802291</v>
      </c>
      <c r="H14" s="6">
        <f t="shared" si="1"/>
        <v>0.21458910433979694</v>
      </c>
      <c r="I14" s="6">
        <f t="shared" si="1"/>
        <v>0.2059123786355046</v>
      </c>
      <c r="J14" s="6">
        <f t="shared" si="1"/>
        <v>0.18880023055170292</v>
      </c>
      <c r="K14" s="6">
        <f t="shared" si="1"/>
        <v>0.13617975485219924</v>
      </c>
      <c r="L14" s="6">
        <f t="shared" si="1"/>
        <v>0.20380322447292265</v>
      </c>
      <c r="M14" s="6">
        <f t="shared" si="1"/>
        <v>0.22801090038993266</v>
      </c>
      <c r="N14" s="6">
        <f t="shared" si="1"/>
        <v>0.23421586757475987</v>
      </c>
      <c r="O14" s="6">
        <f t="shared" si="1"/>
        <v>0.18300089899794614</v>
      </c>
      <c r="P14" s="6">
        <f t="shared" si="1"/>
        <v>0.12770532012826141</v>
      </c>
      <c r="Q14" s="6">
        <f t="shared" si="1"/>
        <v>0.41150076427049154</v>
      </c>
      <c r="R14" s="6">
        <f t="shared" si="1"/>
        <v>9.7808156437157789E-2</v>
      </c>
      <c r="S14" s="6">
        <f t="shared" si="1"/>
        <v>8.6827702272695095E-2</v>
      </c>
    </row>
    <row r="15" spans="1:19" x14ac:dyDescent="0.2">
      <c r="B15" s="2" t="s">
        <v>23</v>
      </c>
      <c r="C15" s="6">
        <f>C4/C2</f>
        <v>0.59930697842593705</v>
      </c>
      <c r="D15" s="6">
        <f>D4/D2</f>
        <v>0.60442282987704166</v>
      </c>
      <c r="E15" s="6">
        <f t="shared" ref="E15:S15" si="2">E4/E2</f>
        <v>0.62606232294617559</v>
      </c>
      <c r="F15" s="6">
        <f t="shared" si="2"/>
        <v>0.64472562327342176</v>
      </c>
      <c r="G15" s="6">
        <f t="shared" si="2"/>
        <v>0.65207756232686975</v>
      </c>
      <c r="H15" s="6">
        <f t="shared" si="2"/>
        <v>0.6269249983709464</v>
      </c>
      <c r="I15" s="6">
        <f t="shared" si="2"/>
        <v>0.60386534339595455</v>
      </c>
      <c r="J15" s="6">
        <f t="shared" si="2"/>
        <v>0.6107483219951213</v>
      </c>
      <c r="K15" s="6">
        <f t="shared" si="2"/>
        <v>0.62442491565429592</v>
      </c>
      <c r="L15" s="6">
        <f t="shared" si="2"/>
        <v>0.61075416518964909</v>
      </c>
      <c r="M15" s="6">
        <f t="shared" si="2"/>
        <v>0.58880519597672631</v>
      </c>
      <c r="N15" s="6">
        <f t="shared" si="2"/>
        <v>0.5647607422945643</v>
      </c>
      <c r="O15" s="6">
        <f t="shared" si="2"/>
        <v>0.5558054331910266</v>
      </c>
      <c r="P15" s="6">
        <f t="shared" si="2"/>
        <v>0.53578374706207854</v>
      </c>
      <c r="Q15" s="6">
        <f t="shared" si="2"/>
        <v>0.5693980290098084</v>
      </c>
      <c r="R15" s="6">
        <f t="shared" si="2"/>
        <v>0.55379442503783116</v>
      </c>
      <c r="S15" s="6">
        <f t="shared" si="2"/>
        <v>0.56625047984020505</v>
      </c>
    </row>
    <row r="16" spans="1:19" x14ac:dyDescent="0.2">
      <c r="B16" s="2" t="s">
        <v>24</v>
      </c>
      <c r="C16" s="6">
        <f>C8/C2</f>
        <v>0.30639990357960706</v>
      </c>
      <c r="D16" s="6">
        <f>D8/D2</f>
        <v>0.3042760139475133</v>
      </c>
      <c r="E16" s="6">
        <f t="shared" ref="E16:S16" si="3">E8/E2</f>
        <v>0.35144391357659294</v>
      </c>
      <c r="F16" s="6">
        <f t="shared" si="3"/>
        <v>0.35404658776985776</v>
      </c>
      <c r="G16" s="6">
        <f t="shared" si="3"/>
        <v>0.30977443609022559</v>
      </c>
      <c r="H16" s="6">
        <f t="shared" si="3"/>
        <v>0.30048437194552446</v>
      </c>
      <c r="I16" s="6">
        <f t="shared" si="3"/>
        <v>0.27743655325203986</v>
      </c>
      <c r="J16" s="6">
        <f t="shared" si="3"/>
        <v>0.24993560703625703</v>
      </c>
      <c r="K16" s="6">
        <f t="shared" si="3"/>
        <v>0.25817119844243824</v>
      </c>
      <c r="L16" s="6">
        <f t="shared" si="3"/>
        <v>0.26271712158808935</v>
      </c>
      <c r="M16" s="6">
        <f t="shared" si="3"/>
        <v>0.23614631726128726</v>
      </c>
      <c r="N16" s="6">
        <f t="shared" si="3"/>
        <v>0.20117089000796673</v>
      </c>
      <c r="O16" s="6">
        <f t="shared" si="3"/>
        <v>0.21148915400631421</v>
      </c>
      <c r="P16" s="6">
        <f t="shared" si="3"/>
        <v>0.22585151785763202</v>
      </c>
      <c r="Q16" s="6">
        <f t="shared" si="3"/>
        <v>0.3055228868524319</v>
      </c>
      <c r="R16" s="6">
        <f t="shared" si="3"/>
        <v>0.26461270842467011</v>
      </c>
      <c r="S16" s="6">
        <f t="shared" si="3"/>
        <v>0.27421810445226646</v>
      </c>
    </row>
    <row r="17" spans="1:19" x14ac:dyDescent="0.2">
      <c r="B17" s="2" t="s">
        <v>25</v>
      </c>
      <c r="C17" s="6">
        <f>C11/C10</f>
        <v>0.25912936200211489</v>
      </c>
      <c r="D17" s="6">
        <f>D11/D10</f>
        <v>0.2778062532034854</v>
      </c>
      <c r="E17" s="6">
        <f t="shared" ref="E17:S17" si="4">E11/E10</f>
        <v>0.22204987471662094</v>
      </c>
      <c r="F17" s="6">
        <f t="shared" si="4"/>
        <v>0.21220822526861802</v>
      </c>
      <c r="G17" s="6">
        <f t="shared" si="4"/>
        <v>0.2100438098328736</v>
      </c>
      <c r="H17" s="6">
        <f t="shared" si="4"/>
        <v>0.20153431474186193</v>
      </c>
      <c r="I17" s="6">
        <f t="shared" si="4"/>
        <v>0.17227498584816656</v>
      </c>
      <c r="J17" s="6">
        <f t="shared" si="4"/>
        <v>0.21084651486181122</v>
      </c>
      <c r="K17" s="6">
        <f t="shared" si="4"/>
        <v>0.16808304920869166</v>
      </c>
      <c r="L17" s="6">
        <f t="shared" si="4"/>
        <v>0.19345755693581781</v>
      </c>
      <c r="M17" s="6">
        <f t="shared" si="4"/>
        <v>0.53436546169970212</v>
      </c>
      <c r="N17" s="6">
        <f t="shared" si="4"/>
        <v>0.1196402486179933</v>
      </c>
      <c r="O17" s="6">
        <f t="shared" si="4"/>
        <v>0.13329968454258675</v>
      </c>
      <c r="P17" s="6">
        <f t="shared" si="4"/>
        <v>0.16249324071378063</v>
      </c>
      <c r="Q17" s="6">
        <f t="shared" si="4"/>
        <v>0.16202305640663919</v>
      </c>
      <c r="R17" s="6">
        <f t="shared" si="4"/>
        <v>0.1592081650964558</v>
      </c>
      <c r="S17" s="6">
        <f t="shared" si="4"/>
        <v>0.13908559562280529</v>
      </c>
    </row>
    <row r="18" spans="1:19" x14ac:dyDescent="0.2">
      <c r="B18" s="2" t="s">
        <v>26</v>
      </c>
      <c r="C18" s="6">
        <f>C9/C2</f>
        <v>3.5530914788477766E-2</v>
      </c>
      <c r="D18" s="6">
        <f>D9/D2</f>
        <v>-3.5740502844558632E-2</v>
      </c>
      <c r="E18" s="6">
        <f t="shared" ref="E18:S18" si="5">E9/E2</f>
        <v>2.9174242103927953E-3</v>
      </c>
      <c r="F18" s="6">
        <f t="shared" si="5"/>
        <v>1.4153678251082841E-2</v>
      </c>
      <c r="G18" s="6">
        <f t="shared" si="5"/>
        <v>1.540693839862815E-2</v>
      </c>
      <c r="H18" s="6">
        <f t="shared" si="5"/>
        <v>1.3792654054171464E-2</v>
      </c>
      <c r="I18" s="6">
        <f t="shared" si="5"/>
        <v>8.9338784920477681E-3</v>
      </c>
      <c r="J18" s="6">
        <f t="shared" si="5"/>
        <v>1.1560430902562082E-2</v>
      </c>
      <c r="K18" s="6">
        <f t="shared" si="5"/>
        <v>3.8805691501420207E-3</v>
      </c>
      <c r="L18" s="6">
        <f t="shared" si="5"/>
        <v>4.807692307692308E-3</v>
      </c>
      <c r="M18" s="6">
        <f t="shared" si="5"/>
        <v>9.1561048216138204E-3</v>
      </c>
      <c r="N18" s="6">
        <f t="shared" si="5"/>
        <v>5.4005657109027258E-2</v>
      </c>
      <c r="O18" s="6">
        <f t="shared" si="5"/>
        <v>3.3325713438405506E-2</v>
      </c>
      <c r="P18" s="6">
        <f t="shared" si="5"/>
        <v>3.7572523517068711E-2</v>
      </c>
      <c r="Q18" s="6">
        <f t="shared" si="5"/>
        <v>4.6654789490639934E-2</v>
      </c>
      <c r="R18" s="6">
        <f t="shared" si="5"/>
        <v>-1.2424160997892772E-2</v>
      </c>
      <c r="S18" s="6">
        <f t="shared" si="5"/>
        <v>4.6324912002186115E-3</v>
      </c>
    </row>
    <row r="19" spans="1:19" x14ac:dyDescent="0.2">
      <c r="B19" s="2" t="s">
        <v>27</v>
      </c>
      <c r="C19" s="6">
        <f>C7/C2</f>
        <v>0.127757020609859</v>
      </c>
      <c r="D19" s="6">
        <f>D7/D2</f>
        <v>0.12814277849146632</v>
      </c>
      <c r="E19" s="6">
        <f t="shared" ref="E19:S19" si="6">E7/E2</f>
        <v>0.12020633377024227</v>
      </c>
      <c r="F19" s="6">
        <f t="shared" si="6"/>
        <v>0.12830394597728589</v>
      </c>
      <c r="G19" s="6">
        <f t="shared" si="6"/>
        <v>0.1361825616673262</v>
      </c>
      <c r="H19" s="6">
        <f t="shared" si="6"/>
        <v>0.13212710962444885</v>
      </c>
      <c r="I19" s="6">
        <f t="shared" si="6"/>
        <v>0.12855058628577604</v>
      </c>
      <c r="J19" s="6">
        <f t="shared" si="6"/>
        <v>0.14896743988727443</v>
      </c>
      <c r="K19" s="6">
        <f t="shared" si="6"/>
        <v>0.16378402165650963</v>
      </c>
      <c r="L19" s="6">
        <f t="shared" si="6"/>
        <v>0.15451081176887629</v>
      </c>
      <c r="M19" s="6">
        <f t="shared" si="6"/>
        <v>0.14997068242298497</v>
      </c>
      <c r="N19" s="6">
        <f t="shared" si="6"/>
        <v>0.15654989438601363</v>
      </c>
      <c r="O19" s="6">
        <f t="shared" si="6"/>
        <v>0.16074683208016954</v>
      </c>
      <c r="P19" s="6">
        <f t="shared" si="6"/>
        <v>0.15106258252203783</v>
      </c>
      <c r="Q19" s="6">
        <f t="shared" si="6"/>
        <v>0.12250569599863374</v>
      </c>
      <c r="R19" s="6">
        <f t="shared" si="6"/>
        <v>0.13965690364734334</v>
      </c>
      <c r="S19" s="6">
        <f t="shared" si="6"/>
        <v>0.14778102370247956</v>
      </c>
    </row>
    <row r="20" spans="1:19" x14ac:dyDescent="0.2">
      <c r="A20" s="2" t="s">
        <v>28</v>
      </c>
      <c r="C20" s="2"/>
      <c r="D20" s="2"/>
    </row>
    <row r="21" spans="1:19" x14ac:dyDescent="0.2">
      <c r="C21" s="7" t="s">
        <v>29</v>
      </c>
      <c r="D21" s="7" t="s">
        <v>9</v>
      </c>
    </row>
    <row r="22" spans="1:19" x14ac:dyDescent="0.2">
      <c r="B22" s="2" t="s">
        <v>14</v>
      </c>
      <c r="C22" s="5">
        <v>80539</v>
      </c>
      <c r="D22" s="5">
        <v>84742</v>
      </c>
    </row>
    <row r="23" spans="1:19" x14ac:dyDescent="0.2">
      <c r="B23" s="2" t="s">
        <v>15</v>
      </c>
      <c r="C23" s="5">
        <v>33712</v>
      </c>
      <c r="D23" s="5">
        <v>35507</v>
      </c>
    </row>
    <row r="24" spans="1:19" x14ac:dyDescent="0.2">
      <c r="B24" s="3" t="s">
        <v>16</v>
      </c>
      <c r="C24" s="8">
        <f>C22-C23</f>
        <v>46827</v>
      </c>
      <c r="D24" s="8">
        <f>D22-D23</f>
        <v>49235</v>
      </c>
    </row>
    <row r="25" spans="1:19" x14ac:dyDescent="0.2">
      <c r="B25" s="3" t="s">
        <v>17</v>
      </c>
      <c r="C25" s="8">
        <f>C27+C26</f>
        <v>21355</v>
      </c>
      <c r="D25" s="8">
        <f>D27+D26</f>
        <v>21810</v>
      </c>
    </row>
    <row r="26" spans="1:19" x14ac:dyDescent="0.2">
      <c r="B26" s="2" t="s">
        <v>18</v>
      </c>
      <c r="C26" s="5">
        <f>6426+3026</f>
        <v>9452</v>
      </c>
      <c r="D26" s="5">
        <f>6792+3158</f>
        <v>9950</v>
      </c>
    </row>
    <row r="27" spans="1:19" x14ac:dyDescent="0.2">
      <c r="B27" s="2" t="s">
        <v>19</v>
      </c>
      <c r="C27" s="5">
        <v>11903</v>
      </c>
      <c r="D27" s="5">
        <v>11860</v>
      </c>
    </row>
    <row r="28" spans="1:19" x14ac:dyDescent="0.2">
      <c r="B28" s="3" t="s">
        <v>20</v>
      </c>
      <c r="C28" s="8">
        <f>C24-C25</f>
        <v>25472</v>
      </c>
      <c r="D28" s="8">
        <f>D24-D25</f>
        <v>27425</v>
      </c>
    </row>
    <row r="29" spans="1:19" x14ac:dyDescent="0.2">
      <c r="B29" s="2" t="s">
        <v>11</v>
      </c>
      <c r="C29" s="5">
        <v>2843</v>
      </c>
      <c r="D29" s="5">
        <v>126</v>
      </c>
    </row>
    <row r="30" spans="1:19" x14ac:dyDescent="0.2">
      <c r="B30" s="3" t="s">
        <v>21</v>
      </c>
      <c r="C30" s="8">
        <f>C28+C29</f>
        <v>28315</v>
      </c>
      <c r="D30" s="8">
        <f>D28+D29</f>
        <v>27551</v>
      </c>
    </row>
    <row r="31" spans="1:19" x14ac:dyDescent="0.2">
      <c r="B31" s="2" t="s">
        <v>12</v>
      </c>
      <c r="C31" s="5">
        <v>4653</v>
      </c>
      <c r="D31" s="5">
        <v>3932</v>
      </c>
    </row>
    <row r="32" spans="1:19" x14ac:dyDescent="0.2">
      <c r="B32" s="3" t="s">
        <v>13</v>
      </c>
      <c r="C32" s="8">
        <f>C30-C31</f>
        <v>23662</v>
      </c>
      <c r="D32" s="8">
        <f>D30-D31</f>
        <v>23619</v>
      </c>
    </row>
    <row r="34" spans="1:4" x14ac:dyDescent="0.2">
      <c r="B34" s="2" t="s">
        <v>22</v>
      </c>
      <c r="C34" s="9"/>
      <c r="D34" s="9">
        <f>(D22/C22)-1</f>
        <v>5.218589751548941E-2</v>
      </c>
    </row>
    <row r="35" spans="1:4" x14ac:dyDescent="0.2">
      <c r="B35" s="2" t="s">
        <v>23</v>
      </c>
      <c r="C35" s="9">
        <f>C24/C22</f>
        <v>0.58142018152696207</v>
      </c>
      <c r="D35" s="9">
        <f>D24/D22</f>
        <v>0.58099879634655782</v>
      </c>
    </row>
    <row r="36" spans="1:4" x14ac:dyDescent="0.2">
      <c r="B36" s="2" t="s">
        <v>24</v>
      </c>
      <c r="C36" s="9">
        <f>C28/C22</f>
        <v>0.31626913669154072</v>
      </c>
      <c r="D36" s="9">
        <f>D28/D22</f>
        <v>0.32362936914398999</v>
      </c>
    </row>
    <row r="37" spans="1:4" x14ac:dyDescent="0.2">
      <c r="B37" s="2" t="s">
        <v>25</v>
      </c>
      <c r="C37" s="9">
        <f>C31/C30</f>
        <v>0.16432986049796927</v>
      </c>
      <c r="D37" s="9">
        <f>D31/D30</f>
        <v>0.14271714275343908</v>
      </c>
    </row>
    <row r="38" spans="1:4" x14ac:dyDescent="0.2">
      <c r="B38" s="2" t="s">
        <v>26</v>
      </c>
      <c r="C38" s="9">
        <f>C29/C22</f>
        <v>3.5299668483591798E-2</v>
      </c>
      <c r="D38" s="9">
        <f>D29/D22</f>
        <v>1.4868660168511482E-3</v>
      </c>
    </row>
    <row r="39" spans="1:4" x14ac:dyDescent="0.2">
      <c r="B39" s="2" t="s">
        <v>27</v>
      </c>
      <c r="C39" s="9">
        <f>C27/C22</f>
        <v>0.1477917530637331</v>
      </c>
      <c r="D39" s="9">
        <f>D27/D22</f>
        <v>0.13995421396710014</v>
      </c>
    </row>
    <row r="40" spans="1:4" x14ac:dyDescent="0.2">
      <c r="A40" s="2" t="s">
        <v>28</v>
      </c>
    </row>
    <row r="41" spans="1:4" x14ac:dyDescent="0.2">
      <c r="B41" s="2" t="s">
        <v>30</v>
      </c>
      <c r="C41" s="5">
        <v>24493</v>
      </c>
      <c r="D41" s="5">
        <v>27225</v>
      </c>
    </row>
    <row r="42" spans="1:4" x14ac:dyDescent="0.2">
      <c r="B42" s="2" t="s">
        <v>31</v>
      </c>
      <c r="C42" s="5">
        <v>44552</v>
      </c>
      <c r="D42" s="5">
        <v>47087</v>
      </c>
    </row>
    <row r="43" spans="1:4" x14ac:dyDescent="0.2">
      <c r="B43" s="2" t="s">
        <v>32</v>
      </c>
      <c r="C43" s="5">
        <v>165471</v>
      </c>
      <c r="D43" s="5">
        <v>161995</v>
      </c>
    </row>
    <row r="44" spans="1:4" x14ac:dyDescent="0.2">
      <c r="B44" s="2" t="s">
        <v>33</v>
      </c>
      <c r="C44" s="5">
        <v>143182</v>
      </c>
      <c r="D44" s="5">
        <v>151155</v>
      </c>
    </row>
    <row r="45" spans="1:4" x14ac:dyDescent="0.2">
      <c r="B45" s="2" t="s">
        <v>34</v>
      </c>
      <c r="C45" s="5">
        <v>13768</v>
      </c>
      <c r="D45" s="5">
        <v>13606</v>
      </c>
    </row>
    <row r="46" spans="1:4" x14ac:dyDescent="0.2">
      <c r="B46" s="3" t="s">
        <v>35</v>
      </c>
      <c r="C46" s="8">
        <v>407350</v>
      </c>
      <c r="D46" s="8">
        <v>414770</v>
      </c>
    </row>
    <row r="47" spans="1:4" x14ac:dyDescent="0.2">
      <c r="B47" s="2" t="s">
        <v>36</v>
      </c>
      <c r="C47" s="5">
        <v>6198</v>
      </c>
      <c r="D47" s="5">
        <v>6092</v>
      </c>
    </row>
    <row r="48" spans="1:4" x14ac:dyDescent="0.2">
      <c r="B48" s="2" t="s">
        <v>37</v>
      </c>
      <c r="C48" s="5">
        <v>3973</v>
      </c>
      <c r="D48" s="5">
        <v>4251</v>
      </c>
    </row>
    <row r="49" spans="2:4" x14ac:dyDescent="0.2">
      <c r="B49" s="2" t="s">
        <v>38</v>
      </c>
      <c r="C49" s="5">
        <v>76997</v>
      </c>
      <c r="D49" s="5">
        <v>77913</v>
      </c>
    </row>
    <row r="50" spans="2:4" x14ac:dyDescent="0.2">
      <c r="B50" s="2" t="s">
        <v>39</v>
      </c>
      <c r="C50" s="5">
        <v>13228</v>
      </c>
      <c r="D50" s="5">
        <v>13238</v>
      </c>
    </row>
    <row r="51" spans="2:4" x14ac:dyDescent="0.2">
      <c r="B51" s="2" t="s">
        <v>40</v>
      </c>
      <c r="C51" s="5">
        <v>486</v>
      </c>
      <c r="D51" s="5">
        <v>717</v>
      </c>
    </row>
    <row r="52" spans="2:4" x14ac:dyDescent="0.2">
      <c r="B52" s="2" t="s">
        <v>41</v>
      </c>
      <c r="C52" s="5">
        <v>11957</v>
      </c>
      <c r="D52" s="5">
        <v>11708</v>
      </c>
    </row>
    <row r="53" spans="2:4" x14ac:dyDescent="0.2">
      <c r="B53" s="3" t="s">
        <v>42</v>
      </c>
      <c r="C53" s="8">
        <v>114506</v>
      </c>
      <c r="D53" s="8">
        <v>114017</v>
      </c>
    </row>
    <row r="54" spans="2:4" x14ac:dyDescent="0.2">
      <c r="B54" s="2" t="s">
        <v>43</v>
      </c>
      <c r="C54" s="5">
        <v>219770</v>
      </c>
      <c r="D54" s="5">
        <v>266033</v>
      </c>
    </row>
    <row r="55" spans="2:4" x14ac:dyDescent="0.2">
      <c r="B55" s="3" t="s">
        <v>44</v>
      </c>
      <c r="C55" s="8">
        <v>292844</v>
      </c>
      <c r="D55" s="8">
        <v>300753</v>
      </c>
    </row>
    <row r="57" spans="2:4" x14ac:dyDescent="0.2">
      <c r="B57" s="2" t="s">
        <v>45</v>
      </c>
      <c r="C57" s="5">
        <f>C53+C55</f>
        <v>407350</v>
      </c>
      <c r="D57" s="5">
        <f>D53+D55</f>
        <v>414770</v>
      </c>
    </row>
    <row r="58" spans="2:4" x14ac:dyDescent="0.2">
      <c r="B58" s="2" t="s">
        <v>46</v>
      </c>
      <c r="C58" s="10">
        <f>C46-C57</f>
        <v>0</v>
      </c>
      <c r="D58" s="10">
        <f>D46-D57</f>
        <v>0</v>
      </c>
    </row>
  </sheetData>
  <hyperlinks>
    <hyperlink ref="A1" location="Main!A1" display="Main" xr:uid="{7DC33203-3091-FC41-8951-6DC7D17491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Main</vt:lpstr>
      <vt:lpstr>Model</vt:lpstr>
      <vt:lpstr>Financials</vt:lpstr>
      <vt:lpstr>Cash</vt:lpstr>
      <vt:lpstr>d</vt:lpstr>
      <vt:lpstr>Debt</vt:lpstr>
      <vt:lpstr>g</vt:lpstr>
      <vt:lpstr>Price</vt:lpstr>
      <vt:lpstr>Shares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dcterms:created xsi:type="dcterms:W3CDTF">2024-10-07T18:09:26Z</dcterms:created>
  <dcterms:modified xsi:type="dcterms:W3CDTF">2024-12-31T21:24:39Z</dcterms:modified>
</cp:coreProperties>
</file>