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de\Dropbox\Jayden\Stocks\Tech\"/>
    </mc:Choice>
  </mc:AlternateContent>
  <xr:revisionPtr revIDLastSave="0" documentId="13_ncr:1_{15F2C944-10AE-48C5-93D1-AF4EC65CFC82}" xr6:coauthVersionLast="47" xr6:coauthVersionMax="47" xr10:uidLastSave="{00000000-0000-0000-0000-000000000000}"/>
  <bookViews>
    <workbookView xWindow="28680" yWindow="-120" windowWidth="29040" windowHeight="15720" xr2:uid="{7232D29F-F00C-4C32-8956-1EE63209429C}"/>
  </bookViews>
  <sheets>
    <sheet name="Main" sheetId="1" r:id="rId1"/>
    <sheet name="Model" sheetId="2" r:id="rId2"/>
  </sheets>
  <definedNames>
    <definedName name="Cash">Main!$F$5</definedName>
    <definedName name="d">Model!$C$47</definedName>
    <definedName name="Debt">Main!$F$6</definedName>
    <definedName name="g">Model!$C$48</definedName>
    <definedName name="Price">Main!$F$2</definedName>
    <definedName name="Shares">Main!$F$3</definedName>
    <definedName name="v">Model!$C$45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C58" i="2"/>
  <c r="C57" i="2"/>
  <c r="C53" i="2"/>
  <c r="C52" i="2"/>
  <c r="I1" i="2"/>
  <c r="J1" i="2" s="1"/>
  <c r="K1" i="2" s="1"/>
  <c r="H1" i="2"/>
  <c r="C45" i="2"/>
  <c r="C46" i="2" s="1"/>
  <c r="G50" i="2" s="1"/>
  <c r="K43" i="2"/>
  <c r="J43" i="2"/>
  <c r="I43" i="2"/>
  <c r="H43" i="2"/>
  <c r="G43" i="2"/>
  <c r="K40" i="2"/>
  <c r="J40" i="2"/>
  <c r="I40" i="2"/>
  <c r="I41" i="2" s="1"/>
  <c r="I42" i="2" s="1"/>
  <c r="H40" i="2"/>
  <c r="G40" i="2"/>
  <c r="E40" i="2"/>
  <c r="D40" i="2"/>
  <c r="C41" i="2"/>
  <c r="C42" i="2" s="1"/>
  <c r="C40" i="2"/>
  <c r="K37" i="2"/>
  <c r="J37" i="2"/>
  <c r="I37" i="2"/>
  <c r="H37" i="2"/>
  <c r="G37" i="2"/>
  <c r="K36" i="2"/>
  <c r="J36" i="2"/>
  <c r="I36" i="2"/>
  <c r="H36" i="2"/>
  <c r="G36" i="2"/>
  <c r="K34" i="2"/>
  <c r="J34" i="2"/>
  <c r="I34" i="2"/>
  <c r="H34" i="2"/>
  <c r="G34" i="2"/>
  <c r="K32" i="2"/>
  <c r="J32" i="2"/>
  <c r="I32" i="2"/>
  <c r="H32" i="2"/>
  <c r="G32" i="2"/>
  <c r="I35" i="2"/>
  <c r="J35" i="2" s="1"/>
  <c r="K35" i="2" s="1"/>
  <c r="H35" i="2"/>
  <c r="K14" i="2"/>
  <c r="J14" i="2"/>
  <c r="I14" i="2"/>
  <c r="H14" i="2"/>
  <c r="G14" i="2"/>
  <c r="G11" i="2"/>
  <c r="G10" i="2"/>
  <c r="G9" i="2"/>
  <c r="K5" i="2"/>
  <c r="J5" i="2"/>
  <c r="I5" i="2"/>
  <c r="H5" i="2"/>
  <c r="G5" i="2"/>
  <c r="I4" i="2"/>
  <c r="J4" i="2" s="1"/>
  <c r="K4" i="2" s="1"/>
  <c r="H4" i="2"/>
  <c r="G4" i="2"/>
  <c r="I3" i="2"/>
  <c r="J3" i="2" s="1"/>
  <c r="K3" i="2" s="1"/>
  <c r="H3" i="2"/>
  <c r="G3" i="2"/>
  <c r="F25" i="2"/>
  <c r="F24" i="2"/>
  <c r="E25" i="2"/>
  <c r="D25" i="2"/>
  <c r="E24" i="2"/>
  <c r="D24" i="2"/>
  <c r="C25" i="2"/>
  <c r="C24" i="2"/>
  <c r="H2" i="2"/>
  <c r="I2" i="2" s="1"/>
  <c r="J2" i="2" s="1"/>
  <c r="K2" i="2" s="1"/>
  <c r="D34" i="2"/>
  <c r="E36" i="2" s="1"/>
  <c r="E34" i="2"/>
  <c r="E35" i="2" s="1"/>
  <c r="D33" i="2"/>
  <c r="C33" i="2"/>
  <c r="D28" i="2"/>
  <c r="D27" i="2"/>
  <c r="C29" i="2"/>
  <c r="C28" i="2"/>
  <c r="C27" i="2"/>
  <c r="E8" i="2"/>
  <c r="D8" i="2"/>
  <c r="C8" i="2"/>
  <c r="C9" i="2" s="1"/>
  <c r="C14" i="2" s="1"/>
  <c r="E5" i="2"/>
  <c r="E38" i="2" s="1"/>
  <c r="D5" i="2"/>
  <c r="D38" i="2" s="1"/>
  <c r="C5" i="2"/>
  <c r="C38" i="2" s="1"/>
  <c r="G2" i="1"/>
  <c r="F7" i="1"/>
  <c r="F6" i="1"/>
  <c r="F4" i="1"/>
  <c r="C54" i="2" l="1"/>
  <c r="H50" i="2" a="1"/>
  <c r="H50" i="2" s="1"/>
  <c r="I50" i="2" a="1"/>
  <c r="I50" i="2" s="1"/>
  <c r="J50" i="2" a="1"/>
  <c r="J50" i="2" s="1"/>
  <c r="K50" i="2" a="1"/>
  <c r="K50" i="2" s="1"/>
  <c r="E42" i="2"/>
  <c r="G42" i="2"/>
  <c r="H42" i="2"/>
  <c r="J42" i="2"/>
  <c r="D41" i="2"/>
  <c r="D42" i="2" s="1"/>
  <c r="E41" i="2"/>
  <c r="G41" i="2"/>
  <c r="H41" i="2"/>
  <c r="J41" i="2"/>
  <c r="K41" i="2"/>
  <c r="K42" i="2" s="1"/>
  <c r="C26" i="2"/>
  <c r="C18" i="2"/>
  <c r="C23" i="2"/>
  <c r="D35" i="2"/>
  <c r="E27" i="2"/>
  <c r="F27" i="2" s="1"/>
  <c r="E28" i="2"/>
  <c r="F28" i="2" s="1"/>
  <c r="E22" i="2"/>
  <c r="E29" i="2"/>
  <c r="E33" i="2"/>
  <c r="D22" i="2"/>
  <c r="F22" i="2" s="1"/>
  <c r="D29" i="2"/>
  <c r="F29" i="2" s="1"/>
  <c r="E9" i="2"/>
  <c r="D9" i="2"/>
  <c r="C55" i="2" l="1"/>
  <c r="C56" i="2" s="1"/>
  <c r="C59" i="2" s="1"/>
  <c r="C60" i="2" s="1"/>
  <c r="D14" i="2"/>
  <c r="D23" i="2"/>
  <c r="C30" i="2"/>
  <c r="C20" i="2"/>
  <c r="E14" i="2"/>
  <c r="E23" i="2"/>
  <c r="F23" i="2" s="1"/>
  <c r="C61" i="2" l="1"/>
  <c r="F53" i="2"/>
  <c r="E18" i="2"/>
  <c r="E26" i="2"/>
  <c r="D18" i="2"/>
  <c r="D26" i="2"/>
  <c r="F26" i="2" s="1"/>
  <c r="D20" i="2" l="1"/>
  <c r="D30" i="2"/>
  <c r="E20" i="2"/>
  <c r="E30" i="2"/>
  <c r="F3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<sst xmlns="http://schemas.openxmlformats.org/spreadsheetml/2006/main" count="69" uniqueCount="60">
  <si>
    <t>Cisco Systems Inc.</t>
  </si>
  <si>
    <t>Ticker</t>
  </si>
  <si>
    <t>CSCO</t>
  </si>
  <si>
    <t>Price</t>
  </si>
  <si>
    <t>Shares</t>
  </si>
  <si>
    <t>MC</t>
  </si>
  <si>
    <t>Cash</t>
  </si>
  <si>
    <t>Debt</t>
  </si>
  <si>
    <t>EV</t>
  </si>
  <si>
    <t>2024 10K</t>
  </si>
  <si>
    <t>Main</t>
  </si>
  <si>
    <t>Product</t>
  </si>
  <si>
    <t>Services</t>
  </si>
  <si>
    <t>Revenue</t>
  </si>
  <si>
    <t>COGS</t>
  </si>
  <si>
    <t>Gross Profit</t>
  </si>
  <si>
    <t>R&amp;D</t>
  </si>
  <si>
    <t>S&amp;M</t>
  </si>
  <si>
    <t>G&amp;A</t>
  </si>
  <si>
    <t>Restructuring</t>
  </si>
  <si>
    <t>Operating Income</t>
  </si>
  <si>
    <t>Interest Income</t>
  </si>
  <si>
    <t>Interest Expense</t>
  </si>
  <si>
    <t>Other Income</t>
  </si>
  <si>
    <t>Pretax Income</t>
  </si>
  <si>
    <t>Income Taxes</t>
  </si>
  <si>
    <t>Net Income</t>
  </si>
  <si>
    <t>Revenue Growth y/y</t>
  </si>
  <si>
    <t>Gross Margin</t>
  </si>
  <si>
    <t>Operating Margin</t>
  </si>
  <si>
    <t>R&amp;D % of Rev</t>
  </si>
  <si>
    <t>S&amp;M % of Rev</t>
  </si>
  <si>
    <t>Other Income % of Rev</t>
  </si>
  <si>
    <t>Tax Rate</t>
  </si>
  <si>
    <t>AVG</t>
  </si>
  <si>
    <t>D&amp;A</t>
  </si>
  <si>
    <t>% of Revenue</t>
  </si>
  <si>
    <t>Working Capital</t>
  </si>
  <si>
    <t>CIWC</t>
  </si>
  <si>
    <t>CapEx</t>
  </si>
  <si>
    <t>Product GM</t>
  </si>
  <si>
    <t>Service GM</t>
  </si>
  <si>
    <t>Operating Taxes</t>
  </si>
  <si>
    <t>NOPAT</t>
  </si>
  <si>
    <t>UFCF</t>
  </si>
  <si>
    <t>Valuation Date</t>
  </si>
  <si>
    <t>Stub %</t>
  </si>
  <si>
    <t>Discount Rate</t>
  </si>
  <si>
    <t>TGR</t>
  </si>
  <si>
    <t>PV of UFCF</t>
  </si>
  <si>
    <t>Terminal CF</t>
  </si>
  <si>
    <t>Terminal Value</t>
  </si>
  <si>
    <t>PV of Terminal Value</t>
  </si>
  <si>
    <t>Sum of Stage 1 CF</t>
  </si>
  <si>
    <t>Enterprise Value</t>
  </si>
  <si>
    <t>Equity Value</t>
  </si>
  <si>
    <t>Share Price</t>
  </si>
  <si>
    <t>Implied Upside</t>
  </si>
  <si>
    <t>Sensitivity Analysis</t>
  </si>
  <si>
    <t>EV/EBITDA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</si>
</sst>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3" fontId="0" fillId="0" borderId="0" xfId="1" applyFont="1"/>
    <xf numFmtId="164" fontId="0" fillId="0" borderId="0" xfId="1" applyNumberFormat="1" applyFont="1"/>
    <xf numFmtId="14" fontId="0" fillId="0" borderId="0" xfId="0" applyNumberFormat="1"/>
    <xf numFmtId="0" fontId="4" fillId="0" borderId="0" xfId="3"/>
    <xf numFmtId="0" fontId="2" fillId="0" borderId="0" xfId="0" applyFont="1"/>
    <xf numFmtId="0" fontId="0" fillId="0" borderId="1" xfId="0" applyBorder="1"/>
    <xf numFmtId="43" fontId="2" fillId="0" borderId="0" xfId="1" applyFont="1"/>
    <xf numFmtId="164" fontId="2" fillId="0" borderId="0" xfId="1" applyNumberFormat="1" applyFont="1"/>
    <xf numFmtId="9" fontId="0" fillId="0" borderId="0" xfId="2" applyFont="1"/>
    <xf numFmtId="165" fontId="0" fillId="0" borderId="0" xfId="2" applyNumberFormat="1" applyFont="1"/>
    <xf numFmtId="164" fontId="0" fillId="0" borderId="0" xfId="0" applyNumberFormat="1"/>
    <xf numFmtId="165" fontId="5" fillId="0" borderId="0" xfId="0" applyNumberFormat="1" applyFont="1"/>
    <xf numFmtId="164" fontId="2" fillId="0" borderId="0" xfId="0" applyNumberFormat="1" applyFont="1"/>
    <xf numFmtId="165" fontId="0" fillId="0" borderId="1" xfId="2" applyNumberFormat="1" applyFont="1" applyBorder="1"/>
    <xf numFmtId="165" fontId="0" fillId="0" borderId="2" xfId="2" applyNumberFormat="1" applyFont="1" applyBorder="1"/>
    <xf numFmtId="43" fontId="2" fillId="0" borderId="3" xfId="1" applyFont="1" applyBorder="1"/>
    <xf numFmtId="43" fontId="3" fillId="0" borderId="0" xfId="0" applyNumberFormat="1" applyFont="1"/>
    <xf numFmtId="0" fontId="2" fillId="0" borderId="0" xfId="0" applyFont="1" applyAlignment="1">
      <alignment horizontal="center"/>
    </xf>
    <xf numFmtId="43" fontId="0" fillId="0" borderId="0" xfId="0" applyNumberFormat="1"/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FEE0-5638-4FA0-BDC8-3BBE1C980980}">
  <dimension ref="A1:J7"/>
  <sheetViews>
    <sheetView tabSelected="1" zoomScale="170" zoomScaleNormal="170" workbookViewId="0"/>
  </sheetViews>
  <sheetFormatPr defaultRowHeight="15" x14ac:dyDescent="0.25"/>
  <cols>
    <col min="6" max="6" width="9.42578125" bestFit="1" customWidth="1"/>
    <col min="7" max="7" width="11" bestFit="1" customWidth="1"/>
    <col min="9" max="9" width="10" bestFit="1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E2" t="s">
        <v>3</v>
      </c>
      <c r="F2" s="1">
        <v>57.46</v>
      </c>
      <c r="G2" s="3">
        <f ca="1">TODAY()</f>
        <v>45657</v>
      </c>
      <c r="I2" t="s">
        <v>59</v>
      </c>
      <c r="J2" s="19">
        <f>F7/SUM(Model!E14,Model!E32)</f>
        <v>16.428026859693226</v>
      </c>
    </row>
    <row r="3" spans="1:10" x14ac:dyDescent="0.25">
      <c r="E3" t="s">
        <v>4</v>
      </c>
      <c r="F3" s="2">
        <v>3990.734794</v>
      </c>
      <c r="G3" t="s">
        <v>9</v>
      </c>
    </row>
    <row r="4" spans="1:10" x14ac:dyDescent="0.25">
      <c r="E4" t="s">
        <v>5</v>
      </c>
      <c r="F4" s="2">
        <f>F2*F3</f>
        <v>229307.62126324</v>
      </c>
    </row>
    <row r="5" spans="1:10" x14ac:dyDescent="0.25">
      <c r="E5" t="s">
        <v>6</v>
      </c>
      <c r="F5" s="2">
        <v>7508</v>
      </c>
      <c r="G5" t="s">
        <v>9</v>
      </c>
    </row>
    <row r="6" spans="1:10" x14ac:dyDescent="0.25">
      <c r="E6" t="s">
        <v>7</v>
      </c>
      <c r="F6" s="2">
        <f>11341+19621</f>
        <v>30962</v>
      </c>
      <c r="G6" t="s">
        <v>9</v>
      </c>
    </row>
    <row r="7" spans="1:10" x14ac:dyDescent="0.25">
      <c r="E7" t="s">
        <v>8</v>
      </c>
      <c r="F7" s="2">
        <f>F4-F5+F6</f>
        <v>252761.62126324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5CA-746A-4B75-830F-5AF98072EDE5}">
  <dimension ref="A1:K61"/>
  <sheetViews>
    <sheetView zoomScale="170" zoomScaleNormal="170" workbookViewId="0"/>
  </sheetViews>
  <sheetFormatPr defaultRowHeight="15" x14ac:dyDescent="0.25"/>
  <cols>
    <col min="1" max="1" width="5.42578125" bestFit="1" customWidth="1"/>
    <col min="2" max="2" width="20.7109375" bestFit="1" customWidth="1"/>
    <col min="3" max="5" width="11.140625" bestFit="1" customWidth="1"/>
    <col min="6" max="6" width="9.28515625" bestFit="1" customWidth="1"/>
    <col min="7" max="7" width="11.28515625" bestFit="1" customWidth="1"/>
    <col min="8" max="11" width="11.140625" bestFit="1" customWidth="1"/>
  </cols>
  <sheetData>
    <row r="1" spans="1:11" x14ac:dyDescent="0.25">
      <c r="A1" s="4" t="s">
        <v>10</v>
      </c>
      <c r="E1" s="3">
        <v>45500</v>
      </c>
      <c r="G1" s="3">
        <v>45865</v>
      </c>
      <c r="H1" s="3">
        <f>EOMONTH(G1,12)</f>
        <v>46234</v>
      </c>
      <c r="I1" s="3">
        <f t="shared" ref="I1:K1" si="0">EOMONTH(H1,12)</f>
        <v>46599</v>
      </c>
      <c r="J1" s="3">
        <f t="shared" si="0"/>
        <v>46965</v>
      </c>
      <c r="K1" s="3">
        <f t="shared" si="0"/>
        <v>47330</v>
      </c>
    </row>
    <row r="2" spans="1:11" x14ac:dyDescent="0.25">
      <c r="C2" s="6">
        <v>2022</v>
      </c>
      <c r="D2" s="6">
        <v>2023</v>
      </c>
      <c r="E2" s="6">
        <v>2024</v>
      </c>
      <c r="F2" s="6"/>
      <c r="G2" s="6">
        <v>2025</v>
      </c>
      <c r="H2" s="6">
        <f>G2+1</f>
        <v>2026</v>
      </c>
      <c r="I2" s="6">
        <f t="shared" ref="I2:J2" si="1">H2+1</f>
        <v>2027</v>
      </c>
      <c r="J2" s="6">
        <f t="shared" si="1"/>
        <v>2028</v>
      </c>
      <c r="K2" s="6">
        <f>J2+1</f>
        <v>2029</v>
      </c>
    </row>
    <row r="3" spans="1:11" x14ac:dyDescent="0.25">
      <c r="B3" t="s">
        <v>11</v>
      </c>
      <c r="C3" s="2">
        <v>38018</v>
      </c>
      <c r="D3" s="2">
        <v>43142</v>
      </c>
      <c r="E3" s="2">
        <v>39253</v>
      </c>
      <c r="G3" s="2">
        <f>E3*(1+G22)</f>
        <v>40234.324999999997</v>
      </c>
      <c r="H3" s="2">
        <f>G3*(1+H22)</f>
        <v>41240.183124999996</v>
      </c>
      <c r="I3" s="2">
        <f t="shared" ref="I3:K3" si="2">H3*(1+I22)</f>
        <v>42271.18770312499</v>
      </c>
      <c r="J3" s="2">
        <f t="shared" si="2"/>
        <v>43327.967395703112</v>
      </c>
      <c r="K3" s="2">
        <f t="shared" si="2"/>
        <v>44411.166580595687</v>
      </c>
    </row>
    <row r="4" spans="1:11" x14ac:dyDescent="0.25">
      <c r="B4" t="s">
        <v>12</v>
      </c>
      <c r="C4" s="2">
        <v>13539</v>
      </c>
      <c r="D4" s="2">
        <v>13856</v>
      </c>
      <c r="E4" s="2">
        <v>14550</v>
      </c>
      <c r="G4" s="2">
        <f>E4*(1+G23)</f>
        <v>23963.85</v>
      </c>
      <c r="H4" s="2">
        <f>G4*(1+H22)</f>
        <v>24562.946249999997</v>
      </c>
      <c r="I4" s="2">
        <f t="shared" ref="I4:K4" si="3">H4*(1+I22)</f>
        <v>25177.019906249996</v>
      </c>
      <c r="J4" s="2">
        <f t="shared" si="3"/>
        <v>25806.445403906244</v>
      </c>
      <c r="K4" s="2">
        <f t="shared" si="3"/>
        <v>26451.606539003897</v>
      </c>
    </row>
    <row r="5" spans="1:11" x14ac:dyDescent="0.25">
      <c r="B5" s="5" t="s">
        <v>13</v>
      </c>
      <c r="C5" s="8">
        <f>C3+C4</f>
        <v>51557</v>
      </c>
      <c r="D5" s="8">
        <f t="shared" ref="D5:E5" si="4">D3+D4</f>
        <v>56998</v>
      </c>
      <c r="E5" s="8">
        <f t="shared" si="4"/>
        <v>53803</v>
      </c>
      <c r="G5" s="8">
        <f>G3+G4</f>
        <v>64198.174999999996</v>
      </c>
      <c r="H5" s="8">
        <f t="shared" ref="H5:K5" si="5">H3+H4</f>
        <v>65803.12937499999</v>
      </c>
      <c r="I5" s="8">
        <f t="shared" si="5"/>
        <v>67448.207609374978</v>
      </c>
      <c r="J5" s="8">
        <f t="shared" si="5"/>
        <v>69134.412799609359</v>
      </c>
      <c r="K5" s="8">
        <f t="shared" si="5"/>
        <v>70862.773119599588</v>
      </c>
    </row>
    <row r="6" spans="1:11" x14ac:dyDescent="0.25">
      <c r="B6" t="s">
        <v>11</v>
      </c>
      <c r="C6" s="2">
        <v>14814</v>
      </c>
      <c r="D6" s="2">
        <v>16590</v>
      </c>
      <c r="E6" s="2">
        <v>14339</v>
      </c>
      <c r="G6" s="2"/>
      <c r="H6" s="2"/>
      <c r="I6" s="2"/>
      <c r="J6" s="2"/>
      <c r="K6" s="2"/>
    </row>
    <row r="7" spans="1:11" x14ac:dyDescent="0.25">
      <c r="B7" t="s">
        <v>12</v>
      </c>
      <c r="C7" s="2">
        <v>4495</v>
      </c>
      <c r="D7" s="2">
        <v>4655</v>
      </c>
      <c r="E7" s="2">
        <v>4636</v>
      </c>
      <c r="G7" s="2"/>
      <c r="H7" s="2"/>
      <c r="I7" s="2"/>
      <c r="J7" s="2"/>
      <c r="K7" s="2"/>
    </row>
    <row r="8" spans="1:11" x14ac:dyDescent="0.25">
      <c r="B8" s="5" t="s">
        <v>14</v>
      </c>
      <c r="C8" s="8">
        <f>C6+C7</f>
        <v>19309</v>
      </c>
      <c r="D8" s="8">
        <f t="shared" ref="D8:E8" si="6">D6+D7</f>
        <v>21245</v>
      </c>
      <c r="E8" s="8">
        <f t="shared" si="6"/>
        <v>18975</v>
      </c>
      <c r="G8" s="2"/>
      <c r="H8" s="2"/>
      <c r="I8" s="2"/>
      <c r="J8" s="2"/>
      <c r="K8" s="2"/>
    </row>
    <row r="9" spans="1:11" x14ac:dyDescent="0.25">
      <c r="B9" t="s">
        <v>15</v>
      </c>
      <c r="C9" s="2">
        <f>C5-C8</f>
        <v>32248</v>
      </c>
      <c r="D9" s="2">
        <f t="shared" ref="D9:E9" si="7">D5-D8</f>
        <v>35753</v>
      </c>
      <c r="E9" s="2">
        <f t="shared" si="7"/>
        <v>34828</v>
      </c>
      <c r="G9" s="2">
        <f>G5*G23</f>
        <v>41536.219225000001</v>
      </c>
      <c r="H9" s="2"/>
      <c r="I9" s="2"/>
      <c r="J9" s="2"/>
      <c r="K9" s="2"/>
    </row>
    <row r="10" spans="1:11" x14ac:dyDescent="0.25">
      <c r="B10" t="s">
        <v>16</v>
      </c>
      <c r="C10" s="2">
        <v>6774</v>
      </c>
      <c r="D10" s="2">
        <v>7551</v>
      </c>
      <c r="E10" s="2">
        <v>7983</v>
      </c>
      <c r="G10" s="2">
        <f>G5*G27</f>
        <v>9501.3298999999988</v>
      </c>
      <c r="H10" s="2"/>
      <c r="I10" s="2"/>
      <c r="J10" s="2"/>
      <c r="K10" s="2"/>
    </row>
    <row r="11" spans="1:11" x14ac:dyDescent="0.25">
      <c r="B11" t="s">
        <v>17</v>
      </c>
      <c r="C11" s="2">
        <v>9085</v>
      </c>
      <c r="D11" s="2">
        <v>9880</v>
      </c>
      <c r="E11" s="2">
        <v>10364</v>
      </c>
      <c r="G11" s="2">
        <f>G5*G28</f>
        <v>12390.247775</v>
      </c>
      <c r="H11" s="2"/>
      <c r="I11" s="2"/>
      <c r="J11" s="2"/>
      <c r="K11" s="2"/>
    </row>
    <row r="12" spans="1:11" x14ac:dyDescent="0.25">
      <c r="B12" t="s">
        <v>18</v>
      </c>
      <c r="C12" s="2">
        <v>2101</v>
      </c>
      <c r="D12" s="2">
        <v>2478</v>
      </c>
      <c r="E12" s="2">
        <v>2813</v>
      </c>
      <c r="G12" s="2"/>
      <c r="H12" s="2"/>
      <c r="I12" s="2"/>
      <c r="J12" s="2"/>
      <c r="K12" s="2"/>
    </row>
    <row r="13" spans="1:11" x14ac:dyDescent="0.25">
      <c r="B13" t="s">
        <v>19</v>
      </c>
      <c r="C13" s="2">
        <v>6</v>
      </c>
      <c r="D13" s="2">
        <v>531</v>
      </c>
      <c r="E13" s="2">
        <v>789</v>
      </c>
      <c r="G13" s="2"/>
      <c r="H13" s="2"/>
      <c r="I13" s="2"/>
      <c r="J13" s="2"/>
      <c r="K13" s="2"/>
    </row>
    <row r="14" spans="1:11" x14ac:dyDescent="0.25">
      <c r="B14" s="5" t="s">
        <v>20</v>
      </c>
      <c r="C14" s="8">
        <f>C9-SUM(C10:C13)</f>
        <v>14282</v>
      </c>
      <c r="D14" s="8">
        <f t="shared" ref="D14:E14" si="8">D9-SUM(D10:D13)</f>
        <v>15313</v>
      </c>
      <c r="E14" s="8">
        <f t="shared" si="8"/>
        <v>12879</v>
      </c>
      <c r="G14" s="2">
        <f>G5*G26</f>
        <v>15343.363824999999</v>
      </c>
      <c r="H14" s="2">
        <f t="shared" ref="H14:K14" si="9">H5*H26</f>
        <v>15726.947920624996</v>
      </c>
      <c r="I14" s="2">
        <f t="shared" si="9"/>
        <v>16120.12161864062</v>
      </c>
      <c r="J14" s="2">
        <f t="shared" si="9"/>
        <v>16523.124659106637</v>
      </c>
      <c r="K14" s="2">
        <f t="shared" si="9"/>
        <v>16936.202775584301</v>
      </c>
    </row>
    <row r="15" spans="1:11" x14ac:dyDescent="0.25">
      <c r="B15" t="s">
        <v>21</v>
      </c>
      <c r="C15" s="2">
        <v>476</v>
      </c>
      <c r="D15" s="2">
        <v>962</v>
      </c>
      <c r="E15" s="2">
        <v>1365</v>
      </c>
      <c r="G15" s="2"/>
      <c r="H15" s="2"/>
      <c r="I15" s="2"/>
      <c r="J15" s="2"/>
      <c r="K15" s="2"/>
    </row>
    <row r="16" spans="1:11" x14ac:dyDescent="0.25">
      <c r="B16" t="s">
        <v>22</v>
      </c>
      <c r="C16" s="2">
        <v>-360</v>
      </c>
      <c r="D16" s="2">
        <v>-427</v>
      </c>
      <c r="E16" s="2">
        <v>-1006</v>
      </c>
      <c r="G16" s="2"/>
      <c r="H16" s="2"/>
      <c r="I16" s="2"/>
      <c r="J16" s="2"/>
      <c r="K16" s="2"/>
    </row>
    <row r="17" spans="1:11" x14ac:dyDescent="0.25">
      <c r="B17" t="s">
        <v>23</v>
      </c>
      <c r="C17" s="2">
        <v>392</v>
      </c>
      <c r="D17" s="2">
        <v>-248</v>
      </c>
      <c r="E17" s="2">
        <v>-306</v>
      </c>
      <c r="G17" s="2"/>
      <c r="H17" s="2"/>
      <c r="I17" s="2"/>
      <c r="J17" s="2"/>
      <c r="K17" s="2"/>
    </row>
    <row r="18" spans="1:11" x14ac:dyDescent="0.25">
      <c r="B18" s="5" t="s">
        <v>24</v>
      </c>
      <c r="C18" s="8">
        <f>C14+SUM(C15:C17)</f>
        <v>14790</v>
      </c>
      <c r="D18" s="8">
        <f t="shared" ref="D18:E18" si="10">D14+SUM(D15:D17)</f>
        <v>15600</v>
      </c>
      <c r="E18" s="8">
        <f t="shared" si="10"/>
        <v>12932</v>
      </c>
      <c r="G18" s="2"/>
      <c r="H18" s="2"/>
      <c r="I18" s="2"/>
      <c r="J18" s="2"/>
      <c r="K18" s="2"/>
    </row>
    <row r="19" spans="1:11" x14ac:dyDescent="0.25">
      <c r="B19" t="s">
        <v>25</v>
      </c>
      <c r="C19" s="2">
        <v>2665</v>
      </c>
      <c r="D19" s="2">
        <v>2705</v>
      </c>
      <c r="E19" s="2">
        <v>1914</v>
      </c>
      <c r="G19" s="2"/>
      <c r="H19" s="2"/>
      <c r="I19" s="2"/>
      <c r="J19" s="2"/>
      <c r="K19" s="2"/>
    </row>
    <row r="20" spans="1:11" x14ac:dyDescent="0.25">
      <c r="B20" s="5" t="s">
        <v>26</v>
      </c>
      <c r="C20" s="8">
        <f>C18-C19</f>
        <v>12125</v>
      </c>
      <c r="D20" s="8">
        <f t="shared" ref="D20:E20" si="11">D18-D19</f>
        <v>12895</v>
      </c>
      <c r="E20" s="8">
        <f t="shared" si="11"/>
        <v>11018</v>
      </c>
      <c r="G20" s="2"/>
      <c r="H20" s="2"/>
      <c r="I20" s="2"/>
      <c r="J20" s="2"/>
      <c r="K20" s="2"/>
    </row>
    <row r="21" spans="1:11" x14ac:dyDescent="0.25">
      <c r="F21" t="s">
        <v>34</v>
      </c>
    </row>
    <row r="22" spans="1:11" x14ac:dyDescent="0.25">
      <c r="B22" t="s">
        <v>27</v>
      </c>
      <c r="C22" s="10"/>
      <c r="D22" s="10">
        <f>(D5/C5)-1</f>
        <v>0.10553368116841555</v>
      </c>
      <c r="E22" s="10">
        <f>(E5/D5)-1</f>
        <v>-5.6054598406961698E-2</v>
      </c>
      <c r="F22" s="12">
        <f>AVERAGE(C22:E22)</f>
        <v>2.4739541380726926E-2</v>
      </c>
      <c r="G22" s="10">
        <v>2.5000000000000001E-2</v>
      </c>
      <c r="H22" s="10">
        <v>2.5000000000000001E-2</v>
      </c>
      <c r="I22" s="10">
        <v>2.5000000000000001E-2</v>
      </c>
      <c r="J22" s="10">
        <v>2.5000000000000001E-2</v>
      </c>
      <c r="K22" s="10">
        <v>2.5000000000000001E-2</v>
      </c>
    </row>
    <row r="23" spans="1:11" x14ac:dyDescent="0.25">
      <c r="B23" t="s">
        <v>28</v>
      </c>
      <c r="C23" s="10">
        <f>C9/C5</f>
        <v>0.62548247570649962</v>
      </c>
      <c r="D23" s="10">
        <f t="shared" ref="D23:E23" si="12">D9/D5</f>
        <v>0.62726762342538334</v>
      </c>
      <c r="E23" s="10">
        <f t="shared" si="12"/>
        <v>0.64732449863390518</v>
      </c>
      <c r="F23" s="12">
        <f t="shared" ref="F23:F30" si="13">AVERAGE(C23:E23)</f>
        <v>0.63335819925526271</v>
      </c>
      <c r="G23" s="10">
        <v>0.64700000000000002</v>
      </c>
      <c r="H23" s="10">
        <v>0.64700000000000002</v>
      </c>
      <c r="I23" s="10">
        <v>0.64700000000000002</v>
      </c>
      <c r="J23" s="10">
        <v>0.64700000000000002</v>
      </c>
      <c r="K23" s="10">
        <v>0.64700000000000002</v>
      </c>
    </row>
    <row r="24" spans="1:11" x14ac:dyDescent="0.25">
      <c r="B24" t="s">
        <v>40</v>
      </c>
      <c r="C24" s="10">
        <f>(C3-C6)/C3</f>
        <v>0.61034246935662051</v>
      </c>
      <c r="D24" s="10">
        <f t="shared" ref="D24:E24" si="14">(D3-D6)/D3</f>
        <v>0.6154559362106532</v>
      </c>
      <c r="E24" s="10">
        <f t="shared" si="14"/>
        <v>0.6347030800193616</v>
      </c>
      <c r="F24" s="12">
        <f t="shared" si="13"/>
        <v>0.62016716186221177</v>
      </c>
      <c r="G24" s="10">
        <v>0.62</v>
      </c>
      <c r="H24" s="10">
        <v>0.62</v>
      </c>
      <c r="I24" s="10">
        <v>0.62</v>
      </c>
      <c r="J24" s="10">
        <v>0.62</v>
      </c>
      <c r="K24" s="10">
        <v>0.62</v>
      </c>
    </row>
    <row r="25" spans="1:11" x14ac:dyDescent="0.25">
      <c r="B25" t="s">
        <v>41</v>
      </c>
      <c r="C25" s="10">
        <f>(C4-C7)/C4</f>
        <v>0.6679961592436664</v>
      </c>
      <c r="D25" s="10">
        <f t="shared" ref="D25:E25" si="15">(D4-D7)/D4</f>
        <v>0.66404445727482675</v>
      </c>
      <c r="E25" s="10">
        <f t="shared" si="15"/>
        <v>0.68137457044673544</v>
      </c>
      <c r="F25" s="12">
        <f t="shared" si="13"/>
        <v>0.67113839565507627</v>
      </c>
      <c r="G25" s="10">
        <v>0.67100000000000004</v>
      </c>
      <c r="H25" s="10">
        <v>0.67100000000000004</v>
      </c>
      <c r="I25" s="10">
        <v>0.67100000000000004</v>
      </c>
      <c r="J25" s="10">
        <v>0.67100000000000004</v>
      </c>
      <c r="K25" s="10">
        <v>0.67100000000000004</v>
      </c>
    </row>
    <row r="26" spans="1:11" x14ac:dyDescent="0.25">
      <c r="B26" t="s">
        <v>29</v>
      </c>
      <c r="C26" s="10">
        <f>C14/C5</f>
        <v>0.27701379056190234</v>
      </c>
      <c r="D26" s="10">
        <f t="shared" ref="D26:E26" si="16">D14/D5</f>
        <v>0.26865854942278677</v>
      </c>
      <c r="E26" s="10">
        <f t="shared" si="16"/>
        <v>0.2393732691485605</v>
      </c>
      <c r="F26" s="12">
        <f t="shared" si="13"/>
        <v>0.2616818697110832</v>
      </c>
      <c r="G26" s="10">
        <v>0.23899999999999999</v>
      </c>
      <c r="H26" s="10">
        <v>0.23899999999999999</v>
      </c>
      <c r="I26" s="10">
        <v>0.23899999999999999</v>
      </c>
      <c r="J26" s="10">
        <v>0.23899999999999999</v>
      </c>
      <c r="K26" s="10">
        <v>0.23899999999999999</v>
      </c>
    </row>
    <row r="27" spans="1:11" x14ac:dyDescent="0.25">
      <c r="B27" t="s">
        <v>30</v>
      </c>
      <c r="C27" s="10">
        <f>C10/C5</f>
        <v>0.13138856023430379</v>
      </c>
      <c r="D27" s="10">
        <f t="shared" ref="D27:E27" si="17">D10/D5</f>
        <v>0.13247833257307273</v>
      </c>
      <c r="E27" s="10">
        <f t="shared" si="17"/>
        <v>0.14837462595022582</v>
      </c>
      <c r="F27" s="12">
        <f t="shared" si="13"/>
        <v>0.13741383958586745</v>
      </c>
      <c r="G27" s="10">
        <v>0.14799999999999999</v>
      </c>
      <c r="H27" s="10">
        <v>0.14799999999999999</v>
      </c>
      <c r="I27" s="10">
        <v>0.14799999999999999</v>
      </c>
      <c r="J27" s="10">
        <v>0.14799999999999999</v>
      </c>
      <c r="K27" s="10">
        <v>0.14799999999999999</v>
      </c>
    </row>
    <row r="28" spans="1:11" x14ac:dyDescent="0.25">
      <c r="B28" t="s">
        <v>31</v>
      </c>
      <c r="C28" s="10">
        <f>C11/C5</f>
        <v>0.17621273541905075</v>
      </c>
      <c r="D28" s="10">
        <f t="shared" ref="D28:E28" si="18">D11/D5</f>
        <v>0.17333941541808484</v>
      </c>
      <c r="E28" s="10">
        <f t="shared" si="18"/>
        <v>0.1926286638291545</v>
      </c>
      <c r="F28" s="12">
        <f t="shared" si="13"/>
        <v>0.18072693822209671</v>
      </c>
      <c r="G28" s="10">
        <v>0.193</v>
      </c>
      <c r="H28" s="10">
        <v>0.193</v>
      </c>
      <c r="I28" s="10">
        <v>0.193</v>
      </c>
      <c r="J28" s="10">
        <v>0.193</v>
      </c>
      <c r="K28" s="10">
        <v>0.193</v>
      </c>
    </row>
    <row r="29" spans="1:11" x14ac:dyDescent="0.25">
      <c r="B29" t="s">
        <v>32</v>
      </c>
      <c r="C29" s="10">
        <f>C17/C5</f>
        <v>7.6032352541846888E-3</v>
      </c>
      <c r="D29" s="10">
        <f t="shared" ref="D29:E29" si="19">D17/D5</f>
        <v>-4.3510298606968664E-3</v>
      </c>
      <c r="E29" s="10">
        <f t="shared" si="19"/>
        <v>-5.687415199895917E-3</v>
      </c>
      <c r="F29" s="12">
        <f t="shared" si="13"/>
        <v>-8.1173660213603154E-4</v>
      </c>
      <c r="G29" s="10">
        <v>-1E-3</v>
      </c>
      <c r="H29" s="10">
        <v>-1E-3</v>
      </c>
      <c r="I29" s="10">
        <v>-1E-3</v>
      </c>
      <c r="J29" s="10">
        <v>-1E-3</v>
      </c>
      <c r="K29" s="10">
        <v>-1E-3</v>
      </c>
    </row>
    <row r="30" spans="1:11" x14ac:dyDescent="0.25">
      <c r="B30" t="s">
        <v>33</v>
      </c>
      <c r="C30" s="10">
        <f>C19/C18</f>
        <v>0.1801893171061528</v>
      </c>
      <c r="D30" s="10">
        <f t="shared" ref="D30:E30" si="20">D19/D18</f>
        <v>0.17339743589743589</v>
      </c>
      <c r="E30" s="10">
        <f t="shared" si="20"/>
        <v>0.1480049489638107</v>
      </c>
      <c r="F30" s="12">
        <f t="shared" si="13"/>
        <v>0.16719723398913311</v>
      </c>
      <c r="G30" s="10">
        <v>0.16700000000000001</v>
      </c>
      <c r="H30" s="10">
        <v>0.16700000000000001</v>
      </c>
      <c r="I30" s="10">
        <v>0.16700000000000001</v>
      </c>
      <c r="J30" s="10">
        <v>0.16700000000000001</v>
      </c>
      <c r="K30" s="10">
        <v>0.16700000000000001</v>
      </c>
    </row>
    <row r="32" spans="1:11" s="2" customFormat="1" x14ac:dyDescent="0.25">
      <c r="A32"/>
      <c r="B32" t="s">
        <v>35</v>
      </c>
      <c r="C32" s="2">
        <v>1957</v>
      </c>
      <c r="D32" s="2">
        <v>1726</v>
      </c>
      <c r="E32" s="2">
        <v>2507</v>
      </c>
      <c r="G32" s="2">
        <f>G5*G33</f>
        <v>3017.3142249999996</v>
      </c>
      <c r="H32" s="2">
        <f t="shared" ref="H32:K32" si="21">H5*H33</f>
        <v>3092.7470806249994</v>
      </c>
      <c r="I32" s="2">
        <f t="shared" si="21"/>
        <v>3170.0657576406238</v>
      </c>
      <c r="J32" s="2">
        <f t="shared" si="21"/>
        <v>3249.3174015816398</v>
      </c>
      <c r="K32" s="2">
        <f t="shared" si="21"/>
        <v>3330.5503366211806</v>
      </c>
    </row>
    <row r="33" spans="1:11" s="10" customFormat="1" x14ac:dyDescent="0.25">
      <c r="A33"/>
      <c r="B33" t="s">
        <v>36</v>
      </c>
      <c r="C33" s="10">
        <f t="shared" ref="C33:D33" si="22">C32/C5</f>
        <v>3.7957988246018967E-2</v>
      </c>
      <c r="D33" s="10">
        <f t="shared" si="22"/>
        <v>3.0281764272430612E-2</v>
      </c>
      <c r="E33" s="10">
        <f>E32/E5</f>
        <v>4.6595914725944647E-2</v>
      </c>
      <c r="G33" s="10">
        <v>4.7E-2</v>
      </c>
      <c r="H33" s="10">
        <v>4.7E-2</v>
      </c>
      <c r="I33" s="10">
        <v>4.7E-2</v>
      </c>
      <c r="J33" s="10">
        <v>4.7E-2</v>
      </c>
      <c r="K33" s="10">
        <v>4.7E-2</v>
      </c>
    </row>
    <row r="34" spans="1:11" s="2" customFormat="1" x14ac:dyDescent="0.25">
      <c r="A34"/>
      <c r="B34" t="s">
        <v>37</v>
      </c>
      <c r="D34" s="2">
        <f>43348-10123-31309+1733</f>
        <v>3649</v>
      </c>
      <c r="E34" s="2">
        <f>36862-7508-40584+11341</f>
        <v>111</v>
      </c>
      <c r="G34" s="2">
        <f>G5*G35</f>
        <v>128.39634999999998</v>
      </c>
      <c r="H34" s="2">
        <f t="shared" ref="H34:K34" si="23">H5*H35</f>
        <v>789.63755249999986</v>
      </c>
      <c r="I34" s="2">
        <f t="shared" si="23"/>
        <v>1483.8605674062494</v>
      </c>
      <c r="J34" s="2">
        <f t="shared" si="23"/>
        <v>2212.3012095874997</v>
      </c>
      <c r="K34" s="2">
        <f t="shared" si="23"/>
        <v>2976.2364710231827</v>
      </c>
    </row>
    <row r="35" spans="1:11" s="10" customFormat="1" x14ac:dyDescent="0.25">
      <c r="A35"/>
      <c r="B35" t="s">
        <v>36</v>
      </c>
      <c r="D35" s="10">
        <f>D34/D5</f>
        <v>6.4019790168076074E-2</v>
      </c>
      <c r="E35" s="10">
        <f>E34/E5</f>
        <v>2.0630819842759698E-3</v>
      </c>
      <c r="G35" s="10">
        <v>2E-3</v>
      </c>
      <c r="H35" s="10">
        <f>G35+0.01</f>
        <v>1.2E-2</v>
      </c>
      <c r="I35" s="10">
        <f t="shared" ref="I35:K35" si="24">H35+0.01</f>
        <v>2.1999999999999999E-2</v>
      </c>
      <c r="J35" s="10">
        <f t="shared" si="24"/>
        <v>3.2000000000000001E-2</v>
      </c>
      <c r="K35" s="10">
        <f t="shared" si="24"/>
        <v>4.2000000000000003E-2</v>
      </c>
    </row>
    <row r="36" spans="1:11" x14ac:dyDescent="0.25">
      <c r="B36" t="s">
        <v>38</v>
      </c>
      <c r="E36" s="11">
        <f>D34-E34</f>
        <v>3538</v>
      </c>
      <c r="G36" s="11">
        <f>E34-G34</f>
        <v>-17.396349999999984</v>
      </c>
      <c r="H36" s="11">
        <f t="shared" ref="H36:K36" si="25">G34-H34</f>
        <v>-661.24120249999987</v>
      </c>
      <c r="I36" s="11">
        <f t="shared" si="25"/>
        <v>-694.22301490624955</v>
      </c>
      <c r="J36" s="11">
        <f t="shared" si="25"/>
        <v>-728.44064218125027</v>
      </c>
      <c r="K36" s="11">
        <f t="shared" si="25"/>
        <v>-763.93526143568306</v>
      </c>
    </row>
    <row r="37" spans="1:11" s="2" customFormat="1" x14ac:dyDescent="0.25">
      <c r="A37"/>
      <c r="B37" t="s">
        <v>39</v>
      </c>
      <c r="C37" s="2">
        <v>477</v>
      </c>
      <c r="D37" s="2">
        <v>849</v>
      </c>
      <c r="E37" s="2">
        <v>670</v>
      </c>
      <c r="G37" s="2">
        <f>G5*G38</f>
        <v>770.37810000000002</v>
      </c>
      <c r="H37" s="2">
        <f t="shared" ref="H37:K37" si="26">H5*H38</f>
        <v>789.63755249999986</v>
      </c>
      <c r="I37" s="2">
        <f t="shared" si="26"/>
        <v>809.3784913124997</v>
      </c>
      <c r="J37" s="2">
        <f t="shared" si="26"/>
        <v>829.61295359531232</v>
      </c>
      <c r="K37" s="2">
        <f t="shared" si="26"/>
        <v>850.35327743519508</v>
      </c>
    </row>
    <row r="38" spans="1:11" s="10" customFormat="1" x14ac:dyDescent="0.25">
      <c r="A38"/>
      <c r="B38" t="s">
        <v>36</v>
      </c>
      <c r="C38" s="10">
        <f t="shared" ref="C38:D38" si="27">C37/C5</f>
        <v>9.2518959598114712E-3</v>
      </c>
      <c r="D38" s="10">
        <f t="shared" si="27"/>
        <v>1.4895259482788871E-2</v>
      </c>
      <c r="E38" s="10">
        <f>E37/E5</f>
        <v>1.2452837202386484E-2</v>
      </c>
      <c r="G38" s="10">
        <v>1.2E-2</v>
      </c>
      <c r="H38" s="10">
        <v>1.2E-2</v>
      </c>
      <c r="I38" s="10">
        <v>1.2E-2</v>
      </c>
      <c r="J38" s="10">
        <v>1.2E-2</v>
      </c>
      <c r="K38" s="10">
        <v>1.2E-2</v>
      </c>
    </row>
    <row r="40" spans="1:11" x14ac:dyDescent="0.25">
      <c r="B40" t="s">
        <v>20</v>
      </c>
      <c r="C40" s="2">
        <f>C14</f>
        <v>14282</v>
      </c>
      <c r="D40" s="2">
        <f t="shared" ref="D40:K40" si="28">D14</f>
        <v>15313</v>
      </c>
      <c r="E40" s="2">
        <f t="shared" si="28"/>
        <v>12879</v>
      </c>
      <c r="F40" s="2"/>
      <c r="G40" s="2">
        <f t="shared" si="28"/>
        <v>15343.363824999999</v>
      </c>
      <c r="H40" s="2">
        <f t="shared" si="28"/>
        <v>15726.947920624996</v>
      </c>
      <c r="I40" s="2">
        <f t="shared" si="28"/>
        <v>16120.12161864062</v>
      </c>
      <c r="J40" s="2">
        <f t="shared" si="28"/>
        <v>16523.124659106637</v>
      </c>
      <c r="K40" s="2">
        <f t="shared" si="28"/>
        <v>16936.202775584301</v>
      </c>
    </row>
    <row r="41" spans="1:11" x14ac:dyDescent="0.25">
      <c r="B41" t="s">
        <v>42</v>
      </c>
      <c r="C41" s="2">
        <f>C40*C30</f>
        <v>2573.4638269100742</v>
      </c>
      <c r="D41" s="2">
        <f t="shared" ref="D41:K41" si="29">D40*D30</f>
        <v>2655.2349358974357</v>
      </c>
      <c r="E41" s="2">
        <f t="shared" si="29"/>
        <v>1906.155737704918</v>
      </c>
      <c r="F41" s="2"/>
      <c r="G41" s="2">
        <f t="shared" si="29"/>
        <v>2562.341758775</v>
      </c>
      <c r="H41" s="2">
        <f t="shared" si="29"/>
        <v>2626.4003027443746</v>
      </c>
      <c r="I41" s="2">
        <f t="shared" si="29"/>
        <v>2692.0603103129838</v>
      </c>
      <c r="J41" s="2">
        <f t="shared" si="29"/>
        <v>2759.3618180708086</v>
      </c>
      <c r="K41" s="2">
        <f t="shared" si="29"/>
        <v>2828.3458635225784</v>
      </c>
    </row>
    <row r="42" spans="1:11" x14ac:dyDescent="0.25">
      <c r="B42" t="s">
        <v>43</v>
      </c>
      <c r="C42" s="2">
        <f>C40-C41</f>
        <v>11708.536173089926</v>
      </c>
      <c r="D42" s="2">
        <f t="shared" ref="D42:K42" si="30">D40-D41</f>
        <v>12657.765064102565</v>
      </c>
      <c r="E42" s="2">
        <f t="shared" si="30"/>
        <v>10972.844262295082</v>
      </c>
      <c r="F42" s="2"/>
      <c r="G42" s="2">
        <f t="shared" si="30"/>
        <v>12781.022066224999</v>
      </c>
      <c r="H42" s="2">
        <f t="shared" si="30"/>
        <v>13100.547617880622</v>
      </c>
      <c r="I42" s="2">
        <f t="shared" si="30"/>
        <v>13428.061308327637</v>
      </c>
      <c r="J42" s="2">
        <f t="shared" si="30"/>
        <v>13763.762841035828</v>
      </c>
      <c r="K42" s="2">
        <f t="shared" si="30"/>
        <v>14107.856912061723</v>
      </c>
    </row>
    <row r="43" spans="1:11" x14ac:dyDescent="0.25">
      <c r="B43" s="5" t="s">
        <v>44</v>
      </c>
      <c r="G43" s="13">
        <f>G42+G32+G36-G37</f>
        <v>15010.561841224999</v>
      </c>
      <c r="H43" s="13">
        <f t="shared" ref="H43:K43" si="31">H42+H32+H36-H37</f>
        <v>14742.415943505623</v>
      </c>
      <c r="I43" s="13">
        <f t="shared" si="31"/>
        <v>15094.525559749511</v>
      </c>
      <c r="J43" s="13">
        <f t="shared" si="31"/>
        <v>15455.026646840903</v>
      </c>
      <c r="K43" s="13">
        <f t="shared" si="31"/>
        <v>15824.118709812024</v>
      </c>
    </row>
    <row r="45" spans="1:11" x14ac:dyDescent="0.25">
      <c r="B45" t="s">
        <v>45</v>
      </c>
      <c r="C45" s="3">
        <f ca="1">TODAY()</f>
        <v>45657</v>
      </c>
    </row>
    <row r="46" spans="1:11" x14ac:dyDescent="0.25">
      <c r="B46" t="s">
        <v>46</v>
      </c>
      <c r="C46" s="9">
        <f ca="1">(G1-v)/365</f>
        <v>0.56986301369863013</v>
      </c>
    </row>
    <row r="47" spans="1:11" x14ac:dyDescent="0.25">
      <c r="B47" t="s">
        <v>47</v>
      </c>
      <c r="C47" s="9">
        <v>0.08</v>
      </c>
    </row>
    <row r="48" spans="1:11" x14ac:dyDescent="0.25">
      <c r="B48" t="s">
        <v>48</v>
      </c>
      <c r="C48" s="9">
        <v>0.01</v>
      </c>
    </row>
    <row r="50" spans="2:11" x14ac:dyDescent="0.25">
      <c r="B50" s="5" t="s">
        <v>49</v>
      </c>
      <c r="G50" s="8">
        <f ca="1">C46*G43/(1+d)^((G1-v)/365)</f>
        <v>8186.9183019885049</v>
      </c>
      <c r="H50" s="8" cm="1">
        <f t="array" aca="1" ref="H50" ca="1">H43/(1+d)^((H1-v)/365)</f>
        <v>13053.640711522683</v>
      </c>
      <c r="I50" s="8" cm="1">
        <f t="array" aca="1" ref="I50" ca="1">I43/(1+d)^((I1-v)/365)</f>
        <v>12375.38464742474</v>
      </c>
      <c r="J50" s="8" cm="1">
        <f t="array" aca="1" ref="J50" ca="1">J43/(1+d)^((J1-v)/365)</f>
        <v>11729.882723914496</v>
      </c>
      <c r="K50" s="8" cm="1">
        <f t="array" aca="1" ref="K50" ca="1">K43/(1+d)^((K1-v)/365)</f>
        <v>11120.381552566898</v>
      </c>
    </row>
    <row r="52" spans="2:11" x14ac:dyDescent="0.25">
      <c r="B52" t="s">
        <v>50</v>
      </c>
      <c r="C52" s="2">
        <f>K43</f>
        <v>15824.118709812024</v>
      </c>
      <c r="H52" s="18" t="s">
        <v>58</v>
      </c>
      <c r="I52" s="18"/>
      <c r="J52" s="18"/>
    </row>
    <row r="53" spans="2:11" x14ac:dyDescent="0.25">
      <c r="B53" t="s">
        <v>51</v>
      </c>
      <c r="C53" s="2">
        <f>C52/(d-g)</f>
        <v>226058.83871160031</v>
      </c>
      <c r="F53" s="17">
        <f ca="1">C60</f>
        <v>59.834294652834764</v>
      </c>
      <c r="G53" s="14">
        <v>7.0000000000000007E-2</v>
      </c>
      <c r="H53" s="14">
        <v>7.4999999999999997E-2</v>
      </c>
      <c r="I53" s="14">
        <v>0.08</v>
      </c>
      <c r="J53" s="14">
        <v>8.5000000000000006E-2</v>
      </c>
      <c r="K53" s="14">
        <v>0.09</v>
      </c>
    </row>
    <row r="54" spans="2:11" x14ac:dyDescent="0.25">
      <c r="B54" t="s">
        <v>52</v>
      </c>
      <c r="C54" s="2">
        <f ca="1">C53/(1+d)^((K1-v)/365)</f>
        <v>158862.59360809851</v>
      </c>
      <c r="F54" s="15">
        <v>-0.01</v>
      </c>
      <c r="G54" s="1">
        <f t="dataTable" ref="G54:K58" dt2D="1" dtr="1" r1="C47" r2="C48" ca="1"/>
        <v>56.731321789459031</v>
      </c>
      <c r="H54" s="1">
        <v>53.69018837650971</v>
      </c>
      <c r="I54" s="1">
        <v>50.988104564569674</v>
      </c>
      <c r="J54" s="1">
        <v>48.571511790314659</v>
      </c>
      <c r="K54" s="1">
        <v>46.397563851544781</v>
      </c>
    </row>
    <row r="55" spans="2:11" x14ac:dyDescent="0.25">
      <c r="B55" t="s">
        <v>53</v>
      </c>
      <c r="C55" s="2">
        <f ca="1">SUM(G50:K50)</f>
        <v>56466.207937417319</v>
      </c>
      <c r="F55" s="15">
        <v>0</v>
      </c>
      <c r="G55" s="1">
        <v>61.924058242385776</v>
      </c>
      <c r="H55" s="1">
        <v>58.155212849421488</v>
      </c>
      <c r="I55" s="1">
        <v>54.858312728185652</v>
      </c>
      <c r="J55" s="1">
        <v>51.950057077669065</v>
      </c>
      <c r="K55" s="1">
        <v>49.365656784642582</v>
      </c>
    </row>
    <row r="56" spans="2:11" x14ac:dyDescent="0.25">
      <c r="B56" t="s">
        <v>54</v>
      </c>
      <c r="C56" s="2">
        <f ca="1">C54+C55</f>
        <v>215328.80154551583</v>
      </c>
      <c r="F56" s="15">
        <v>0.01</v>
      </c>
      <c r="G56" s="1">
        <v>68.847706846288105</v>
      </c>
      <c r="H56" s="1">
        <v>63.994091006306114</v>
      </c>
      <c r="I56" s="16">
        <v>59.834294652834764</v>
      </c>
      <c r="J56" s="1">
        <v>56.229547774984653</v>
      </c>
      <c r="K56" s="1">
        <v>53.075772951014834</v>
      </c>
    </row>
    <row r="57" spans="2:11" x14ac:dyDescent="0.25">
      <c r="B57" t="s">
        <v>6</v>
      </c>
      <c r="C57" s="2">
        <f>Cash</f>
        <v>7508</v>
      </c>
      <c r="F57" s="15">
        <v>1.4999999999999999E-2</v>
      </c>
      <c r="G57" s="1">
        <v>73.253665048771396</v>
      </c>
      <c r="H57" s="1">
        <v>67.643389854359015</v>
      </c>
      <c r="I57" s="1">
        <v>62.896437375695761</v>
      </c>
      <c r="J57" s="1">
        <v>58.82780998406912</v>
      </c>
      <c r="K57" s="1">
        <v>55.301842650838189</v>
      </c>
    </row>
    <row r="58" spans="2:11" x14ac:dyDescent="0.25">
      <c r="B58" t="s">
        <v>7</v>
      </c>
      <c r="C58" s="2">
        <f>Debt</f>
        <v>30962</v>
      </c>
      <c r="F58" s="15">
        <v>0.02</v>
      </c>
      <c r="G58" s="1">
        <v>78.540814891751367</v>
      </c>
      <c r="H58" s="1">
        <v>71.956197583876076</v>
      </c>
      <c r="I58" s="1">
        <v>66.468937219033592</v>
      </c>
      <c r="J58" s="1">
        <v>61.825804840705047</v>
      </c>
      <c r="K58" s="1">
        <v>57.845922307779162</v>
      </c>
    </row>
    <row r="59" spans="2:11" x14ac:dyDescent="0.25">
      <c r="B59" t="s">
        <v>55</v>
      </c>
      <c r="C59" s="2">
        <f ca="1">C56-C57+C58</f>
        <v>238782.80154551583</v>
      </c>
    </row>
    <row r="60" spans="2:11" x14ac:dyDescent="0.25">
      <c r="B60" s="5" t="s">
        <v>56</v>
      </c>
      <c r="C60" s="7">
        <f ca="1">C59/Shares</f>
        <v>59.834294652834764</v>
      </c>
    </row>
    <row r="61" spans="2:11" x14ac:dyDescent="0.25">
      <c r="B61" t="s">
        <v>57</v>
      </c>
      <c r="C61" s="9">
        <f ca="1">(C60/Price)-1</f>
        <v>4.1320825841189679E-2</v>
      </c>
    </row>
  </sheetData>
  <mergeCells count="1">
    <mergeCell ref="H52:J52"/>
  </mergeCells>
  <hyperlinks>
    <hyperlink ref="A1" location="Main!A1" display="Main" xr:uid="{96831E2A-8356-4EAE-890E-D2FCA20D5A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Main</vt:lpstr>
      <vt:lpstr>Model</vt:lpstr>
      <vt:lpstr>Cash</vt:lpstr>
      <vt:lpstr>d</vt:lpstr>
      <vt:lpstr>Debt</vt:lpstr>
      <vt:lpstr>g</vt:lpstr>
      <vt:lpstr>Price</vt:lpstr>
      <vt:lpstr>Shares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Jayden Hammen</dc:creator>
  <cp:lastModifiedBy>Jayden Hammen</cp:lastModifiedBy>
  <dcterms:created xsi:type="dcterms:W3CDTF">2024-11-17T22:42:21Z</dcterms:created>
  <dcterms:modified xsi:type="dcterms:W3CDTF">2024-12-31T21:30:26Z</dcterms:modified>
</cp:coreProperties>
</file>