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Tech\"/>
    </mc:Choice>
  </mc:AlternateContent>
  <xr:revisionPtr revIDLastSave="0" documentId="13_ncr:1_{49760898-C08B-4AC7-9FF8-9D285DF3058F}" xr6:coauthVersionLast="47" xr6:coauthVersionMax="47" xr10:uidLastSave="{00000000-0000-0000-0000-000000000000}"/>
  <bookViews>
    <workbookView xWindow="28680" yWindow="-120" windowWidth="29040" windowHeight="15720" xr2:uid="{58324345-CF85-431A-8153-D7DD0FF0F15D}"/>
  </bookViews>
  <sheets>
    <sheet name="Main" sheetId="2" r:id="rId1"/>
    <sheet name="Model" sheetId="1" r:id="rId2"/>
  </sheets>
  <definedNames>
    <definedName name="discount">Model!$P$41</definedName>
    <definedName name="tgr">Model!$P$42</definedName>
    <definedName name="valDate">Model!$P$39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H2" i="2"/>
  <c r="P53" i="1"/>
  <c r="P52" i="1"/>
  <c r="P39" i="1"/>
  <c r="P40" i="1" s="1"/>
  <c r="R34" i="1"/>
  <c r="Q34" i="1"/>
  <c r="P34" i="1"/>
  <c r="R30" i="1"/>
  <c r="T5" i="1"/>
  <c r="T28" i="1" s="1"/>
  <c r="R28" i="1"/>
  <c r="R29" i="1" s="1"/>
  <c r="Q28" i="1"/>
  <c r="Q29" i="1" s="1"/>
  <c r="Q32" i="1"/>
  <c r="P32" i="1"/>
  <c r="R32" i="1"/>
  <c r="R27" i="1"/>
  <c r="Q27" i="1"/>
  <c r="P27" i="1"/>
  <c r="U2" i="1"/>
  <c r="V2" i="1" s="1"/>
  <c r="W2" i="1" s="1"/>
  <c r="M9" i="1"/>
  <c r="M20" i="1" s="1"/>
  <c r="Q2" i="1"/>
  <c r="P2" i="1" s="1"/>
  <c r="O2" i="1" s="1"/>
  <c r="N2" i="1" s="1"/>
  <c r="M2" i="1" s="1"/>
  <c r="L2" i="1" s="1"/>
  <c r="K2" i="1" s="1"/>
  <c r="J2" i="1" s="1"/>
  <c r="I2" i="1" s="1"/>
  <c r="H2" i="1" s="1"/>
  <c r="G2" i="1" s="1"/>
  <c r="F2" i="1" s="1"/>
  <c r="E2" i="1" s="1"/>
  <c r="D2" i="1" s="1"/>
  <c r="C2" i="1" s="1"/>
  <c r="R24" i="1"/>
  <c r="Q24" i="1"/>
  <c r="P24" i="1"/>
  <c r="O24" i="1"/>
  <c r="S24" i="1" s="1"/>
  <c r="N24" i="1"/>
  <c r="M24" i="1"/>
  <c r="L24" i="1"/>
  <c r="K24" i="1"/>
  <c r="J24" i="1"/>
  <c r="I24" i="1"/>
  <c r="H24" i="1"/>
  <c r="G24" i="1"/>
  <c r="F24" i="1"/>
  <c r="E24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R20" i="1"/>
  <c r="Q20" i="1"/>
  <c r="P20" i="1"/>
  <c r="O20" i="1"/>
  <c r="S20" i="1" s="1"/>
  <c r="N20" i="1"/>
  <c r="L20" i="1"/>
  <c r="K20" i="1"/>
  <c r="J20" i="1"/>
  <c r="I20" i="1"/>
  <c r="H20" i="1"/>
  <c r="G20" i="1"/>
  <c r="F20" i="1"/>
  <c r="E20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24" i="1"/>
  <c r="D23" i="1"/>
  <c r="D22" i="1"/>
  <c r="D21" i="1"/>
  <c r="D20" i="1"/>
  <c r="C24" i="1"/>
  <c r="C23" i="1"/>
  <c r="C22" i="1"/>
  <c r="C21" i="1"/>
  <c r="C20" i="1"/>
  <c r="D19" i="1"/>
  <c r="G6" i="2"/>
  <c r="G4" i="2"/>
  <c r="G7" i="2" s="1"/>
  <c r="S19" i="1" l="1"/>
  <c r="S21" i="1"/>
  <c r="P35" i="1"/>
  <c r="P36" i="1" s="1"/>
  <c r="Q35" i="1"/>
  <c r="Q36" i="1" s="1"/>
  <c r="S22" i="1"/>
  <c r="R35" i="1"/>
  <c r="R36" i="1" s="1"/>
  <c r="S23" i="1"/>
  <c r="T30" i="1"/>
  <c r="T12" i="1"/>
  <c r="T9" i="1"/>
  <c r="T8" i="1" s="1"/>
  <c r="T26" i="1"/>
  <c r="U5" i="1"/>
  <c r="T31" i="1"/>
  <c r="T13" i="1"/>
  <c r="T14" i="1"/>
  <c r="T34" i="1" l="1"/>
  <c r="T15" i="1"/>
  <c r="U12" i="1"/>
  <c r="U14" i="1"/>
  <c r="U31" i="1"/>
  <c r="U26" i="1"/>
  <c r="U9" i="1"/>
  <c r="V5" i="1"/>
  <c r="U28" i="1"/>
  <c r="U13" i="1"/>
  <c r="T10" i="1"/>
  <c r="T11" i="1" s="1"/>
  <c r="W5" i="1" l="1"/>
  <c r="V31" i="1"/>
  <c r="V13" i="1"/>
  <c r="V34" i="1" s="1"/>
  <c r="V12" i="1"/>
  <c r="V9" i="1"/>
  <c r="V10" i="1" s="1"/>
  <c r="V11" i="1" s="1"/>
  <c r="V28" i="1"/>
  <c r="V30" i="1" s="1"/>
  <c r="V14" i="1"/>
  <c r="V15" i="1" s="1"/>
  <c r="V16" i="1" s="1"/>
  <c r="V17" i="1" s="1"/>
  <c r="V26" i="1"/>
  <c r="U10" i="1"/>
  <c r="U11" i="1" s="1"/>
  <c r="U8" i="1"/>
  <c r="U34" i="1"/>
  <c r="U15" i="1"/>
  <c r="U16" i="1" s="1"/>
  <c r="U17" i="1" s="1"/>
  <c r="T16" i="1"/>
  <c r="T17" i="1" s="1"/>
  <c r="U30" i="1"/>
  <c r="T35" i="1"/>
  <c r="T36" i="1" s="1"/>
  <c r="T37" i="1" s="1"/>
  <c r="T45" i="1" s="1"/>
  <c r="U35" i="1" l="1"/>
  <c r="U36" i="1" s="1"/>
  <c r="U37" i="1" s="1"/>
  <c r="U45" i="1" s="1"/>
  <c r="V35" i="1"/>
  <c r="V36" i="1" s="1"/>
  <c r="V37" i="1" s="1"/>
  <c r="V45" i="1" s="1"/>
  <c r="V8" i="1"/>
  <c r="W31" i="1"/>
  <c r="W13" i="1"/>
  <c r="W28" i="1"/>
  <c r="W30" i="1" s="1"/>
  <c r="W12" i="1"/>
  <c r="W14" i="1"/>
  <c r="W26" i="1"/>
  <c r="W9" i="1"/>
  <c r="W10" i="1" l="1"/>
  <c r="W11" i="1" s="1"/>
  <c r="W34" i="1"/>
  <c r="W15" i="1"/>
  <c r="W8" i="1"/>
  <c r="W16" i="1" l="1"/>
  <c r="W17" i="1" s="1"/>
  <c r="W35" i="1"/>
  <c r="W36" i="1" s="1"/>
  <c r="W37" i="1" s="1"/>
  <c r="P47" i="1" l="1"/>
  <c r="P48" i="1" s="1"/>
  <c r="P49" i="1" s="1"/>
  <c r="W45" i="1"/>
  <c r="P50" i="1" s="1"/>
  <c r="P51" i="1" l="1"/>
  <c r="P54" i="1" s="1"/>
  <c r="P55" i="1" s="1"/>
  <c r="P56" i="1" s="1"/>
  <c r="S49" i="1" l="1"/>
</calcChain>
</file>

<file path=xl/sharedStrings.xml><?xml version="1.0" encoding="utf-8"?>
<sst xmlns="http://schemas.openxmlformats.org/spreadsheetml/2006/main" count="62" uniqueCount="56">
  <si>
    <t>Other Income</t>
  </si>
  <si>
    <t>Net Income</t>
  </si>
  <si>
    <t>Main</t>
  </si>
  <si>
    <t>Dell Technologies Inc.</t>
  </si>
  <si>
    <t>Price</t>
  </si>
  <si>
    <t>Shares</t>
  </si>
  <si>
    <t>MC</t>
  </si>
  <si>
    <t>Cash</t>
  </si>
  <si>
    <t>Debt</t>
  </si>
  <si>
    <t>EV</t>
  </si>
  <si>
    <t>3 classes (A, B, C)</t>
  </si>
  <si>
    <t>Revenue</t>
  </si>
  <si>
    <t>COGS</t>
  </si>
  <si>
    <t>Gross Profit</t>
  </si>
  <si>
    <t>OpEx</t>
  </si>
  <si>
    <t>SG&amp;A</t>
  </si>
  <si>
    <t>R&amp;D</t>
  </si>
  <si>
    <t>EBIT</t>
  </si>
  <si>
    <t>EBT</t>
  </si>
  <si>
    <t>Taxes</t>
  </si>
  <si>
    <t>Revenue Growth y/y</t>
  </si>
  <si>
    <t>Gross Margin</t>
  </si>
  <si>
    <t>Operating Margin</t>
  </si>
  <si>
    <t>R&amp;D % of Revenue</t>
  </si>
  <si>
    <t>Other Income % of Revenue</t>
  </si>
  <si>
    <t>Tax Rate</t>
  </si>
  <si>
    <t>AVG</t>
  </si>
  <si>
    <t>D&amp;A</t>
  </si>
  <si>
    <t>% of Revenue</t>
  </si>
  <si>
    <t>Working Capital</t>
  </si>
  <si>
    <t>CIWC</t>
  </si>
  <si>
    <t>CapEx</t>
  </si>
  <si>
    <t>Operating Income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</si>
  <si>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</si>
  <si>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</si>
  <si>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</si>
  <si>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</si>
  <si>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</si>
  <si>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</si>
  <si>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</si>
  <si>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</si>
  <si>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Year FCF</t>
  </si>
  <si>
    <t>Terminal Value</t>
  </si>
  <si>
    <t>PV of Terminal Value</t>
  </si>
  <si>
    <t>Sum of Stage 1 CF</t>
  </si>
  <si>
    <t>Total Terminal Value</t>
  </si>
  <si>
    <t>Equity Value</t>
  </si>
  <si>
    <t>Share Price</t>
  </si>
  <si>
    <t>Implied Upside</t>
  </si>
  <si>
    <t>WACC</t>
  </si>
  <si>
    <t>Sensitivity Analysis</t>
  </si>
  <si>
    <t>Products</t>
  </si>
  <si>
    <t>Services</t>
  </si>
  <si>
    <t>Ticker</t>
  </si>
  <si>
    <t>DELL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</si>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</sst>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0" fontId="4" fillId="0" borderId="0" xfId="3"/>
    <xf numFmtId="9" fontId="5" fillId="0" borderId="0" xfId="2" applyFont="1"/>
    <xf numFmtId="14" fontId="0" fillId="0" borderId="0" xfId="0" applyNumberFormat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43" fontId="2" fillId="0" borderId="0" xfId="0" applyNumberFormat="1" applyFont="1"/>
    <xf numFmtId="165" fontId="0" fillId="0" borderId="0" xfId="2" applyNumberFormat="1" applyFont="1"/>
    <xf numFmtId="43" fontId="3" fillId="0" borderId="0" xfId="0" applyNumberFormat="1" applyFont="1"/>
    <xf numFmtId="165" fontId="0" fillId="0" borderId="1" xfId="2" applyNumberFormat="1" applyFont="1" applyBorder="1"/>
    <xf numFmtId="165" fontId="0" fillId="0" borderId="2" xfId="2" applyNumberFormat="1" applyFont="1" applyBorder="1"/>
    <xf numFmtId="43" fontId="0" fillId="0" borderId="3" xfId="1" applyFont="1" applyBorder="1"/>
    <xf numFmtId="0" fontId="2" fillId="0" borderId="4" xfId="0" applyFont="1" applyBorder="1"/>
    <xf numFmtId="0" fontId="0" fillId="0" borderId="4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164" fontId="0" fillId="0" borderId="0" xfId="1" applyNumberFormat="1" applyFont="1" applyBorder="1"/>
    <xf numFmtId="0" fontId="2" fillId="0" borderId="0" xfId="0" applyFont="1" applyAlignment="1">
      <alignment horizontal="center"/>
    </xf>
    <xf numFmtId="43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DBE2-60C2-44F6-B341-B56696C3079D}">
  <dimension ref="A1:K7"/>
  <sheetViews>
    <sheetView tabSelected="1" zoomScale="130" zoomScaleNormal="130" workbookViewId="0"/>
  </sheetViews>
  <sheetFormatPr defaultRowHeight="15" x14ac:dyDescent="0.25"/>
  <cols>
    <col min="7" max="7" width="12.28515625" bestFit="1" customWidth="1"/>
    <col min="8" max="8" width="11.140625" bestFit="1" customWidth="1"/>
    <col min="10" max="10" width="10" bestFit="1" customWidth="1"/>
  </cols>
  <sheetData>
    <row r="1" spans="1:11" x14ac:dyDescent="0.25">
      <c r="A1" t="s">
        <v>3</v>
      </c>
    </row>
    <row r="2" spans="1:11" x14ac:dyDescent="0.25">
      <c r="A2" t="s">
        <v>53</v>
      </c>
      <c r="B2" t="s">
        <v>54</v>
      </c>
      <c r="F2" t="s">
        <v>4</v>
      </c>
      <c r="G2">
        <v>114.41</v>
      </c>
      <c r="H2" s="7">
        <f ca="1">TODAY()</f>
        <v>45656</v>
      </c>
      <c r="J2" t="s">
        <v>55</v>
      </c>
      <c r="K2" s="24">
        <f>G7/SUM(Model!R13,Model!R26)</f>
        <v>11.937732910500351</v>
      </c>
    </row>
    <row r="3" spans="1:11" x14ac:dyDescent="0.25">
      <c r="F3" t="s">
        <v>5</v>
      </c>
      <c r="G3" s="3">
        <v>713.8</v>
      </c>
      <c r="H3" t="s">
        <v>10</v>
      </c>
    </row>
    <row r="4" spans="1:11" x14ac:dyDescent="0.25">
      <c r="F4" t="s">
        <v>6</v>
      </c>
      <c r="G4" s="3">
        <f>G2*G3</f>
        <v>81665.857999999993</v>
      </c>
    </row>
    <row r="5" spans="1:11" x14ac:dyDescent="0.25">
      <c r="F5" t="s">
        <v>7</v>
      </c>
      <c r="G5" s="3">
        <v>4550</v>
      </c>
    </row>
    <row r="6" spans="1:11" x14ac:dyDescent="0.25">
      <c r="F6" t="s">
        <v>8</v>
      </c>
      <c r="G6" s="3">
        <f>6711+17811</f>
        <v>24522</v>
      </c>
    </row>
    <row r="7" spans="1:11" x14ac:dyDescent="0.25">
      <c r="F7" t="s">
        <v>9</v>
      </c>
      <c r="G7" s="3">
        <f>G4-G5+G6</f>
        <v>101637.85799999999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CA4D-51F8-4196-804B-8670D21E0A1D}">
  <dimension ref="A1:X56"/>
  <sheetViews>
    <sheetView zoomScale="130" zoomScaleNormal="130" workbookViewId="0"/>
  </sheetViews>
  <sheetFormatPr defaultRowHeight="15" x14ac:dyDescent="0.25"/>
  <cols>
    <col min="1" max="1" width="5.42578125" bestFit="1" customWidth="1"/>
    <col min="2" max="2" width="24.28515625" customWidth="1"/>
    <col min="3" max="15" width="0" hidden="1" customWidth="1"/>
    <col min="16" max="16" width="12.28515625" bestFit="1" customWidth="1"/>
    <col min="17" max="17" width="10.7109375" bestFit="1" customWidth="1"/>
    <col min="18" max="18" width="11.85546875" bestFit="1" customWidth="1"/>
    <col min="20" max="22" width="11.140625" bestFit="1" customWidth="1"/>
    <col min="23" max="23" width="12.28515625" bestFit="1" customWidth="1"/>
  </cols>
  <sheetData>
    <row r="1" spans="1:23" x14ac:dyDescent="0.25">
      <c r="A1" s="5" t="s">
        <v>2</v>
      </c>
      <c r="P1" s="7">
        <v>44589</v>
      </c>
      <c r="Q1" s="7">
        <v>44960</v>
      </c>
      <c r="R1" s="7">
        <v>45324</v>
      </c>
      <c r="T1" s="7">
        <v>45690</v>
      </c>
      <c r="U1" s="7">
        <v>46055</v>
      </c>
      <c r="V1" s="7">
        <v>46420</v>
      </c>
      <c r="W1" s="7">
        <v>46785</v>
      </c>
    </row>
    <row r="2" spans="1:23" x14ac:dyDescent="0.25">
      <c r="C2">
        <f t="shared" ref="C2:P2" si="0">D2-1</f>
        <v>2009</v>
      </c>
      <c r="D2">
        <f t="shared" si="0"/>
        <v>2010</v>
      </c>
      <c r="E2">
        <f t="shared" si="0"/>
        <v>2011</v>
      </c>
      <c r="F2">
        <f t="shared" si="0"/>
        <v>2012</v>
      </c>
      <c r="G2">
        <f t="shared" si="0"/>
        <v>2013</v>
      </c>
      <c r="H2">
        <f t="shared" si="0"/>
        <v>2014</v>
      </c>
      <c r="I2">
        <f t="shared" si="0"/>
        <v>2015</v>
      </c>
      <c r="J2">
        <f t="shared" si="0"/>
        <v>2016</v>
      </c>
      <c r="K2">
        <f t="shared" si="0"/>
        <v>2017</v>
      </c>
      <c r="L2">
        <f t="shared" si="0"/>
        <v>2018</v>
      </c>
      <c r="M2">
        <f t="shared" si="0"/>
        <v>2019</v>
      </c>
      <c r="N2">
        <f t="shared" si="0"/>
        <v>2020</v>
      </c>
      <c r="O2" s="8">
        <f t="shared" si="0"/>
        <v>2021</v>
      </c>
      <c r="P2" s="8">
        <f t="shared" si="0"/>
        <v>2022</v>
      </c>
      <c r="Q2" s="8">
        <f>R2-1</f>
        <v>2023</v>
      </c>
      <c r="R2" s="8">
        <v>2024</v>
      </c>
      <c r="S2" s="8"/>
      <c r="T2" s="8">
        <v>2025</v>
      </c>
      <c r="U2" s="8">
        <f>T2+1</f>
        <v>2026</v>
      </c>
      <c r="V2" s="8">
        <f t="shared" ref="V2:W2" si="1">U2+1</f>
        <v>2027</v>
      </c>
      <c r="W2" s="8">
        <f t="shared" si="1"/>
        <v>2028</v>
      </c>
    </row>
    <row r="3" spans="1:23" x14ac:dyDescent="0.25">
      <c r="B3" t="s">
        <v>51</v>
      </c>
      <c r="P3" s="22">
        <v>79830</v>
      </c>
      <c r="Q3" s="22">
        <v>79250</v>
      </c>
      <c r="R3" s="22">
        <v>64353</v>
      </c>
      <c r="S3" s="22"/>
      <c r="T3" s="22"/>
      <c r="U3" s="22"/>
      <c r="V3" s="22"/>
      <c r="W3" s="22"/>
    </row>
    <row r="4" spans="1:23" x14ac:dyDescent="0.25">
      <c r="B4" t="s">
        <v>52</v>
      </c>
      <c r="P4" s="22">
        <v>21367</v>
      </c>
      <c r="Q4" s="22">
        <v>23051</v>
      </c>
      <c r="R4" s="22">
        <v>24072</v>
      </c>
      <c r="S4" s="22"/>
      <c r="T4" s="22"/>
      <c r="U4" s="22"/>
      <c r="V4" s="22"/>
      <c r="W4" s="22"/>
    </row>
    <row r="5" spans="1:23" x14ac:dyDescent="0.25">
      <c r="B5" s="11" t="s">
        <v>11</v>
      </c>
      <c r="C5" s="1">
        <v>61133</v>
      </c>
      <c r="D5" s="1">
        <v>61101</v>
      </c>
      <c r="E5" s="1">
        <v>52902</v>
      </c>
      <c r="F5" s="1">
        <v>61494</v>
      </c>
      <c r="G5" s="1">
        <v>62071</v>
      </c>
      <c r="H5" s="1">
        <v>56940</v>
      </c>
      <c r="I5" s="1">
        <v>54142</v>
      </c>
      <c r="J5" s="1">
        <v>50911</v>
      </c>
      <c r="K5" s="1">
        <v>62164</v>
      </c>
      <c r="L5" s="1">
        <v>79040</v>
      </c>
      <c r="M5">
        <v>92154</v>
      </c>
      <c r="N5" s="1">
        <v>169630</v>
      </c>
      <c r="O5" s="1">
        <v>86670</v>
      </c>
      <c r="P5" s="1">
        <v>101197</v>
      </c>
      <c r="Q5" s="1">
        <v>102301</v>
      </c>
      <c r="R5" s="1">
        <v>88425</v>
      </c>
      <c r="T5" s="3">
        <f>R5*(1+T19)</f>
        <v>90193.5</v>
      </c>
      <c r="U5" s="3">
        <f>T5*(1+U19)</f>
        <v>92899.305000000008</v>
      </c>
      <c r="V5" s="3">
        <f t="shared" ref="V5:W5" si="2">U5*(1+V19)</f>
        <v>95686.284150000007</v>
      </c>
      <c r="W5" s="3">
        <f t="shared" si="2"/>
        <v>99513.735516000015</v>
      </c>
    </row>
    <row r="6" spans="1:23" x14ac:dyDescent="0.25">
      <c r="B6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>
        <v>67224</v>
      </c>
      <c r="Q6" s="1">
        <v>66029</v>
      </c>
      <c r="R6" s="1">
        <v>53316</v>
      </c>
      <c r="T6" s="3"/>
      <c r="U6" s="3"/>
      <c r="V6" s="3"/>
      <c r="W6" s="3"/>
    </row>
    <row r="7" spans="1:23" x14ac:dyDescent="0.25">
      <c r="B7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>
        <v>12082</v>
      </c>
      <c r="Q7" s="1">
        <v>13586</v>
      </c>
      <c r="R7" s="1">
        <v>14240</v>
      </c>
      <c r="T7" s="3"/>
      <c r="U7" s="3"/>
      <c r="V7" s="3"/>
      <c r="W7" s="3"/>
    </row>
    <row r="8" spans="1:23" x14ac:dyDescent="0.25">
      <c r="B8" s="11" t="s">
        <v>12</v>
      </c>
      <c r="C8" s="1">
        <v>49462</v>
      </c>
      <c r="D8" s="1">
        <v>50144</v>
      </c>
      <c r="E8" s="1">
        <v>43641</v>
      </c>
      <c r="F8" s="1">
        <v>50098</v>
      </c>
      <c r="G8" s="1">
        <v>48260</v>
      </c>
      <c r="H8" s="1">
        <v>44754</v>
      </c>
      <c r="I8" s="1">
        <v>45246</v>
      </c>
      <c r="J8" s="1">
        <v>42524</v>
      </c>
      <c r="K8" s="1">
        <v>48515</v>
      </c>
      <c r="L8" s="1">
        <v>58503</v>
      </c>
      <c r="M8">
        <v>63221</v>
      </c>
      <c r="N8" s="1">
        <v>8807</v>
      </c>
      <c r="O8" s="1">
        <v>66530</v>
      </c>
      <c r="P8" s="1">
        <v>79306</v>
      </c>
      <c r="Q8" s="1">
        <v>79615</v>
      </c>
      <c r="R8" s="1">
        <v>67556</v>
      </c>
      <c r="T8" s="3">
        <f>T5-T9</f>
        <v>69448.994999999995</v>
      </c>
      <c r="U8" s="3">
        <f t="shared" ref="U8:W8" si="3">U5-U9</f>
        <v>71532.464850000004</v>
      </c>
      <c r="V8" s="3">
        <f t="shared" si="3"/>
        <v>73678.438795499998</v>
      </c>
      <c r="W8" s="3">
        <f t="shared" si="3"/>
        <v>76625.576347320006</v>
      </c>
    </row>
    <row r="9" spans="1:23" x14ac:dyDescent="0.25">
      <c r="B9" t="s">
        <v>13</v>
      </c>
      <c r="C9" s="1">
        <v>11671</v>
      </c>
      <c r="D9" s="1">
        <v>10957</v>
      </c>
      <c r="E9" s="1">
        <v>9261</v>
      </c>
      <c r="F9" s="1">
        <v>11396</v>
      </c>
      <c r="G9" s="1">
        <v>13811</v>
      </c>
      <c r="H9" s="1">
        <v>12186</v>
      </c>
      <c r="I9" s="1">
        <v>8896</v>
      </c>
      <c r="J9" s="1">
        <v>8387</v>
      </c>
      <c r="K9" s="1">
        <v>13649</v>
      </c>
      <c r="L9" s="1">
        <v>20537</v>
      </c>
      <c r="M9">
        <f>M5-M8</f>
        <v>28933</v>
      </c>
      <c r="N9" s="1">
        <v>20639</v>
      </c>
      <c r="O9" s="1">
        <v>20140</v>
      </c>
      <c r="P9" s="1">
        <v>21891</v>
      </c>
      <c r="Q9" s="1">
        <v>22686</v>
      </c>
      <c r="R9" s="1">
        <v>20869</v>
      </c>
      <c r="T9" s="3">
        <f>T5*T20</f>
        <v>20744.505000000001</v>
      </c>
      <c r="U9" s="3">
        <f t="shared" ref="U9:W9" si="4">U5*U20</f>
        <v>21366.840150000004</v>
      </c>
      <c r="V9" s="3">
        <f t="shared" si="4"/>
        <v>22007.845354500001</v>
      </c>
      <c r="W9" s="3">
        <f t="shared" si="4"/>
        <v>22888.159168680006</v>
      </c>
    </row>
    <row r="10" spans="1:23" x14ac:dyDescent="0.25">
      <c r="B10" t="s">
        <v>14</v>
      </c>
      <c r="C10" s="1">
        <v>8231</v>
      </c>
      <c r="D10" s="1">
        <v>7767</v>
      </c>
      <c r="E10" s="1">
        <v>7089</v>
      </c>
      <c r="F10" s="1">
        <v>7963</v>
      </c>
      <c r="G10" s="1">
        <v>9380</v>
      </c>
      <c r="H10" s="1">
        <v>9174</v>
      </c>
      <c r="I10" s="1">
        <v>9212</v>
      </c>
      <c r="J10" s="1">
        <v>8901</v>
      </c>
      <c r="K10" s="1">
        <v>16039</v>
      </c>
      <c r="L10" s="1">
        <v>22953</v>
      </c>
      <c r="M10" s="1">
        <v>25244</v>
      </c>
      <c r="N10" s="1">
        <v>36546</v>
      </c>
      <c r="O10" s="1">
        <v>16455</v>
      </c>
      <c r="P10" s="1">
        <v>17232</v>
      </c>
      <c r="Q10" s="1">
        <v>16915</v>
      </c>
      <c r="R10" s="1">
        <v>15658</v>
      </c>
      <c r="T10" s="3">
        <f>T9-T13</f>
        <v>16234.830000000002</v>
      </c>
      <c r="U10" s="3">
        <f t="shared" ref="U10:W10" si="5">U9-U13</f>
        <v>15792.881850000003</v>
      </c>
      <c r="V10" s="3">
        <f t="shared" si="5"/>
        <v>16266.668305500001</v>
      </c>
      <c r="W10" s="3">
        <f t="shared" si="5"/>
        <v>16917.335037720004</v>
      </c>
    </row>
    <row r="11" spans="1:23" x14ac:dyDescent="0.25">
      <c r="B11" t="s">
        <v>15</v>
      </c>
      <c r="C11" s="1">
        <v>7538</v>
      </c>
      <c r="D11" s="1">
        <v>7102</v>
      </c>
      <c r="E11" s="1">
        <v>6465</v>
      </c>
      <c r="F11" s="1">
        <v>7302</v>
      </c>
      <c r="G11" s="1">
        <v>8524</v>
      </c>
      <c r="H11" s="1">
        <v>8102</v>
      </c>
      <c r="I11" s="1">
        <v>8292</v>
      </c>
      <c r="J11" s="1">
        <v>7850</v>
      </c>
      <c r="K11" s="1">
        <v>13403</v>
      </c>
      <c r="L11" s="1">
        <v>18569</v>
      </c>
      <c r="M11" s="1">
        <v>20640</v>
      </c>
      <c r="N11" s="1">
        <v>15819</v>
      </c>
      <c r="O11" s="1">
        <v>14000</v>
      </c>
      <c r="P11" s="1">
        <v>14655</v>
      </c>
      <c r="Q11" s="1">
        <v>14136</v>
      </c>
      <c r="R11" s="1">
        <v>12857</v>
      </c>
      <c r="T11" s="3">
        <f>T10-T12</f>
        <v>13529.025000000001</v>
      </c>
      <c r="U11" s="3">
        <f t="shared" ref="U11:W11" si="6">U10-U12</f>
        <v>13005.902700000002</v>
      </c>
      <c r="V11" s="3">
        <f t="shared" si="6"/>
        <v>13396.079781</v>
      </c>
      <c r="W11" s="3">
        <f t="shared" si="6"/>
        <v>13931.922972240003</v>
      </c>
    </row>
    <row r="12" spans="1:23" x14ac:dyDescent="0.25">
      <c r="B12" t="s">
        <v>16</v>
      </c>
      <c r="C12">
        <v>693</v>
      </c>
      <c r="D12">
        <v>665</v>
      </c>
      <c r="E12">
        <v>624</v>
      </c>
      <c r="F12">
        <v>661</v>
      </c>
      <c r="G12">
        <v>856</v>
      </c>
      <c r="H12" s="1">
        <v>1072</v>
      </c>
      <c r="I12">
        <v>920</v>
      </c>
      <c r="J12" s="1">
        <v>1051</v>
      </c>
      <c r="K12" s="1">
        <v>2636</v>
      </c>
      <c r="L12" s="1">
        <v>4384</v>
      </c>
      <c r="M12" s="1">
        <v>4604</v>
      </c>
      <c r="N12" s="1">
        <v>2454</v>
      </c>
      <c r="O12" s="1">
        <v>2455</v>
      </c>
      <c r="P12" s="1">
        <v>2577</v>
      </c>
      <c r="Q12" s="1">
        <v>2779</v>
      </c>
      <c r="R12" s="1">
        <v>2801</v>
      </c>
      <c r="T12" s="3">
        <f>T5*T22</f>
        <v>2705.8049999999998</v>
      </c>
      <c r="U12" s="3">
        <f t="shared" ref="U12:W12" si="7">U5*U22</f>
        <v>2786.9791500000001</v>
      </c>
      <c r="V12" s="3">
        <f t="shared" si="7"/>
        <v>2870.5885244999999</v>
      </c>
      <c r="W12" s="3">
        <f t="shared" si="7"/>
        <v>2985.4120654800004</v>
      </c>
    </row>
    <row r="13" spans="1:23" x14ac:dyDescent="0.25">
      <c r="B13" t="s">
        <v>17</v>
      </c>
      <c r="C13" s="1">
        <v>3440</v>
      </c>
      <c r="D13" s="1">
        <v>3190</v>
      </c>
      <c r="E13" s="1">
        <v>2172</v>
      </c>
      <c r="F13" s="1">
        <v>3433</v>
      </c>
      <c r="G13" s="1">
        <v>4431</v>
      </c>
      <c r="H13" s="1">
        <v>3012</v>
      </c>
      <c r="I13">
        <v>-316</v>
      </c>
      <c r="J13">
        <v>-514</v>
      </c>
      <c r="K13" s="1">
        <v>-2390</v>
      </c>
      <c r="L13" s="1">
        <v>-2416</v>
      </c>
      <c r="M13" s="1">
        <v>-25244</v>
      </c>
      <c r="N13" s="1">
        <v>2366</v>
      </c>
      <c r="O13" s="1">
        <v>3685</v>
      </c>
      <c r="P13" s="1">
        <v>4659</v>
      </c>
      <c r="Q13" s="1">
        <v>5771</v>
      </c>
      <c r="R13" s="1">
        <v>5211</v>
      </c>
      <c r="T13" s="3">
        <f>T5*T21</f>
        <v>4509.6750000000002</v>
      </c>
      <c r="U13" s="3">
        <f t="shared" ref="U13:W13" si="8">U5*U21</f>
        <v>5573.9583000000002</v>
      </c>
      <c r="V13" s="3">
        <f t="shared" si="8"/>
        <v>5741.1770489999999</v>
      </c>
      <c r="W13" s="3">
        <f t="shared" si="8"/>
        <v>5970.8241309600007</v>
      </c>
    </row>
    <row r="14" spans="1:23" x14ac:dyDescent="0.25">
      <c r="B14" t="s">
        <v>0</v>
      </c>
      <c r="C14">
        <v>387</v>
      </c>
      <c r="D14">
        <v>134</v>
      </c>
      <c r="E14">
        <v>-148</v>
      </c>
      <c r="F14">
        <v>-83</v>
      </c>
      <c r="G14">
        <v>-191</v>
      </c>
      <c r="H14">
        <v>-171</v>
      </c>
      <c r="I14">
        <v>-899</v>
      </c>
      <c r="J14">
        <v>-772</v>
      </c>
      <c r="K14" s="1">
        <v>-2104</v>
      </c>
      <c r="L14" s="1">
        <v>-2353</v>
      </c>
      <c r="M14" s="1">
        <v>-2170</v>
      </c>
      <c r="N14" s="1">
        <v>-2417</v>
      </c>
      <c r="O14" s="1">
        <v>-1339</v>
      </c>
      <c r="P14" s="1">
        <v>1264</v>
      </c>
      <c r="Q14" s="1">
        <v>-2546</v>
      </c>
      <c r="R14" s="1">
        <v>-1324</v>
      </c>
      <c r="T14" s="3">
        <f>T5*T23</f>
        <v>-901.93500000000006</v>
      </c>
      <c r="U14" s="3">
        <f t="shared" ref="U14:W14" si="9">U5*U23</f>
        <v>-928.99305000000004</v>
      </c>
      <c r="V14" s="3">
        <f t="shared" si="9"/>
        <v>-956.86284150000006</v>
      </c>
      <c r="W14" s="3">
        <f t="shared" si="9"/>
        <v>-995.1373551600002</v>
      </c>
    </row>
    <row r="15" spans="1:23" x14ac:dyDescent="0.25">
      <c r="B15" t="s">
        <v>18</v>
      </c>
      <c r="C15" s="1">
        <v>3827</v>
      </c>
      <c r="D15" s="1">
        <v>3324</v>
      </c>
      <c r="E15" s="1">
        <v>2024</v>
      </c>
      <c r="F15" s="1">
        <v>3350</v>
      </c>
      <c r="G15" s="1">
        <v>4240</v>
      </c>
      <c r="H15" s="1">
        <v>2841</v>
      </c>
      <c r="I15" s="1">
        <v>-1215</v>
      </c>
      <c r="J15" s="1">
        <v>-1286</v>
      </c>
      <c r="K15" s="1">
        <v>-4494</v>
      </c>
      <c r="L15" s="1">
        <v>-4769</v>
      </c>
      <c r="M15" s="1">
        <v>-27414</v>
      </c>
      <c r="N15">
        <v>-51</v>
      </c>
      <c r="O15" s="1">
        <v>2346</v>
      </c>
      <c r="P15" s="1">
        <v>5923</v>
      </c>
      <c r="Q15" s="1">
        <v>3225</v>
      </c>
      <c r="R15" s="1">
        <v>3887</v>
      </c>
      <c r="T15" s="3">
        <f>T13+T14</f>
        <v>3607.7400000000002</v>
      </c>
      <c r="U15" s="3">
        <f t="shared" ref="U15:W15" si="10">U13+U14</f>
        <v>4644.9652500000002</v>
      </c>
      <c r="V15" s="3">
        <f t="shared" si="10"/>
        <v>4784.3142074999996</v>
      </c>
      <c r="W15" s="3">
        <f t="shared" si="10"/>
        <v>4975.6867758000008</v>
      </c>
    </row>
    <row r="16" spans="1:23" x14ac:dyDescent="0.25">
      <c r="B16" t="s">
        <v>19</v>
      </c>
      <c r="C16">
        <v>880</v>
      </c>
      <c r="D16">
        <v>846</v>
      </c>
      <c r="E16">
        <v>591</v>
      </c>
      <c r="F16">
        <v>715</v>
      </c>
      <c r="G16">
        <v>748</v>
      </c>
      <c r="H16">
        <v>469</v>
      </c>
      <c r="I16">
        <v>-107</v>
      </c>
      <c r="J16">
        <v>-118</v>
      </c>
      <c r="K16" s="1">
        <v>-1420</v>
      </c>
      <c r="L16" s="1">
        <v>-1843</v>
      </c>
      <c r="M16">
        <v>-180</v>
      </c>
      <c r="N16">
        <v>-572</v>
      </c>
      <c r="O16">
        <v>101</v>
      </c>
      <c r="P16">
        <v>981</v>
      </c>
      <c r="Q16">
        <v>803</v>
      </c>
      <c r="R16">
        <v>692</v>
      </c>
      <c r="T16" s="3">
        <f>T15*T24</f>
        <v>649.39319999999998</v>
      </c>
      <c r="U16" s="3">
        <f t="shared" ref="U16:W16" si="11">U15*U24</f>
        <v>836.09374500000001</v>
      </c>
      <c r="V16" s="3">
        <f t="shared" si="11"/>
        <v>861.17655734999994</v>
      </c>
      <c r="W16" s="3">
        <f t="shared" si="11"/>
        <v>895.62361964400009</v>
      </c>
    </row>
    <row r="17" spans="1:23" x14ac:dyDescent="0.25">
      <c r="B17" t="s">
        <v>1</v>
      </c>
      <c r="C17" s="1">
        <v>2947</v>
      </c>
      <c r="D17" s="1">
        <v>2478</v>
      </c>
      <c r="E17" s="1">
        <v>1433</v>
      </c>
      <c r="F17" s="1">
        <v>2635</v>
      </c>
      <c r="G17" s="1">
        <v>3492</v>
      </c>
      <c r="H17" s="1">
        <v>2372</v>
      </c>
      <c r="I17" s="1">
        <v>-1221</v>
      </c>
      <c r="J17" s="1">
        <v>-1104</v>
      </c>
      <c r="K17" s="1">
        <v>-1158</v>
      </c>
      <c r="L17" s="1">
        <v>-2926</v>
      </c>
      <c r="M17" s="1">
        <v>-27234</v>
      </c>
      <c r="N17" s="1">
        <v>5529</v>
      </c>
      <c r="O17" s="1">
        <v>3505</v>
      </c>
      <c r="P17" s="1">
        <v>5707</v>
      </c>
      <c r="Q17" s="1">
        <v>2422</v>
      </c>
      <c r="R17" s="1">
        <v>3195</v>
      </c>
      <c r="T17" s="3">
        <f>T15-T16</f>
        <v>2958.3468000000003</v>
      </c>
      <c r="U17" s="3">
        <f t="shared" ref="U17:W17" si="12">U15-U16</f>
        <v>3808.8715050000001</v>
      </c>
      <c r="V17" s="3">
        <f t="shared" si="12"/>
        <v>3923.1376501499999</v>
      </c>
      <c r="W17" s="3">
        <f t="shared" si="12"/>
        <v>4080.0631561560008</v>
      </c>
    </row>
    <row r="18" spans="1:23" x14ac:dyDescent="0.25">
      <c r="S18" s="11" t="s">
        <v>26</v>
      </c>
    </row>
    <row r="19" spans="1:23" x14ac:dyDescent="0.25">
      <c r="B19" t="s">
        <v>20</v>
      </c>
      <c r="C19" s="4"/>
      <c r="D19" s="4">
        <f>(D5/C5)-1</f>
        <v>-5.2344887376698512E-4</v>
      </c>
      <c r="E19" s="4">
        <f t="shared" ref="E19:R19" si="13">(E5/D5)-1</f>
        <v>-0.13418765650316689</v>
      </c>
      <c r="F19" s="4">
        <f t="shared" si="13"/>
        <v>0.16241351933764325</v>
      </c>
      <c r="G19" s="4">
        <f t="shared" si="13"/>
        <v>9.3830292386249958E-3</v>
      </c>
      <c r="H19" s="4">
        <f t="shared" si="13"/>
        <v>-8.2663401588503493E-2</v>
      </c>
      <c r="I19" s="4">
        <f t="shared" si="13"/>
        <v>-4.913944502985601E-2</v>
      </c>
      <c r="J19" s="4">
        <f t="shared" si="13"/>
        <v>-5.9676406486646183E-2</v>
      </c>
      <c r="K19" s="4">
        <f t="shared" si="13"/>
        <v>0.22103278269922022</v>
      </c>
      <c r="L19" s="4">
        <f t="shared" si="13"/>
        <v>0.27147545203011392</v>
      </c>
      <c r="M19" s="4">
        <f t="shared" si="13"/>
        <v>0.1659159919028339</v>
      </c>
      <c r="N19" s="4">
        <f t="shared" si="13"/>
        <v>0.84072313735703275</v>
      </c>
      <c r="O19" s="4">
        <f t="shared" si="13"/>
        <v>-0.48906443435713021</v>
      </c>
      <c r="P19" s="4">
        <f t="shared" si="13"/>
        <v>0.16761278412368763</v>
      </c>
      <c r="Q19" s="4">
        <f t="shared" si="13"/>
        <v>1.0909414310700916E-2</v>
      </c>
      <c r="R19" s="4">
        <f t="shared" si="13"/>
        <v>-0.13563894781087182</v>
      </c>
      <c r="S19" s="6">
        <f>AVERAGE(O19:R19)</f>
        <v>-0.11154529593340337</v>
      </c>
      <c r="T19" s="4">
        <v>0.02</v>
      </c>
      <c r="U19" s="4">
        <v>0.03</v>
      </c>
      <c r="V19" s="4">
        <v>0.03</v>
      </c>
      <c r="W19" s="4">
        <v>0.04</v>
      </c>
    </row>
    <row r="20" spans="1:23" x14ac:dyDescent="0.25">
      <c r="B20" t="s">
        <v>21</v>
      </c>
      <c r="C20" s="4">
        <f>C9/C5</f>
        <v>0.1909116189292199</v>
      </c>
      <c r="D20" s="4">
        <f>D9/D5</f>
        <v>0.17932603394379798</v>
      </c>
      <c r="E20" s="4">
        <f t="shared" ref="E20:R20" si="14">E9/E5</f>
        <v>0.17505954406260632</v>
      </c>
      <c r="F20" s="4">
        <f t="shared" si="14"/>
        <v>0.18531889290012032</v>
      </c>
      <c r="G20" s="4">
        <f t="shared" si="14"/>
        <v>0.222503262393066</v>
      </c>
      <c r="H20" s="4">
        <f t="shared" si="14"/>
        <v>0.21401475237091674</v>
      </c>
      <c r="I20" s="4">
        <f t="shared" si="14"/>
        <v>0.16430866979424477</v>
      </c>
      <c r="J20" s="4">
        <f t="shared" si="14"/>
        <v>0.16473846516469917</v>
      </c>
      <c r="K20" s="4">
        <f t="shared" si="14"/>
        <v>0.21956437809664758</v>
      </c>
      <c r="L20" s="4">
        <f t="shared" si="14"/>
        <v>0.25983046558704453</v>
      </c>
      <c r="M20" s="4">
        <f t="shared" si="14"/>
        <v>0.31396358269852637</v>
      </c>
      <c r="N20" s="4">
        <f t="shared" si="14"/>
        <v>0.12167069504215056</v>
      </c>
      <c r="O20" s="4">
        <f t="shared" si="14"/>
        <v>0.23237567785854391</v>
      </c>
      <c r="P20" s="4">
        <f t="shared" si="14"/>
        <v>0.21632064191626235</v>
      </c>
      <c r="Q20" s="4">
        <f t="shared" si="14"/>
        <v>0.22175736307562977</v>
      </c>
      <c r="R20" s="4">
        <f t="shared" si="14"/>
        <v>0.23600791631325982</v>
      </c>
      <c r="S20" s="6">
        <f t="shared" ref="S20:S24" si="15">AVERAGE(O20:R20)</f>
        <v>0.22661539979092396</v>
      </c>
      <c r="T20" s="4">
        <v>0.23</v>
      </c>
      <c r="U20" s="4">
        <v>0.23</v>
      </c>
      <c r="V20" s="4">
        <v>0.23</v>
      </c>
      <c r="W20" s="4">
        <v>0.23</v>
      </c>
    </row>
    <row r="21" spans="1:23" x14ac:dyDescent="0.25">
      <c r="B21" t="s">
        <v>22</v>
      </c>
      <c r="C21" s="4">
        <f>C13/C5</f>
        <v>5.6270753929956001E-2</v>
      </c>
      <c r="D21" s="4">
        <f>D13/D5</f>
        <v>5.2208638156494985E-2</v>
      </c>
      <c r="E21" s="4">
        <f t="shared" ref="E21:R21" si="16">E13/E5</f>
        <v>4.1057048882839967E-2</v>
      </c>
      <c r="F21" s="4">
        <f t="shared" si="16"/>
        <v>5.5826584707451131E-2</v>
      </c>
      <c r="G21" s="4">
        <f t="shared" si="16"/>
        <v>7.1385993459103292E-2</v>
      </c>
      <c r="H21" s="4">
        <f t="shared" si="16"/>
        <v>5.2897787144362489E-2</v>
      </c>
      <c r="I21" s="4">
        <f t="shared" si="16"/>
        <v>-5.8365040079790178E-3</v>
      </c>
      <c r="J21" s="4">
        <f t="shared" si="16"/>
        <v>-1.0096049969554714E-2</v>
      </c>
      <c r="K21" s="4">
        <f t="shared" si="16"/>
        <v>-3.8446689402226369E-2</v>
      </c>
      <c r="L21" s="4">
        <f t="shared" si="16"/>
        <v>-3.0566801619433197E-2</v>
      </c>
      <c r="M21" s="4">
        <f t="shared" si="16"/>
        <v>-0.27393276471992534</v>
      </c>
      <c r="N21" s="4">
        <f t="shared" si="16"/>
        <v>1.3948004480339563E-2</v>
      </c>
      <c r="O21" s="4">
        <f t="shared" si="16"/>
        <v>4.2517595477097034E-2</v>
      </c>
      <c r="P21" s="4">
        <f t="shared" si="16"/>
        <v>4.603891419706118E-2</v>
      </c>
      <c r="Q21" s="4">
        <f t="shared" si="16"/>
        <v>5.6411960782397047E-2</v>
      </c>
      <c r="R21" s="4">
        <f t="shared" si="16"/>
        <v>5.8931297709923662E-2</v>
      </c>
      <c r="S21" s="6">
        <f t="shared" si="15"/>
        <v>5.0974942041619731E-2</v>
      </c>
      <c r="T21" s="4">
        <v>0.05</v>
      </c>
      <c r="U21" s="4">
        <v>0.06</v>
      </c>
      <c r="V21" s="4">
        <v>0.06</v>
      </c>
      <c r="W21" s="4">
        <v>0.06</v>
      </c>
    </row>
    <row r="22" spans="1:23" x14ac:dyDescent="0.25">
      <c r="B22" t="s">
        <v>23</v>
      </c>
      <c r="C22" s="4">
        <f>C12/C5</f>
        <v>1.1335939672517299E-2</v>
      </c>
      <c r="D22" s="4">
        <f>D12/D5</f>
        <v>1.088361892604049E-2</v>
      </c>
      <c r="E22" s="4">
        <f t="shared" ref="E22:R22" si="17">E12/E5</f>
        <v>1.1795395259158443E-2</v>
      </c>
      <c r="F22" s="4">
        <f t="shared" si="17"/>
        <v>1.0749016164178619E-2</v>
      </c>
      <c r="G22" s="4">
        <f t="shared" si="17"/>
        <v>1.3790659083952248E-2</v>
      </c>
      <c r="H22" s="4">
        <f t="shared" si="17"/>
        <v>1.8826835265191428E-2</v>
      </c>
      <c r="I22" s="4">
        <f t="shared" si="17"/>
        <v>1.6992353440951572E-2</v>
      </c>
      <c r="J22" s="4">
        <f t="shared" si="17"/>
        <v>2.0643868712066155E-2</v>
      </c>
      <c r="K22" s="4">
        <f t="shared" si="17"/>
        <v>4.240396370889904E-2</v>
      </c>
      <c r="L22" s="4">
        <f t="shared" si="17"/>
        <v>5.5465587044534415E-2</v>
      </c>
      <c r="M22" s="4">
        <f t="shared" si="17"/>
        <v>4.9959849816611328E-2</v>
      </c>
      <c r="N22" s="4">
        <f t="shared" si="17"/>
        <v>1.4466780640216942E-2</v>
      </c>
      <c r="O22" s="4">
        <f t="shared" si="17"/>
        <v>2.8325833621783779E-2</v>
      </c>
      <c r="P22" s="4">
        <f t="shared" si="17"/>
        <v>2.5465181774163265E-2</v>
      </c>
      <c r="Q22" s="4">
        <f t="shared" si="17"/>
        <v>2.7164934849121709E-2</v>
      </c>
      <c r="R22" s="4">
        <f t="shared" si="17"/>
        <v>3.1676562058241445E-2</v>
      </c>
      <c r="S22" s="6">
        <f t="shared" si="15"/>
        <v>2.815812807582755E-2</v>
      </c>
      <c r="T22" s="6">
        <v>0.03</v>
      </c>
      <c r="U22" s="6">
        <v>0.03</v>
      </c>
      <c r="V22" s="6">
        <v>0.03</v>
      </c>
      <c r="W22" s="6">
        <v>0.03</v>
      </c>
    </row>
    <row r="23" spans="1:23" x14ac:dyDescent="0.25">
      <c r="B23" t="s">
        <v>24</v>
      </c>
      <c r="C23" s="4">
        <f>C14/C5</f>
        <v>6.3304598171200497E-3</v>
      </c>
      <c r="D23" s="4">
        <f>D14/D5</f>
        <v>2.193090129457783E-3</v>
      </c>
      <c r="E23" s="4">
        <f t="shared" ref="E23:R23" si="18">E14/E5</f>
        <v>-2.797625798646554E-3</v>
      </c>
      <c r="F23" s="4">
        <f t="shared" si="18"/>
        <v>-1.3497251764399778E-3</v>
      </c>
      <c r="G23" s="4">
        <f t="shared" si="18"/>
        <v>-3.0771213610220555E-3</v>
      </c>
      <c r="H23" s="4">
        <f t="shared" si="18"/>
        <v>-3.0031612223393044E-3</v>
      </c>
      <c r="I23" s="4">
        <f t="shared" si="18"/>
        <v>-1.660448450371246E-2</v>
      </c>
      <c r="J23" s="4">
        <f t="shared" si="18"/>
        <v>-1.5163717074895406E-2</v>
      </c>
      <c r="K23" s="4">
        <f t="shared" si="18"/>
        <v>-3.3845955858696354E-2</v>
      </c>
      <c r="L23" s="4">
        <f t="shared" si="18"/>
        <v>-2.9769736842105262E-2</v>
      </c>
      <c r="M23" s="4">
        <f t="shared" si="18"/>
        <v>-2.3547539987412373E-2</v>
      </c>
      <c r="N23" s="4">
        <f t="shared" si="18"/>
        <v>-1.4248658845723045E-2</v>
      </c>
      <c r="O23" s="4">
        <f t="shared" si="18"/>
        <v>-1.544940579208492E-2</v>
      </c>
      <c r="P23" s="4">
        <f t="shared" si="18"/>
        <v>1.2490488848483651E-2</v>
      </c>
      <c r="Q23" s="4">
        <f t="shared" si="18"/>
        <v>-2.4887342254718919E-2</v>
      </c>
      <c r="R23" s="4">
        <f t="shared" si="18"/>
        <v>-1.4973141080011309E-2</v>
      </c>
      <c r="S23" s="6">
        <f t="shared" si="15"/>
        <v>-1.0704850069582874E-2</v>
      </c>
      <c r="T23" s="6">
        <v>-0.01</v>
      </c>
      <c r="U23" s="6">
        <v>-0.01</v>
      </c>
      <c r="V23" s="6">
        <v>-0.01</v>
      </c>
      <c r="W23" s="6">
        <v>-0.01</v>
      </c>
    </row>
    <row r="24" spans="1:23" x14ac:dyDescent="0.25">
      <c r="B24" t="s">
        <v>25</v>
      </c>
      <c r="C24" s="4">
        <f>C16/C15</f>
        <v>0.22994512673112097</v>
      </c>
      <c r="D24" s="4">
        <f>D16/D15</f>
        <v>0.25451263537906138</v>
      </c>
      <c r="E24" s="4">
        <f t="shared" ref="E24:R24" si="19">E16/E15</f>
        <v>0.29199604743083002</v>
      </c>
      <c r="F24" s="4">
        <f t="shared" si="19"/>
        <v>0.21343283582089553</v>
      </c>
      <c r="G24" s="4">
        <f t="shared" si="19"/>
        <v>0.17641509433962263</v>
      </c>
      <c r="H24" s="4">
        <f t="shared" si="19"/>
        <v>0.16508271735304469</v>
      </c>
      <c r="I24" s="4">
        <f t="shared" si="19"/>
        <v>8.8065843621399173E-2</v>
      </c>
      <c r="J24" s="4">
        <f t="shared" si="19"/>
        <v>9.1757387247278388E-2</v>
      </c>
      <c r="K24" s="4">
        <f t="shared" si="19"/>
        <v>0.31597685803293279</v>
      </c>
      <c r="L24" s="4">
        <f t="shared" si="19"/>
        <v>0.38645418326693226</v>
      </c>
      <c r="M24" s="4">
        <f t="shared" si="19"/>
        <v>6.5659881812212741E-3</v>
      </c>
      <c r="N24" s="4">
        <f t="shared" si="19"/>
        <v>11.215686274509803</v>
      </c>
      <c r="O24" s="4">
        <f t="shared" si="19"/>
        <v>4.3052003410059679E-2</v>
      </c>
      <c r="P24" s="4">
        <f t="shared" si="19"/>
        <v>0.16562552760425461</v>
      </c>
      <c r="Q24" s="4">
        <f t="shared" si="19"/>
        <v>0.2489922480620155</v>
      </c>
      <c r="R24" s="4">
        <f t="shared" si="19"/>
        <v>0.17802932853100079</v>
      </c>
      <c r="S24" s="6">
        <f t="shared" si="15"/>
        <v>0.15892477690183265</v>
      </c>
      <c r="T24" s="4">
        <v>0.18</v>
      </c>
      <c r="U24" s="4">
        <v>0.18</v>
      </c>
      <c r="V24" s="4">
        <v>0.18</v>
      </c>
      <c r="W24" s="4">
        <v>0.18</v>
      </c>
    </row>
    <row r="26" spans="1:23" x14ac:dyDescent="0.25">
      <c r="B26" t="s">
        <v>27</v>
      </c>
      <c r="P26" s="3">
        <v>4551</v>
      </c>
      <c r="Q26" s="3">
        <v>3156</v>
      </c>
      <c r="R26" s="3">
        <v>3303</v>
      </c>
      <c r="T26" s="3">
        <f>T5*T27</f>
        <v>3607.7400000000002</v>
      </c>
      <c r="U26" s="3">
        <f t="shared" ref="U26:W26" si="20">U5*U27</f>
        <v>3715.9722000000002</v>
      </c>
      <c r="V26" s="3">
        <f t="shared" si="20"/>
        <v>3827.4513660000002</v>
      </c>
      <c r="W26" s="3">
        <f t="shared" si="20"/>
        <v>3980.5494206400008</v>
      </c>
    </row>
    <row r="27" spans="1:23" s="4" customFormat="1" x14ac:dyDescent="0.25">
      <c r="A27"/>
      <c r="B27" t="s">
        <v>28</v>
      </c>
      <c r="C27"/>
      <c r="D27"/>
      <c r="E27"/>
      <c r="F27"/>
      <c r="G27"/>
      <c r="H27"/>
      <c r="I27"/>
      <c r="J27"/>
      <c r="K27"/>
      <c r="L27"/>
      <c r="M27"/>
      <c r="N27"/>
      <c r="P27" s="4">
        <f>P26/P5</f>
        <v>4.497168888405783E-2</v>
      </c>
      <c r="Q27" s="4">
        <f t="shared" ref="Q27:R27" si="21">Q26/Q5</f>
        <v>3.0850138317318501E-2</v>
      </c>
      <c r="R27" s="4">
        <f t="shared" si="21"/>
        <v>3.7353689567430022E-2</v>
      </c>
      <c r="T27" s="4">
        <v>0.04</v>
      </c>
      <c r="U27" s="4">
        <v>0.04</v>
      </c>
      <c r="V27" s="4">
        <v>0.04</v>
      </c>
      <c r="W27" s="4">
        <v>0.04</v>
      </c>
    </row>
    <row r="28" spans="1:23" x14ac:dyDescent="0.25">
      <c r="B28" t="s">
        <v>29</v>
      </c>
      <c r="Q28" s="3">
        <f>12482+378+5281+4776+10827-18598-8874-15542</f>
        <v>-9270</v>
      </c>
      <c r="R28" s="3">
        <f>9343+4643+3622+10973-19389-6805-15318</f>
        <v>-12931</v>
      </c>
      <c r="T28" s="3">
        <f>T5*T29</f>
        <v>-10823.22</v>
      </c>
      <c r="U28" s="3">
        <f t="shared" ref="U28:W28" si="22">U5*U29</f>
        <v>-11147.9166</v>
      </c>
      <c r="V28" s="3">
        <f t="shared" si="22"/>
        <v>-11482.354098</v>
      </c>
      <c r="W28" s="3">
        <f t="shared" si="22"/>
        <v>-11941.648261920001</v>
      </c>
    </row>
    <row r="29" spans="1:23" s="4" customFormat="1" x14ac:dyDescent="0.25">
      <c r="A29"/>
      <c r="B29" t="s">
        <v>28</v>
      </c>
      <c r="C29"/>
      <c r="D29"/>
      <c r="E29"/>
      <c r="F29"/>
      <c r="G29"/>
      <c r="H29"/>
      <c r="I29"/>
      <c r="J29"/>
      <c r="K29"/>
      <c r="L29"/>
      <c r="M29"/>
      <c r="N29"/>
      <c r="Q29" s="4">
        <f t="shared" ref="Q29" si="23">Q28/Q5</f>
        <v>-9.0614950000488748E-2</v>
      </c>
      <c r="R29" s="4">
        <f>R28/R5</f>
        <v>-0.14623692394684762</v>
      </c>
      <c r="T29" s="4">
        <v>-0.12</v>
      </c>
      <c r="U29" s="4">
        <v>-0.12</v>
      </c>
      <c r="V29" s="4">
        <v>-0.12</v>
      </c>
      <c r="W29" s="4">
        <v>-0.12</v>
      </c>
    </row>
    <row r="30" spans="1:23" x14ac:dyDescent="0.25">
      <c r="B30" t="s">
        <v>30</v>
      </c>
      <c r="R30" s="9">
        <f>Q28-R28</f>
        <v>3661</v>
      </c>
      <c r="T30" s="9">
        <f>R28-T28</f>
        <v>-2107.7800000000007</v>
      </c>
      <c r="U30" s="9">
        <f>T28-U28</f>
        <v>324.69660000000113</v>
      </c>
      <c r="V30" s="10">
        <f t="shared" ref="V30:W30" si="24">U28-V28</f>
        <v>334.43749799999932</v>
      </c>
      <c r="W30" s="9">
        <f t="shared" si="24"/>
        <v>459.29416392000167</v>
      </c>
    </row>
    <row r="31" spans="1:23" x14ac:dyDescent="0.25">
      <c r="B31" t="s">
        <v>31</v>
      </c>
      <c r="P31" s="3">
        <v>2796</v>
      </c>
      <c r="Q31" s="3">
        <v>3003</v>
      </c>
      <c r="R31" s="3">
        <v>2756</v>
      </c>
      <c r="T31" s="3">
        <f>T5*T32</f>
        <v>2705.8049999999998</v>
      </c>
      <c r="U31" s="3">
        <f t="shared" ref="U31:W31" si="25">U5*U32</f>
        <v>2786.9791500000001</v>
      </c>
      <c r="V31" s="3">
        <f t="shared" si="25"/>
        <v>2870.5885244999999</v>
      </c>
      <c r="W31" s="3">
        <f t="shared" si="25"/>
        <v>2985.4120654800004</v>
      </c>
    </row>
    <row r="32" spans="1:23" s="4" customFormat="1" x14ac:dyDescent="0.25">
      <c r="A32"/>
      <c r="B32" t="s">
        <v>28</v>
      </c>
      <c r="C32"/>
      <c r="D32"/>
      <c r="E32"/>
      <c r="F32"/>
      <c r="G32"/>
      <c r="H32"/>
      <c r="I32"/>
      <c r="J32"/>
      <c r="K32"/>
      <c r="L32"/>
      <c r="M32"/>
      <c r="N32"/>
      <c r="P32" s="4">
        <f t="shared" ref="P32:Q32" si="26">P31/P5</f>
        <v>2.7629277547753392E-2</v>
      </c>
      <c r="Q32" s="4">
        <f t="shared" si="26"/>
        <v>2.9354551763912377E-2</v>
      </c>
      <c r="R32" s="4">
        <f>R31/R5</f>
        <v>3.1167656205824144E-2</v>
      </c>
      <c r="T32" s="4">
        <v>0.03</v>
      </c>
      <c r="U32" s="4">
        <v>0.03</v>
      </c>
      <c r="V32" s="4">
        <v>0.03</v>
      </c>
      <c r="W32" s="4">
        <v>0.03</v>
      </c>
    </row>
    <row r="34" spans="2:23" x14ac:dyDescent="0.25">
      <c r="B34" t="s">
        <v>32</v>
      </c>
      <c r="P34" s="3">
        <f>P13</f>
        <v>4659</v>
      </c>
      <c r="Q34" s="3">
        <f t="shared" ref="Q34:W34" si="27">Q13</f>
        <v>5771</v>
      </c>
      <c r="R34" s="3">
        <f t="shared" si="27"/>
        <v>5211</v>
      </c>
      <c r="S34" s="3"/>
      <c r="T34" s="3">
        <f t="shared" si="27"/>
        <v>4509.6750000000002</v>
      </c>
      <c r="U34" s="3">
        <f t="shared" si="27"/>
        <v>5573.9583000000002</v>
      </c>
      <c r="V34" s="3">
        <f t="shared" si="27"/>
        <v>5741.1770489999999</v>
      </c>
      <c r="W34" s="3">
        <f t="shared" si="27"/>
        <v>5970.8241309600007</v>
      </c>
    </row>
    <row r="35" spans="2:23" x14ac:dyDescent="0.25">
      <c r="B35" t="s">
        <v>33</v>
      </c>
      <c r="P35" s="3">
        <f>P34*P24</f>
        <v>771.64933310822221</v>
      </c>
      <c r="Q35" s="3">
        <f t="shared" ref="Q35:W35" si="28">Q34*Q24</f>
        <v>1436.9342635658916</v>
      </c>
      <c r="R35" s="3">
        <f t="shared" si="28"/>
        <v>927.71083097504504</v>
      </c>
      <c r="S35" s="3"/>
      <c r="T35" s="3">
        <f t="shared" si="28"/>
        <v>811.74149999999997</v>
      </c>
      <c r="U35" s="3">
        <f t="shared" si="28"/>
        <v>1003.312494</v>
      </c>
      <c r="V35" s="3">
        <f t="shared" si="28"/>
        <v>1033.4118688199999</v>
      </c>
      <c r="W35" s="3">
        <f t="shared" si="28"/>
        <v>1074.7483435728002</v>
      </c>
    </row>
    <row r="36" spans="2:23" x14ac:dyDescent="0.25">
      <c r="B36" t="s">
        <v>34</v>
      </c>
      <c r="P36" s="3">
        <f>P34-P35</f>
        <v>3887.350666891778</v>
      </c>
      <c r="Q36" s="3">
        <f t="shared" ref="Q36:W36" si="29">Q34-Q35</f>
        <v>4334.0657364341087</v>
      </c>
      <c r="R36" s="3">
        <f t="shared" si="29"/>
        <v>4283.2891690249553</v>
      </c>
      <c r="S36" s="3"/>
      <c r="T36" s="3">
        <f t="shared" si="29"/>
        <v>3697.9335000000001</v>
      </c>
      <c r="U36" s="3">
        <f t="shared" si="29"/>
        <v>4570.6458060000004</v>
      </c>
      <c r="V36" s="3">
        <f t="shared" si="29"/>
        <v>4707.7651801800002</v>
      </c>
      <c r="W36" s="3">
        <f t="shared" si="29"/>
        <v>4896.0757873872008</v>
      </c>
    </row>
    <row r="37" spans="2:23" x14ac:dyDescent="0.25">
      <c r="B37" s="18" t="s">
        <v>35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>
        <f>T36+T26+T30-T31</f>
        <v>2492.0885000000003</v>
      </c>
      <c r="U37" s="21">
        <f t="shared" ref="U37:W37" si="30">U36+U26+U30-U31</f>
        <v>5824.3354560000016</v>
      </c>
      <c r="V37" s="21">
        <f t="shared" si="30"/>
        <v>5999.0655196799989</v>
      </c>
      <c r="W37" s="21">
        <f t="shared" si="30"/>
        <v>6350.5073064672033</v>
      </c>
    </row>
    <row r="39" spans="2:23" x14ac:dyDescent="0.25">
      <c r="B39" t="s">
        <v>36</v>
      </c>
      <c r="P39" s="7">
        <f ca="1">TODAY()</f>
        <v>45656</v>
      </c>
    </row>
    <row r="40" spans="2:23" x14ac:dyDescent="0.25">
      <c r="B40" t="s">
        <v>37</v>
      </c>
      <c r="P40" s="4">
        <f ca="1">(T1-valDate)/365</f>
        <v>9.3150684931506855E-2</v>
      </c>
    </row>
    <row r="41" spans="2:23" x14ac:dyDescent="0.25">
      <c r="B41" t="s">
        <v>38</v>
      </c>
      <c r="P41" s="13">
        <v>8.2000000000000003E-2</v>
      </c>
    </row>
    <row r="42" spans="2:23" x14ac:dyDescent="0.25">
      <c r="B42" t="s">
        <v>39</v>
      </c>
      <c r="P42" s="13">
        <v>0.02</v>
      </c>
    </row>
    <row r="43" spans="2:23" x14ac:dyDescent="0.25">
      <c r="B43" t="s">
        <v>49</v>
      </c>
      <c r="P43" s="13">
        <v>8.2000000000000003E-2</v>
      </c>
    </row>
    <row r="45" spans="2:23" x14ac:dyDescent="0.25">
      <c r="B45" s="18" t="s">
        <v>40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0">
        <f ca="1">T37/(1+discount)^((T1-valDate)/365)</f>
        <v>2473.8602836354817</v>
      </c>
      <c r="U45" s="20">
        <f ca="1">U37/(1+discount)^((U1-valDate)/365)</f>
        <v>5343.5616819413153</v>
      </c>
      <c r="V45" s="20">
        <f ca="1">V37/(1+discount)^((V1-valDate)/365)</f>
        <v>5086.7546510162219</v>
      </c>
      <c r="W45" s="20">
        <f ca="1">W37/(1+discount)^((W1-valDate)/365)</f>
        <v>4976.6642823616485</v>
      </c>
    </row>
    <row r="47" spans="2:23" x14ac:dyDescent="0.25">
      <c r="B47" t="s">
        <v>41</v>
      </c>
      <c r="P47" s="3">
        <f>W37*(1+discount)</f>
        <v>6871.2489055975147</v>
      </c>
    </row>
    <row r="48" spans="2:23" x14ac:dyDescent="0.25">
      <c r="B48" t="s">
        <v>42</v>
      </c>
      <c r="P48" s="3">
        <f>P47/(discount-tgr)</f>
        <v>110826.59525157281</v>
      </c>
      <c r="U48" s="23" t="s">
        <v>50</v>
      </c>
      <c r="V48" s="23"/>
      <c r="W48" s="23"/>
    </row>
    <row r="49" spans="2:24" x14ac:dyDescent="0.25">
      <c r="B49" t="s">
        <v>43</v>
      </c>
      <c r="P49" s="3">
        <f ca="1">P48/(1+discount)^((W1-valDate)/365)</f>
        <v>86850.818605085544</v>
      </c>
      <c r="S49" s="14">
        <f ca="1">P55</f>
        <v>174.70392197259767</v>
      </c>
      <c r="T49" s="15">
        <v>7.0000000000000007E-2</v>
      </c>
      <c r="U49" s="15">
        <v>7.4999999999999997E-2</v>
      </c>
      <c r="V49" s="15">
        <v>8.2000000000000003E-2</v>
      </c>
      <c r="W49" s="15">
        <v>0.09</v>
      </c>
      <c r="X49" s="15">
        <v>9.5000000000000001E-2</v>
      </c>
    </row>
    <row r="50" spans="2:24" x14ac:dyDescent="0.25">
      <c r="B50" t="s">
        <v>44</v>
      </c>
      <c r="P50" s="3">
        <f ca="1">SUM(T45:W45)</f>
        <v>17880.84089895467</v>
      </c>
      <c r="S50" s="16">
        <v>-0.01</v>
      </c>
      <c r="T50" s="2">
        <f t="dataTable" ref="T50:X54" dt2D="1" dtr="1" r1="P41" r2="P42" ca="1"/>
        <v>150.06290864253936</v>
      </c>
      <c r="U50" s="2">
        <v>143.28862011213326</v>
      </c>
      <c r="V50" s="2">
        <v>135.02765535680336</v>
      </c>
      <c r="W50" s="2">
        <v>126.98504969111272</v>
      </c>
      <c r="X50" s="2">
        <v>122.57201640311231</v>
      </c>
    </row>
    <row r="51" spans="2:24" x14ac:dyDescent="0.25">
      <c r="B51" t="s">
        <v>45</v>
      </c>
      <c r="P51" s="3">
        <f ca="1">P49+P50</f>
        <v>104731.65950404022</v>
      </c>
      <c r="S51" s="16">
        <v>0.01</v>
      </c>
      <c r="T51" s="2">
        <v>182.23771637127476</v>
      </c>
      <c r="U51" s="2">
        <v>170.96994937923688</v>
      </c>
      <c r="V51" s="2">
        <v>157.80477137698156</v>
      </c>
      <c r="W51" s="2">
        <v>145.55593403448418</v>
      </c>
      <c r="X51" s="2">
        <v>139.05948406506872</v>
      </c>
    </row>
    <row r="52" spans="2:24" x14ac:dyDescent="0.25">
      <c r="B52" t="s">
        <v>7</v>
      </c>
      <c r="P52" s="3">
        <f>Main!G5</f>
        <v>4550</v>
      </c>
      <c r="S52" s="16">
        <v>0.02</v>
      </c>
      <c r="T52" s="2">
        <v>207.97756255426307</v>
      </c>
      <c r="U52" s="2">
        <v>192.36006744927153</v>
      </c>
      <c r="V52" s="17">
        <v>174.70392197259767</v>
      </c>
      <c r="W52" s="2">
        <v>158.82085142260669</v>
      </c>
      <c r="X52" s="2">
        <v>150.60071142843822</v>
      </c>
    </row>
    <row r="53" spans="2:24" x14ac:dyDescent="0.25">
      <c r="B53" t="s">
        <v>8</v>
      </c>
      <c r="P53" s="3">
        <f>Main!G6</f>
        <v>24522</v>
      </c>
      <c r="S53" s="16">
        <v>2.5000000000000001E-2</v>
      </c>
      <c r="T53" s="2">
        <v>225.13746000958861</v>
      </c>
      <c r="U53" s="2">
        <v>206.26364419479404</v>
      </c>
      <c r="V53" s="2">
        <v>185.37706971719732</v>
      </c>
      <c r="W53" s="2">
        <v>166.98387750760517</v>
      </c>
      <c r="X53" s="2">
        <v>157.60788518476966</v>
      </c>
    </row>
    <row r="54" spans="2:24" x14ac:dyDescent="0.25">
      <c r="B54" t="s">
        <v>46</v>
      </c>
      <c r="P54" s="3">
        <f ca="1">P51-P52+P53</f>
        <v>124703.65950404022</v>
      </c>
      <c r="S54" s="16">
        <v>0.03</v>
      </c>
      <c r="T54" s="2">
        <v>246.58733182874556</v>
      </c>
      <c r="U54" s="2">
        <v>223.25690466154376</v>
      </c>
      <c r="V54" s="2">
        <v>198.10274587421995</v>
      </c>
      <c r="W54" s="2">
        <v>176.50740794010335</v>
      </c>
      <c r="X54" s="2">
        <v>165.69308567284446</v>
      </c>
    </row>
    <row r="55" spans="2:24" x14ac:dyDescent="0.25">
      <c r="B55" s="11" t="s">
        <v>47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>
        <f ca="1">P54/Main!G3</f>
        <v>174.70392197259767</v>
      </c>
    </row>
    <row r="56" spans="2:24" x14ac:dyDescent="0.25">
      <c r="B56" t="s">
        <v>48</v>
      </c>
      <c r="P56" s="4">
        <f ca="1">(P55/Main!G2)-1</f>
        <v>0.52699870616727273</v>
      </c>
    </row>
  </sheetData>
  <mergeCells count="1">
    <mergeCell ref="U48:W48"/>
  </mergeCells>
  <hyperlinks>
    <hyperlink ref="A1" location="Main!A1" display="Main" xr:uid="{027F8A00-437F-472A-85BC-E7062068A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Model</vt:lpstr>
      <vt:lpstr>discount</vt:lpstr>
      <vt:lpstr>tgr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2024-09-15T01:32:29Z</dcterms:created>
  <dcterms:modified xsi:type="dcterms:W3CDTF">2024-12-30T23:13:12Z</dcterms:modified>
</cp:coreProperties>
</file>