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e\Dropbox\Jayden\Stocks\"/>
    </mc:Choice>
  </mc:AlternateContent>
  <xr:revisionPtr revIDLastSave="0" documentId="13_ncr:1_{B25D54D3-4ACA-429F-BA67-90E51ED88299}" xr6:coauthVersionLast="47" xr6:coauthVersionMax="47" xr10:uidLastSave="{00000000-0000-0000-0000-000000000000}"/>
  <bookViews>
    <workbookView xWindow="-120" yWindow="-120" windowWidth="29040" windowHeight="15720" activeTab="2" xr2:uid="{0A02B35C-C8D3-47AE-BC69-6E6CD0179C3C}"/>
  </bookViews>
  <sheets>
    <sheet name="Main" sheetId="1" r:id="rId1"/>
    <sheet name="Financials" sheetId="2" r:id="rId2"/>
    <sheet name="Model" sheetId="3" r:id="rId3"/>
  </sheets>
  <definedNames>
    <definedName name="Cash">Main!$F$5</definedName>
    <definedName name="d">Model!$C$37</definedName>
    <definedName name="Debt">Main!$F$6</definedName>
    <definedName name="g">Model!$C$38</definedName>
    <definedName name="Price">Main!$F$2</definedName>
    <definedName name="Shares">Main!$F$3</definedName>
    <definedName name="v">Model!$C$35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3" l="1"/>
  <c r="J33" i="3"/>
  <c r="K33" i="3"/>
  <c r="C42" i="3" s="1"/>
  <c r="C43" i="3" s="1"/>
  <c r="C48" i="3"/>
  <c r="C47" i="3"/>
  <c r="C35" i="3"/>
  <c r="C36" i="3" s="1"/>
  <c r="I33" i="3"/>
  <c r="H33" i="3"/>
  <c r="K30" i="3"/>
  <c r="J30" i="3"/>
  <c r="I30" i="3"/>
  <c r="H30" i="3"/>
  <c r="G30" i="3"/>
  <c r="E30" i="3"/>
  <c r="D30" i="3"/>
  <c r="C31" i="3"/>
  <c r="C32" i="3" s="1"/>
  <c r="C30" i="3"/>
  <c r="K27" i="3"/>
  <c r="J27" i="3"/>
  <c r="I27" i="3"/>
  <c r="H27" i="3"/>
  <c r="G27" i="3"/>
  <c r="K26" i="3"/>
  <c r="J26" i="3"/>
  <c r="I26" i="3"/>
  <c r="H26" i="3"/>
  <c r="G26" i="3"/>
  <c r="K24" i="3"/>
  <c r="J24" i="3"/>
  <c r="I24" i="3"/>
  <c r="H24" i="3"/>
  <c r="G24" i="3"/>
  <c r="K10" i="3"/>
  <c r="J10" i="3"/>
  <c r="I10" i="3"/>
  <c r="H10" i="3"/>
  <c r="K9" i="3"/>
  <c r="K11" i="3" s="1"/>
  <c r="J9" i="3"/>
  <c r="J11" i="3" s="1"/>
  <c r="I9" i="3"/>
  <c r="I11" i="3" s="1"/>
  <c r="H9" i="3"/>
  <c r="H11" i="3" s="1"/>
  <c r="K8" i="3"/>
  <c r="J8" i="3"/>
  <c r="I8" i="3"/>
  <c r="H8" i="3"/>
  <c r="I6" i="3"/>
  <c r="I7" i="3" s="1"/>
  <c r="H6" i="3"/>
  <c r="H7" i="3" s="1"/>
  <c r="K5" i="3"/>
  <c r="K6" i="3" s="1"/>
  <c r="K7" i="3" s="1"/>
  <c r="J5" i="3"/>
  <c r="J6" i="3" s="1"/>
  <c r="J7" i="3" s="1"/>
  <c r="I5" i="3"/>
  <c r="H5" i="3"/>
  <c r="I4" i="3"/>
  <c r="H4" i="3"/>
  <c r="G12" i="3"/>
  <c r="G13" i="3" s="1"/>
  <c r="G11" i="3"/>
  <c r="G10" i="3"/>
  <c r="G8" i="3"/>
  <c r="G6" i="3"/>
  <c r="G7" i="3" s="1"/>
  <c r="G9" i="3"/>
  <c r="G4" i="3"/>
  <c r="G5" i="3"/>
  <c r="I3" i="3"/>
  <c r="J3" i="3" s="1"/>
  <c r="K3" i="3" s="1"/>
  <c r="H3" i="3"/>
  <c r="G3" i="3"/>
  <c r="E26" i="3"/>
  <c r="E25" i="3"/>
  <c r="D25" i="3"/>
  <c r="D24" i="3"/>
  <c r="E24" i="3"/>
  <c r="E28" i="3"/>
  <c r="D28" i="3"/>
  <c r="C28" i="3"/>
  <c r="C27" i="3"/>
  <c r="D27" i="3"/>
  <c r="E23" i="3"/>
  <c r="D23" i="3"/>
  <c r="C23" i="3"/>
  <c r="C22" i="3"/>
  <c r="D22" i="3"/>
  <c r="E22" i="3"/>
  <c r="F20" i="3"/>
  <c r="F19" i="3"/>
  <c r="F18" i="3"/>
  <c r="F17" i="3"/>
  <c r="F16" i="3"/>
  <c r="F15" i="3"/>
  <c r="I1" i="3"/>
  <c r="J1" i="3" s="1"/>
  <c r="K1" i="3" s="1"/>
  <c r="H1" i="3"/>
  <c r="G1" i="3"/>
  <c r="I2" i="3"/>
  <c r="J2" i="3" s="1"/>
  <c r="K2" i="3" s="1"/>
  <c r="H2" i="3"/>
  <c r="E20" i="3"/>
  <c r="D20" i="3"/>
  <c r="C20" i="3"/>
  <c r="E19" i="3"/>
  <c r="D19" i="3"/>
  <c r="C19" i="3"/>
  <c r="E18" i="3"/>
  <c r="D18" i="3"/>
  <c r="C18" i="3"/>
  <c r="E17" i="3"/>
  <c r="D17" i="3"/>
  <c r="C17" i="3"/>
  <c r="E16" i="3"/>
  <c r="D16" i="3"/>
  <c r="C16" i="3"/>
  <c r="E15" i="3"/>
  <c r="D15" i="3"/>
  <c r="D2" i="3"/>
  <c r="E2" i="3" s="1"/>
  <c r="D1" i="3"/>
  <c r="E1" i="3" s="1"/>
  <c r="D40" i="2"/>
  <c r="C40" i="2"/>
  <c r="D39" i="2"/>
  <c r="C39" i="2"/>
  <c r="D38" i="2"/>
  <c r="C38" i="2"/>
  <c r="D37" i="2"/>
  <c r="C37" i="2"/>
  <c r="D36" i="2"/>
  <c r="C36" i="2"/>
  <c r="D35" i="2"/>
  <c r="C30" i="2"/>
  <c r="C27" i="2"/>
  <c r="C26" i="2"/>
  <c r="C25" i="2"/>
  <c r="C29" i="2" s="1"/>
  <c r="C31" i="2" s="1"/>
  <c r="C33" i="2" s="1"/>
  <c r="D33" i="2"/>
  <c r="D31" i="2"/>
  <c r="D30" i="2"/>
  <c r="D29" i="2"/>
  <c r="D26" i="2"/>
  <c r="D27" i="2"/>
  <c r="D25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20" i="2"/>
  <c r="D19" i="2"/>
  <c r="D18" i="2"/>
  <c r="D17" i="2"/>
  <c r="D16" i="2"/>
  <c r="C20" i="2"/>
  <c r="C19" i="2"/>
  <c r="C18" i="2"/>
  <c r="C17" i="2"/>
  <c r="C16" i="2"/>
  <c r="D15" i="2"/>
  <c r="D1" i="2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G2" i="1"/>
  <c r="F7" i="1"/>
  <c r="F6" i="1"/>
  <c r="F4" i="1"/>
  <c r="G40" i="3" l="1"/>
  <c r="C44" i="3"/>
  <c r="J40" i="3"/>
  <c r="H40" i="3"/>
  <c r="I40" i="3"/>
  <c r="K40" i="3"/>
  <c r="D32" i="3"/>
  <c r="D31" i="3"/>
  <c r="E31" i="3"/>
  <c r="E32" i="3" s="1"/>
  <c r="G31" i="3"/>
  <c r="G32" i="3" s="1"/>
  <c r="H31" i="3"/>
  <c r="H32" i="3" s="1"/>
  <c r="I31" i="3"/>
  <c r="I32" i="3" s="1"/>
  <c r="J31" i="3"/>
  <c r="J32" i="3" s="1"/>
  <c r="K31" i="3"/>
  <c r="K32" i="3" s="1"/>
  <c r="H12" i="3"/>
  <c r="H13" i="3" s="1"/>
  <c r="J12" i="3"/>
  <c r="J13" i="3" s="1"/>
  <c r="K12" i="3"/>
  <c r="K13" i="3" s="1"/>
  <c r="I12" i="3"/>
  <c r="I13" i="3" s="1"/>
  <c r="J4" i="3"/>
  <c r="K4" i="3"/>
  <c r="C45" i="3" l="1"/>
  <c r="C46" i="3" s="1"/>
  <c r="C49" i="3" s="1"/>
  <c r="C50" i="3" s="1"/>
  <c r="C51" i="3" l="1"/>
  <c r="F44" i="3"/>
</calcChain>
</file>

<file path=xl/sharedStrings.xml><?xml version="1.0" encoding="utf-8"?>
<sst xmlns="http://schemas.openxmlformats.org/spreadsheetml/2006/main" count="114" uniqueCount="69">
  <si>
    <t>Netflix Inc.</t>
  </si>
  <si>
    <t>Price</t>
  </si>
  <si>
    <t>Shares</t>
  </si>
  <si>
    <t>MC</t>
  </si>
  <si>
    <t>Cash</t>
  </si>
  <si>
    <t>Debt</t>
  </si>
  <si>
    <t>EV</t>
  </si>
  <si>
    <t>Q2 24</t>
  </si>
  <si>
    <t>Ticker</t>
  </si>
  <si>
    <t>NFLX</t>
  </si>
  <si>
    <t>Main</t>
  </si>
  <si>
    <t>Other Income</t>
  </si>
  <si>
    <t>Income Taxes</t>
  </si>
  <si>
    <t>Net Income</t>
  </si>
  <si>
    <t>Revenue</t>
  </si>
  <si>
    <t>COGS</t>
  </si>
  <si>
    <t>Gross Profit</t>
  </si>
  <si>
    <t>OpEx</t>
  </si>
  <si>
    <t>SG&amp;A</t>
  </si>
  <si>
    <t>R&amp;D</t>
  </si>
  <si>
    <t>Operating Income</t>
  </si>
  <si>
    <t>Earnings Before Taxes</t>
  </si>
  <si>
    <t>Revenue Growth y/y</t>
  </si>
  <si>
    <t>Gross Margin</t>
  </si>
  <si>
    <t>Operating Margin</t>
  </si>
  <si>
    <t>Tax Rate</t>
  </si>
  <si>
    <t>Other Income % of Rev</t>
  </si>
  <si>
    <t>R&amp;D % of Rev</t>
  </si>
  <si>
    <t>x</t>
  </si>
  <si>
    <t>Q1 24</t>
  </si>
  <si>
    <t>Cash &amp; Equivalents</t>
  </si>
  <si>
    <t>Total Current Assets</t>
  </si>
  <si>
    <t>Total Assets</t>
  </si>
  <si>
    <t>AP</t>
  </si>
  <si>
    <t>Deferred Revenue</t>
  </si>
  <si>
    <t>Short Term Debt</t>
  </si>
  <si>
    <t>Total Current Liabilities</t>
  </si>
  <si>
    <t>Long Term Debt</t>
  </si>
  <si>
    <t>Total Liabilities</t>
  </si>
  <si>
    <t>Retained Earnings</t>
  </si>
  <si>
    <t>Total Stockholder's Equity</t>
  </si>
  <si>
    <t>AVG</t>
  </si>
  <si>
    <t>D&amp;A</t>
  </si>
  <si>
    <t>% of Revenue</t>
  </si>
  <si>
    <t>Working Capital</t>
  </si>
  <si>
    <t>CIWC</t>
  </si>
  <si>
    <t>CapEx</t>
  </si>
  <si>
    <t>Operating Taxes</t>
  </si>
  <si>
    <t>NOPAT</t>
  </si>
  <si>
    <t>UFCF</t>
  </si>
  <si>
    <t>Valuation Date</t>
  </si>
  <si>
    <t>Stub %</t>
  </si>
  <si>
    <t>Discount Rate</t>
  </si>
  <si>
    <t>TGR</t>
  </si>
  <si>
    <t>PV of UFCF</t>
  </si>
  <si>
    <t>Final FCF</t>
  </si>
  <si>
    <t>Terminal Value</t>
  </si>
  <si>
    <t>PV of Terminal Value</t>
  </si>
  <si>
    <t>Sum of Stage 1 CF</t>
  </si>
  <si>
    <t>Enterprise Value</t>
  </si>
  <si>
    <t>Equity Value</t>
  </si>
  <si>
    <t>Share Price</t>
  </si>
  <si>
    <t>Implied Upside</t>
  </si>
  <si>
    <t>Sensitivity Analysis</t>
  </si>
  <si>
    <t>Inc. in Deleware</t>
  </si>
  <si>
    <t>HQ in Los Gatos, Cali</t>
  </si>
  <si>
    <t>Head Count</t>
  </si>
  <si>
    <t>Memberships</t>
  </si>
  <si>
    <t>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</si>
</sst>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_(* #,##0_);_(* \(#,##0\);_(* &quot;-&quot;??_);_(@_)"/>
    <numFmt numFmtId="172" formatCode="0.0%"/>
    <numFmt numFmtId="174" formatCode="_([$$-409]* #,##0.00_);_([$$-409]* \(#,##0.00\);_([$$-409]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color theme="10"/>
      <name val="Arial"/>
      <family val="2"/>
    </font>
    <font>
      <sz val="10"/>
      <color theme="3" tint="0.499984740745262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3" applyFont="1"/>
    <xf numFmtId="14" fontId="2" fillId="0" borderId="0" xfId="0" applyNumberFormat="1" applyFont="1"/>
    <xf numFmtId="0" fontId="2" fillId="0" borderId="1" xfId="0" applyFont="1" applyBorder="1"/>
    <xf numFmtId="165" fontId="2" fillId="0" borderId="0" xfId="1" applyNumberFormat="1" applyFont="1"/>
    <xf numFmtId="9" fontId="2" fillId="0" borderId="0" xfId="2" applyFont="1"/>
    <xf numFmtId="172" fontId="2" fillId="0" borderId="0" xfId="2" applyNumberFormat="1" applyFont="1"/>
    <xf numFmtId="172" fontId="6" fillId="0" borderId="0" xfId="0" applyNumberFormat="1" applyFont="1"/>
    <xf numFmtId="43" fontId="2" fillId="0" borderId="0" xfId="1" applyFont="1"/>
    <xf numFmtId="165" fontId="2" fillId="0" borderId="0" xfId="0" applyNumberFormat="1" applyFont="1"/>
    <xf numFmtId="165" fontId="3" fillId="0" borderId="0" xfId="0" applyNumberFormat="1" applyFont="1"/>
    <xf numFmtId="165" fontId="3" fillId="0" borderId="0" xfId="1" applyNumberFormat="1" applyFont="1"/>
    <xf numFmtId="43" fontId="3" fillId="0" borderId="0" xfId="1" applyFont="1"/>
    <xf numFmtId="43" fontId="3" fillId="0" borderId="2" xfId="1" applyFont="1" applyBorder="1"/>
    <xf numFmtId="172" fontId="2" fillId="0" borderId="1" xfId="2" applyNumberFormat="1" applyFont="1" applyBorder="1"/>
    <xf numFmtId="172" fontId="2" fillId="0" borderId="3" xfId="2" applyNumberFormat="1" applyFont="1" applyBorder="1"/>
    <xf numFmtId="0" fontId="3" fillId="0" borderId="0" xfId="0" applyFont="1" applyAlignment="1">
      <alignment horizontal="center"/>
    </xf>
    <xf numFmtId="43" fontId="7" fillId="0" borderId="0" xfId="0" applyNumberFormat="1" applyFont="1"/>
    <xf numFmtId="174" fontId="2" fillId="0" borderId="0" xfId="0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7222-4904-4320-AE24-ACB48600D824}">
  <dimension ref="A1:G12"/>
  <sheetViews>
    <sheetView zoomScale="160" zoomScaleNormal="160" workbookViewId="0">
      <selection activeCell="G8" sqref="G8"/>
    </sheetView>
  </sheetViews>
  <sheetFormatPr defaultRowHeight="12.75" x14ac:dyDescent="0.2"/>
  <cols>
    <col min="1" max="1" width="10.7109375" style="1" bestFit="1" customWidth="1"/>
    <col min="2" max="2" width="12.140625" style="1" bestFit="1" customWidth="1"/>
    <col min="3" max="4" width="9.140625" style="1"/>
    <col min="5" max="5" width="10.7109375" style="1" bestFit="1" customWidth="1"/>
    <col min="6" max="6" width="11.85546875" style="1" bestFit="1" customWidth="1"/>
    <col min="7" max="7" width="10.28515625" style="1" bestFit="1" customWidth="1"/>
    <col min="8" max="16384" width="9.140625" style="1"/>
  </cols>
  <sheetData>
    <row r="1" spans="1:7" x14ac:dyDescent="0.2">
      <c r="A1" s="2" t="s">
        <v>0</v>
      </c>
    </row>
    <row r="2" spans="1:7" x14ac:dyDescent="0.2">
      <c r="A2" s="1" t="s">
        <v>8</v>
      </c>
      <c r="B2" s="1" t="s">
        <v>9</v>
      </c>
      <c r="E2" s="1" t="s">
        <v>1</v>
      </c>
      <c r="F2" s="10">
        <v>719.7</v>
      </c>
      <c r="G2" s="4">
        <f ca="1">TODAY()</f>
        <v>45574</v>
      </c>
    </row>
    <row r="3" spans="1:7" x14ac:dyDescent="0.2">
      <c r="E3" s="1" t="s">
        <v>2</v>
      </c>
      <c r="F3" s="6">
        <v>429.16399999999999</v>
      </c>
      <c r="G3" s="1" t="s">
        <v>7</v>
      </c>
    </row>
    <row r="4" spans="1:7" x14ac:dyDescent="0.2">
      <c r="A4" s="1" t="s">
        <v>64</v>
      </c>
      <c r="E4" s="1" t="s">
        <v>3</v>
      </c>
      <c r="F4" s="6">
        <f>F2*F3</f>
        <v>308869.3308</v>
      </c>
    </row>
    <row r="5" spans="1:7" x14ac:dyDescent="0.2">
      <c r="A5" s="1" t="s">
        <v>65</v>
      </c>
      <c r="E5" s="1" t="s">
        <v>4</v>
      </c>
      <c r="F5" s="6">
        <v>6624.9390000000003</v>
      </c>
      <c r="G5" s="1" t="s">
        <v>7</v>
      </c>
    </row>
    <row r="6" spans="1:7" x14ac:dyDescent="0.2">
      <c r="E6" s="1" t="s">
        <v>5</v>
      </c>
      <c r="F6" s="6">
        <f>1800.041+12180</f>
        <v>13980.040999999999</v>
      </c>
      <c r="G6" s="1" t="s">
        <v>7</v>
      </c>
    </row>
    <row r="7" spans="1:7" x14ac:dyDescent="0.2">
      <c r="E7" s="1" t="s">
        <v>6</v>
      </c>
      <c r="F7" s="6">
        <f>F4-F5+F6</f>
        <v>316224.43280000001</v>
      </c>
    </row>
    <row r="10" spans="1:7" x14ac:dyDescent="0.2">
      <c r="B10" s="1" t="s">
        <v>66</v>
      </c>
      <c r="C10" s="6">
        <v>13000</v>
      </c>
    </row>
    <row r="11" spans="1:7" x14ac:dyDescent="0.2">
      <c r="B11" s="1" t="s">
        <v>67</v>
      </c>
      <c r="C11" s="6">
        <v>260276</v>
      </c>
    </row>
    <row r="12" spans="1:7" x14ac:dyDescent="0.2">
      <c r="B12" s="1" t="s">
        <v>68</v>
      </c>
      <c r="C12" s="20">
        <v>11.64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9322-4CA8-432A-9F5F-16DF3F7487CA}">
  <dimension ref="A1:S52"/>
  <sheetViews>
    <sheetView topLeftCell="A43" zoomScale="150" zoomScaleNormal="150" workbookViewId="0">
      <selection activeCell="B24" sqref="B24"/>
    </sheetView>
  </sheetViews>
  <sheetFormatPr defaultRowHeight="12.75" x14ac:dyDescent="0.2"/>
  <cols>
    <col min="1" max="1" width="5.42578125" style="1" bestFit="1" customWidth="1"/>
    <col min="2" max="2" width="23.5703125" style="1" bestFit="1" customWidth="1"/>
    <col min="3" max="4" width="11.28515625" style="6" bestFit="1" customWidth="1"/>
    <col min="5" max="19" width="11.28515625" style="1" bestFit="1" customWidth="1"/>
    <col min="20" max="16384" width="9.140625" style="1"/>
  </cols>
  <sheetData>
    <row r="1" spans="1:19" x14ac:dyDescent="0.2">
      <c r="A1" s="3" t="s">
        <v>10</v>
      </c>
      <c r="C1" s="4">
        <v>39447</v>
      </c>
      <c r="D1" s="4">
        <f>EOMONTH(C1,12)</f>
        <v>39813</v>
      </c>
      <c r="E1" s="4">
        <f t="shared" ref="E1:S1" si="0">EOMONTH(D1,12)</f>
        <v>40178</v>
      </c>
      <c r="F1" s="4">
        <f t="shared" si="0"/>
        <v>40543</v>
      </c>
      <c r="G1" s="4">
        <f t="shared" si="0"/>
        <v>40908</v>
      </c>
      <c r="H1" s="4">
        <f t="shared" si="0"/>
        <v>41274</v>
      </c>
      <c r="I1" s="4">
        <f t="shared" si="0"/>
        <v>41639</v>
      </c>
      <c r="J1" s="4">
        <f t="shared" si="0"/>
        <v>42004</v>
      </c>
      <c r="K1" s="4">
        <f t="shared" si="0"/>
        <v>42369</v>
      </c>
      <c r="L1" s="4">
        <f t="shared" si="0"/>
        <v>42735</v>
      </c>
      <c r="M1" s="4">
        <f t="shared" si="0"/>
        <v>43100</v>
      </c>
      <c r="N1" s="4">
        <f t="shared" si="0"/>
        <v>43465</v>
      </c>
      <c r="O1" s="4">
        <f t="shared" si="0"/>
        <v>43830</v>
      </c>
      <c r="P1" s="4">
        <f t="shared" si="0"/>
        <v>44196</v>
      </c>
      <c r="Q1" s="4">
        <f t="shared" si="0"/>
        <v>44561</v>
      </c>
      <c r="R1" s="4">
        <f t="shared" si="0"/>
        <v>44926</v>
      </c>
      <c r="S1" s="4">
        <f t="shared" si="0"/>
        <v>45291</v>
      </c>
    </row>
    <row r="2" spans="1:19" x14ac:dyDescent="0.2">
      <c r="C2" s="5">
        <v>2007</v>
      </c>
      <c r="D2" s="5">
        <f>C2+1</f>
        <v>2008</v>
      </c>
      <c r="E2" s="5">
        <f t="shared" ref="E2:S2" si="1">D2+1</f>
        <v>2009</v>
      </c>
      <c r="F2" s="5">
        <f t="shared" si="1"/>
        <v>2010</v>
      </c>
      <c r="G2" s="5">
        <f t="shared" si="1"/>
        <v>2011</v>
      </c>
      <c r="H2" s="5">
        <f t="shared" si="1"/>
        <v>2012</v>
      </c>
      <c r="I2" s="5">
        <f t="shared" si="1"/>
        <v>2013</v>
      </c>
      <c r="J2" s="5">
        <f t="shared" si="1"/>
        <v>2014</v>
      </c>
      <c r="K2" s="5">
        <f t="shared" si="1"/>
        <v>2015</v>
      </c>
      <c r="L2" s="5">
        <f t="shared" si="1"/>
        <v>2016</v>
      </c>
      <c r="M2" s="5">
        <f t="shared" si="1"/>
        <v>2017</v>
      </c>
      <c r="N2" s="5">
        <f t="shared" si="1"/>
        <v>2018</v>
      </c>
      <c r="O2" s="5">
        <f t="shared" si="1"/>
        <v>2019</v>
      </c>
      <c r="P2" s="5">
        <f t="shared" si="1"/>
        <v>2020</v>
      </c>
      <c r="Q2" s="5">
        <f t="shared" si="1"/>
        <v>2021</v>
      </c>
      <c r="R2" s="5">
        <f t="shared" si="1"/>
        <v>2022</v>
      </c>
      <c r="S2" s="5">
        <f t="shared" si="1"/>
        <v>2023</v>
      </c>
    </row>
    <row r="3" spans="1:19" x14ac:dyDescent="0.2">
      <c r="B3" s="6" t="s">
        <v>14</v>
      </c>
      <c r="C3" s="6">
        <v>1205.3</v>
      </c>
      <c r="D3" s="6">
        <v>1364.7</v>
      </c>
      <c r="E3" s="6">
        <v>2162.6</v>
      </c>
      <c r="F3" s="6">
        <v>3204.6</v>
      </c>
      <c r="G3" s="6">
        <v>3204.6</v>
      </c>
      <c r="H3" s="6">
        <v>3609.3</v>
      </c>
      <c r="I3" s="6">
        <v>4374.6000000000004</v>
      </c>
      <c r="J3" s="6">
        <v>5504.7</v>
      </c>
      <c r="K3" s="6">
        <v>6779.5</v>
      </c>
      <c r="L3" s="6">
        <v>8830.7000000000007</v>
      </c>
      <c r="M3" s="6">
        <v>11692.7</v>
      </c>
      <c r="N3" s="6">
        <v>15794.3</v>
      </c>
      <c r="O3" s="6">
        <v>20156.400000000001</v>
      </c>
      <c r="P3" s="6">
        <v>24996.1</v>
      </c>
      <c r="Q3" s="6">
        <v>29697.8</v>
      </c>
      <c r="R3" s="6">
        <v>31615.599999999999</v>
      </c>
      <c r="S3" s="6">
        <v>33723.300000000003</v>
      </c>
    </row>
    <row r="4" spans="1:19" x14ac:dyDescent="0.2">
      <c r="B4" s="6" t="s">
        <v>15</v>
      </c>
      <c r="C4" s="6">
        <v>786.2</v>
      </c>
      <c r="D4" s="6">
        <v>910.2</v>
      </c>
      <c r="E4" s="6">
        <v>1357.4</v>
      </c>
      <c r="F4" s="6">
        <v>2039.9</v>
      </c>
      <c r="G4" s="6">
        <v>2039.9</v>
      </c>
      <c r="H4" s="6">
        <v>2652.1</v>
      </c>
      <c r="I4" s="6">
        <v>3117.2</v>
      </c>
      <c r="J4" s="6">
        <v>3752.8</v>
      </c>
      <c r="K4" s="6">
        <v>4591.5</v>
      </c>
      <c r="L4" s="6">
        <v>6257.5</v>
      </c>
      <c r="M4" s="6">
        <v>8033</v>
      </c>
      <c r="N4" s="6">
        <v>9967.5</v>
      </c>
      <c r="O4" s="6">
        <v>12440.2</v>
      </c>
      <c r="P4" s="6">
        <v>15276.3</v>
      </c>
      <c r="Q4" s="6">
        <v>17332.7</v>
      </c>
      <c r="R4" s="6">
        <v>19168.3</v>
      </c>
      <c r="S4" s="6">
        <v>19715.400000000001</v>
      </c>
    </row>
    <row r="5" spans="1:19" x14ac:dyDescent="0.2">
      <c r="B5" s="6" t="s">
        <v>16</v>
      </c>
      <c r="C5" s="6">
        <v>419.2</v>
      </c>
      <c r="D5" s="6">
        <v>454.4</v>
      </c>
      <c r="E5" s="6">
        <v>805.3</v>
      </c>
      <c r="F5" s="6">
        <v>1164.7</v>
      </c>
      <c r="G5" s="6">
        <v>1164.7</v>
      </c>
      <c r="H5" s="6">
        <v>957.2</v>
      </c>
      <c r="I5" s="6">
        <v>1257.4000000000001</v>
      </c>
      <c r="J5" s="6">
        <v>1751.9</v>
      </c>
      <c r="K5" s="6">
        <v>2188</v>
      </c>
      <c r="L5" s="6">
        <v>2573.1999999999998</v>
      </c>
      <c r="M5" s="6">
        <v>3659.7</v>
      </c>
      <c r="N5" s="6">
        <v>5826.8</v>
      </c>
      <c r="O5" s="6">
        <v>7716.2</v>
      </c>
      <c r="P5" s="6">
        <v>9719.7000000000007</v>
      </c>
      <c r="Q5" s="6">
        <v>12365.2</v>
      </c>
      <c r="R5" s="6">
        <v>12447.3</v>
      </c>
      <c r="S5" s="6">
        <v>14007.9</v>
      </c>
    </row>
    <row r="6" spans="1:19" x14ac:dyDescent="0.2">
      <c r="B6" s="6" t="s">
        <v>17</v>
      </c>
      <c r="C6" s="6">
        <v>327.39999999999998</v>
      </c>
      <c r="D6" s="6">
        <v>332.9</v>
      </c>
      <c r="E6" s="6">
        <v>521.6</v>
      </c>
      <c r="F6" s="6">
        <v>788.6</v>
      </c>
      <c r="G6" s="6">
        <v>788.6</v>
      </c>
      <c r="H6" s="6">
        <v>907.2</v>
      </c>
      <c r="I6" s="6">
        <v>1029</v>
      </c>
      <c r="J6" s="6">
        <v>1349.2</v>
      </c>
      <c r="K6" s="6">
        <v>1882.2</v>
      </c>
      <c r="L6" s="6">
        <v>2193.4</v>
      </c>
      <c r="M6" s="6">
        <v>2821</v>
      </c>
      <c r="N6" s="6">
        <v>4221.6000000000004</v>
      </c>
      <c r="O6" s="6">
        <v>5112</v>
      </c>
      <c r="P6" s="6">
        <v>5134.3999999999996</v>
      </c>
      <c r="Q6" s="6">
        <v>6170.7</v>
      </c>
      <c r="R6" s="6">
        <v>6814.4</v>
      </c>
      <c r="S6" s="6">
        <v>7053.9</v>
      </c>
    </row>
    <row r="7" spans="1:19" x14ac:dyDescent="0.2">
      <c r="B7" s="6" t="s">
        <v>18</v>
      </c>
      <c r="C7" s="6">
        <v>52.4</v>
      </c>
      <c r="D7" s="6">
        <v>49.7</v>
      </c>
      <c r="E7" s="6">
        <v>64.5</v>
      </c>
      <c r="F7" s="6">
        <v>126.9</v>
      </c>
      <c r="G7" s="6">
        <v>148.30000000000001</v>
      </c>
      <c r="H7" s="6">
        <v>139</v>
      </c>
      <c r="I7" s="6">
        <v>180.3</v>
      </c>
      <c r="J7" s="6">
        <v>269.7</v>
      </c>
      <c r="K7" s="6">
        <v>407.3</v>
      </c>
      <c r="L7" s="6">
        <v>315.7</v>
      </c>
      <c r="M7" s="6">
        <v>431</v>
      </c>
      <c r="N7" s="6">
        <v>630.29999999999995</v>
      </c>
      <c r="O7" s="6">
        <v>914.4</v>
      </c>
      <c r="P7" s="6">
        <v>1076.5</v>
      </c>
      <c r="Q7" s="6">
        <v>1351.6</v>
      </c>
      <c r="R7" s="6">
        <v>1572.9</v>
      </c>
      <c r="S7" s="6">
        <v>1720.3</v>
      </c>
    </row>
    <row r="8" spans="1:19" x14ac:dyDescent="0.2">
      <c r="B8" s="6" t="s">
        <v>19</v>
      </c>
      <c r="C8" s="6">
        <v>71</v>
      </c>
      <c r="D8" s="6">
        <v>89.9</v>
      </c>
      <c r="E8" s="6">
        <v>163.30000000000001</v>
      </c>
      <c r="F8" s="6">
        <v>259</v>
      </c>
      <c r="G8" s="6">
        <v>259</v>
      </c>
      <c r="H8" s="6">
        <v>329</v>
      </c>
      <c r="I8" s="6">
        <v>378.8</v>
      </c>
      <c r="J8" s="6">
        <v>472.3</v>
      </c>
      <c r="K8" s="6">
        <v>650.79999999999995</v>
      </c>
      <c r="L8" s="6">
        <v>780.2</v>
      </c>
      <c r="M8" s="6">
        <v>953.7</v>
      </c>
      <c r="N8" s="6">
        <v>1221.8</v>
      </c>
      <c r="O8" s="6">
        <v>1545.1</v>
      </c>
      <c r="P8" s="6">
        <v>1829.6</v>
      </c>
      <c r="Q8" s="6">
        <v>2273.9</v>
      </c>
      <c r="R8" s="6">
        <v>2711</v>
      </c>
      <c r="S8" s="6">
        <v>2675.8</v>
      </c>
    </row>
    <row r="9" spans="1:19" x14ac:dyDescent="0.2">
      <c r="B9" s="6" t="s">
        <v>20</v>
      </c>
      <c r="C9" s="6">
        <v>91.8</v>
      </c>
      <c r="D9" s="6">
        <v>121.5</v>
      </c>
      <c r="E9" s="6">
        <v>283.60000000000002</v>
      </c>
      <c r="F9" s="6">
        <v>376.1</v>
      </c>
      <c r="G9" s="6">
        <v>376.1</v>
      </c>
      <c r="H9" s="6">
        <v>50</v>
      </c>
      <c r="I9" s="6">
        <v>228.3</v>
      </c>
      <c r="J9" s="6">
        <v>402.6</v>
      </c>
      <c r="K9" s="6">
        <v>305.8</v>
      </c>
      <c r="L9" s="6">
        <v>379.8</v>
      </c>
      <c r="M9" s="6">
        <v>838.7</v>
      </c>
      <c r="N9" s="6">
        <v>1605.2</v>
      </c>
      <c r="O9" s="6">
        <v>2604.3000000000002</v>
      </c>
      <c r="P9" s="6">
        <v>4585.3</v>
      </c>
      <c r="Q9" s="6">
        <v>6194.5</v>
      </c>
      <c r="R9" s="6">
        <v>5632.8</v>
      </c>
      <c r="S9" s="6">
        <v>6954</v>
      </c>
    </row>
    <row r="10" spans="1:19" x14ac:dyDescent="0.2">
      <c r="B10" s="6" t="s">
        <v>11</v>
      </c>
      <c r="C10" s="6">
        <v>19.2</v>
      </c>
      <c r="D10" s="6">
        <v>10</v>
      </c>
      <c r="E10" s="6">
        <v>-15.9</v>
      </c>
      <c r="F10" s="6">
        <v>-16.5</v>
      </c>
      <c r="G10" s="6">
        <v>-16.5</v>
      </c>
      <c r="H10" s="6">
        <v>-19.5</v>
      </c>
      <c r="I10" s="6">
        <v>-57.3</v>
      </c>
      <c r="J10" s="6">
        <v>-53.3</v>
      </c>
      <c r="K10" s="6">
        <v>-163.9</v>
      </c>
      <c r="L10" s="6">
        <v>-119.3</v>
      </c>
      <c r="M10" s="6">
        <v>-353.4</v>
      </c>
      <c r="N10" s="6">
        <v>-378.8</v>
      </c>
      <c r="O10" s="6">
        <v>-542</v>
      </c>
      <c r="P10" s="6">
        <v>-1385.9</v>
      </c>
      <c r="Q10" s="6">
        <v>-354.4</v>
      </c>
      <c r="R10" s="6">
        <v>-368.9</v>
      </c>
      <c r="S10" s="6">
        <v>-748.6</v>
      </c>
    </row>
    <row r="11" spans="1:19" x14ac:dyDescent="0.2">
      <c r="B11" s="6" t="s">
        <v>21</v>
      </c>
      <c r="C11" s="6">
        <v>110.9</v>
      </c>
      <c r="D11" s="6">
        <v>131.5</v>
      </c>
      <c r="E11" s="6">
        <v>267.7</v>
      </c>
      <c r="F11" s="6">
        <v>359.5</v>
      </c>
      <c r="G11" s="6">
        <v>359.5</v>
      </c>
      <c r="H11" s="6">
        <v>30.5</v>
      </c>
      <c r="I11" s="6">
        <v>171.1</v>
      </c>
      <c r="J11" s="6">
        <v>349.4</v>
      </c>
      <c r="K11" s="6">
        <v>141.9</v>
      </c>
      <c r="L11" s="6">
        <v>260.5</v>
      </c>
      <c r="M11" s="6">
        <v>485.3</v>
      </c>
      <c r="N11" s="6">
        <v>1226.5</v>
      </c>
      <c r="O11" s="6">
        <v>2062.1999999999998</v>
      </c>
      <c r="P11" s="6">
        <v>3199.3</v>
      </c>
      <c r="Q11" s="6">
        <v>5840.1</v>
      </c>
      <c r="R11" s="6">
        <v>5263.9</v>
      </c>
      <c r="S11" s="6">
        <v>6205.4</v>
      </c>
    </row>
    <row r="12" spans="1:19" x14ac:dyDescent="0.2">
      <c r="B12" s="6" t="s">
        <v>12</v>
      </c>
      <c r="C12" s="6">
        <v>44.3</v>
      </c>
      <c r="D12" s="6">
        <v>48.5</v>
      </c>
      <c r="E12" s="6">
        <v>106.8</v>
      </c>
      <c r="F12" s="6">
        <v>133.4</v>
      </c>
      <c r="G12" s="6">
        <v>133.4</v>
      </c>
      <c r="H12" s="6">
        <v>13.3</v>
      </c>
      <c r="I12" s="6">
        <v>58.7</v>
      </c>
      <c r="J12" s="6">
        <v>82.6</v>
      </c>
      <c r="K12" s="6">
        <v>19.2</v>
      </c>
      <c r="L12" s="6">
        <v>73.8</v>
      </c>
      <c r="M12" s="6">
        <v>-73.599999999999994</v>
      </c>
      <c r="N12" s="6">
        <v>15.2</v>
      </c>
      <c r="O12" s="6">
        <v>195.3</v>
      </c>
      <c r="P12" s="6">
        <v>438</v>
      </c>
      <c r="Q12" s="6">
        <v>723.9</v>
      </c>
      <c r="R12" s="6">
        <v>772</v>
      </c>
      <c r="S12" s="6">
        <v>797.4</v>
      </c>
    </row>
    <row r="13" spans="1:19" x14ac:dyDescent="0.2">
      <c r="B13" s="6" t="s">
        <v>13</v>
      </c>
      <c r="C13" s="6">
        <v>66.599999999999994</v>
      </c>
      <c r="D13" s="6">
        <v>83</v>
      </c>
      <c r="E13" s="6">
        <v>160.9</v>
      </c>
      <c r="F13" s="6">
        <v>226.1</v>
      </c>
      <c r="G13" s="6">
        <v>226.1</v>
      </c>
      <c r="H13" s="6">
        <v>17.2</v>
      </c>
      <c r="I13" s="6">
        <v>112.4</v>
      </c>
      <c r="J13" s="6">
        <v>266.8</v>
      </c>
      <c r="K13" s="6">
        <v>122.6</v>
      </c>
      <c r="L13" s="6">
        <v>186.7</v>
      </c>
      <c r="M13" s="6">
        <v>558.9</v>
      </c>
      <c r="N13" s="6">
        <v>1211.2</v>
      </c>
      <c r="O13" s="6">
        <v>1866.9</v>
      </c>
      <c r="P13" s="6">
        <v>2761.4</v>
      </c>
      <c r="Q13" s="6">
        <v>5116.2</v>
      </c>
      <c r="R13" s="6">
        <v>4491.8999999999996</v>
      </c>
      <c r="S13" s="6">
        <v>5408</v>
      </c>
    </row>
    <row r="14" spans="1:19" x14ac:dyDescent="0.2">
      <c r="C14" s="1"/>
      <c r="D14" s="1"/>
    </row>
    <row r="15" spans="1:19" x14ac:dyDescent="0.2">
      <c r="B15" s="6" t="s">
        <v>22</v>
      </c>
      <c r="C15" s="1"/>
      <c r="D15" s="7">
        <f>(D3/C3)-1</f>
        <v>0.13224923255621013</v>
      </c>
      <c r="E15" s="7">
        <f t="shared" ref="E15:S15" si="2">(E3/D3)-1</f>
        <v>0.58467062358027388</v>
      </c>
      <c r="F15" s="7">
        <f t="shared" si="2"/>
        <v>0.48182742994543615</v>
      </c>
      <c r="G15" s="7">
        <f t="shared" si="2"/>
        <v>0</v>
      </c>
      <c r="H15" s="7">
        <f t="shared" si="2"/>
        <v>0.12628721213255956</v>
      </c>
      <c r="I15" s="7">
        <f t="shared" si="2"/>
        <v>0.21203557476518986</v>
      </c>
      <c r="J15" s="7">
        <f t="shared" si="2"/>
        <v>0.25833219037169108</v>
      </c>
      <c r="K15" s="7">
        <f t="shared" si="2"/>
        <v>0.23158391919632315</v>
      </c>
      <c r="L15" s="7">
        <f t="shared" si="2"/>
        <v>0.30255918578066243</v>
      </c>
      <c r="M15" s="7">
        <f t="shared" si="2"/>
        <v>0.32409661748219287</v>
      </c>
      <c r="N15" s="7">
        <f t="shared" si="2"/>
        <v>0.3507829671504441</v>
      </c>
      <c r="O15" s="7">
        <f t="shared" si="2"/>
        <v>0.27618191372837053</v>
      </c>
      <c r="P15" s="7">
        <f t="shared" si="2"/>
        <v>0.24010736044134839</v>
      </c>
      <c r="Q15" s="7">
        <f t="shared" si="2"/>
        <v>0.18809734318553706</v>
      </c>
      <c r="R15" s="7">
        <f t="shared" si="2"/>
        <v>6.4577174066765775E-2</v>
      </c>
      <c r="S15" s="7">
        <f t="shared" si="2"/>
        <v>6.6666455800301172E-2</v>
      </c>
    </row>
    <row r="16" spans="1:19" x14ac:dyDescent="0.2">
      <c r="B16" s="6" t="s">
        <v>23</v>
      </c>
      <c r="C16" s="7">
        <f>C5/C3</f>
        <v>0.34779722890566667</v>
      </c>
      <c r="D16" s="7">
        <f>D5/D3</f>
        <v>0.33296695244376051</v>
      </c>
      <c r="E16" s="7">
        <f t="shared" ref="E16:S16" si="3">E5/E3</f>
        <v>0.37237584389161194</v>
      </c>
      <c r="F16" s="7">
        <f t="shared" si="3"/>
        <v>0.36344629594957251</v>
      </c>
      <c r="G16" s="7">
        <f t="shared" si="3"/>
        <v>0.36344629594957251</v>
      </c>
      <c r="H16" s="7">
        <f t="shared" si="3"/>
        <v>0.26520377912614634</v>
      </c>
      <c r="I16" s="7">
        <f t="shared" si="3"/>
        <v>0.28743199378228868</v>
      </c>
      <c r="J16" s="7">
        <f t="shared" si="3"/>
        <v>0.31825530909949684</v>
      </c>
      <c r="K16" s="7">
        <f t="shared" si="3"/>
        <v>0.32273766501954421</v>
      </c>
      <c r="L16" s="7">
        <f t="shared" si="3"/>
        <v>0.29139252833863677</v>
      </c>
      <c r="M16" s="7">
        <f t="shared" si="3"/>
        <v>0.31299015625133625</v>
      </c>
      <c r="N16" s="7">
        <f t="shared" si="3"/>
        <v>0.36891790076166719</v>
      </c>
      <c r="O16" s="7">
        <f t="shared" si="3"/>
        <v>0.382816375940148</v>
      </c>
      <c r="P16" s="7">
        <f t="shared" si="3"/>
        <v>0.38884866039102106</v>
      </c>
      <c r="Q16" s="7">
        <f t="shared" si="3"/>
        <v>0.41636754237687645</v>
      </c>
      <c r="R16" s="7">
        <f t="shared" si="3"/>
        <v>0.39370753678563747</v>
      </c>
      <c r="S16" s="7">
        <f t="shared" si="3"/>
        <v>0.41537749864337115</v>
      </c>
    </row>
    <row r="17" spans="1:19" x14ac:dyDescent="0.2">
      <c r="B17" s="6" t="s">
        <v>24</v>
      </c>
      <c r="C17" s="7">
        <f>C9/C3</f>
        <v>7.6163610719322997E-2</v>
      </c>
      <c r="D17" s="7">
        <f>D9/D3</f>
        <v>8.9030556166190364E-2</v>
      </c>
      <c r="E17" s="7">
        <f t="shared" ref="E17:S17" si="4">E9/E3</f>
        <v>0.13113844446499587</v>
      </c>
      <c r="F17" s="7">
        <f t="shared" si="4"/>
        <v>0.11736254134681397</v>
      </c>
      <c r="G17" s="7">
        <f t="shared" si="4"/>
        <v>0.11736254134681397</v>
      </c>
      <c r="H17" s="7">
        <f t="shared" si="4"/>
        <v>1.3853101709472751E-2</v>
      </c>
      <c r="I17" s="7">
        <f t="shared" si="4"/>
        <v>5.2187628583184743E-2</v>
      </c>
      <c r="J17" s="7">
        <f t="shared" si="4"/>
        <v>7.3137500681236048E-2</v>
      </c>
      <c r="K17" s="7">
        <f t="shared" si="4"/>
        <v>4.5106571281067924E-2</v>
      </c>
      <c r="L17" s="7">
        <f t="shared" si="4"/>
        <v>4.300904798034131E-2</v>
      </c>
      <c r="M17" s="7">
        <f t="shared" si="4"/>
        <v>7.1728514372215141E-2</v>
      </c>
      <c r="N17" s="7">
        <f t="shared" si="4"/>
        <v>0.1016316012738773</v>
      </c>
      <c r="O17" s="7">
        <f t="shared" si="4"/>
        <v>0.12920461987259629</v>
      </c>
      <c r="P17" s="7">
        <f t="shared" si="4"/>
        <v>0.18344061673621087</v>
      </c>
      <c r="Q17" s="7">
        <f t="shared" si="4"/>
        <v>0.20858447427082141</v>
      </c>
      <c r="R17" s="7">
        <f t="shared" si="4"/>
        <v>0.17816520958008072</v>
      </c>
      <c r="S17" s="7">
        <f t="shared" si="4"/>
        <v>0.20620757755023972</v>
      </c>
    </row>
    <row r="18" spans="1:19" x14ac:dyDescent="0.2">
      <c r="B18" s="6" t="s">
        <v>25</v>
      </c>
      <c r="C18" s="7">
        <f>C12/C11</f>
        <v>0.39945897204688902</v>
      </c>
      <c r="D18" s="7">
        <f>D12/D11</f>
        <v>0.36882129277566539</v>
      </c>
      <c r="E18" s="7">
        <f t="shared" ref="E18:S18" si="5">E12/E11</f>
        <v>0.39895405304445275</v>
      </c>
      <c r="F18" s="7">
        <f t="shared" si="5"/>
        <v>0.3710709318497914</v>
      </c>
      <c r="G18" s="7">
        <f t="shared" si="5"/>
        <v>0.3710709318497914</v>
      </c>
      <c r="H18" s="7">
        <f t="shared" si="5"/>
        <v>0.43606557377049182</v>
      </c>
      <c r="I18" s="7">
        <f t="shared" si="5"/>
        <v>0.34307422559906492</v>
      </c>
      <c r="J18" s="7">
        <f t="shared" si="5"/>
        <v>0.23640526617057814</v>
      </c>
      <c r="K18" s="7">
        <f t="shared" si="5"/>
        <v>0.13530655391120505</v>
      </c>
      <c r="L18" s="7">
        <f t="shared" si="5"/>
        <v>0.2833013435700576</v>
      </c>
      <c r="M18" s="7">
        <f t="shared" si="5"/>
        <v>-0.15165876777251183</v>
      </c>
      <c r="N18" s="7">
        <f t="shared" si="5"/>
        <v>1.2392988177741541E-2</v>
      </c>
      <c r="O18" s="7">
        <f t="shared" si="5"/>
        <v>9.470468431771896E-2</v>
      </c>
      <c r="P18" s="7">
        <f t="shared" si="5"/>
        <v>0.13690494795736566</v>
      </c>
      <c r="Q18" s="7">
        <f t="shared" si="5"/>
        <v>0.12395335696306568</v>
      </c>
      <c r="R18" s="7">
        <f t="shared" si="5"/>
        <v>0.14665932103573398</v>
      </c>
      <c r="S18" s="7">
        <f t="shared" si="5"/>
        <v>0.12850098301479357</v>
      </c>
    </row>
    <row r="19" spans="1:19" x14ac:dyDescent="0.2">
      <c r="B19" s="6" t="s">
        <v>26</v>
      </c>
      <c r="C19" s="7">
        <f>C10/C3</f>
        <v>1.5929644072015265E-2</v>
      </c>
      <c r="D19" s="7">
        <f>D10/D3</f>
        <v>7.3276177914559978E-3</v>
      </c>
      <c r="E19" s="7">
        <f t="shared" ref="E19:S19" si="6">E10/E3</f>
        <v>-7.3522611671136603E-3</v>
      </c>
      <c r="F19" s="7">
        <f t="shared" si="6"/>
        <v>-5.1488485302377835E-3</v>
      </c>
      <c r="G19" s="7">
        <f t="shared" si="6"/>
        <v>-5.1488485302377835E-3</v>
      </c>
      <c r="H19" s="7">
        <f t="shared" si="6"/>
        <v>-5.4027096666943728E-3</v>
      </c>
      <c r="I19" s="7">
        <f t="shared" si="6"/>
        <v>-1.3098340419695513E-2</v>
      </c>
      <c r="J19" s="7">
        <f t="shared" si="6"/>
        <v>-9.6826348393191271E-3</v>
      </c>
      <c r="K19" s="7">
        <f t="shared" si="6"/>
        <v>-2.4175824175824177E-2</v>
      </c>
      <c r="L19" s="7">
        <f t="shared" si="6"/>
        <v>-1.3509687793719636E-2</v>
      </c>
      <c r="M19" s="7">
        <f t="shared" si="6"/>
        <v>-3.0223985905736054E-2</v>
      </c>
      <c r="N19" s="7">
        <f t="shared" si="6"/>
        <v>-2.3983335760369248E-2</v>
      </c>
      <c r="O19" s="7">
        <f t="shared" si="6"/>
        <v>-2.6889722371058321E-2</v>
      </c>
      <c r="P19" s="7">
        <f t="shared" si="6"/>
        <v>-5.5444649365300996E-2</v>
      </c>
      <c r="Q19" s="7">
        <f t="shared" si="6"/>
        <v>-1.1933543898874664E-2</v>
      </c>
      <c r="R19" s="7">
        <f t="shared" si="6"/>
        <v>-1.1668290337681398E-2</v>
      </c>
      <c r="S19" s="7">
        <f t="shared" si="6"/>
        <v>-2.2198302064151489E-2</v>
      </c>
    </row>
    <row r="20" spans="1:19" x14ac:dyDescent="0.2">
      <c r="B20" s="6" t="s">
        <v>27</v>
      </c>
      <c r="C20" s="7">
        <f>C8/C3</f>
        <v>5.8906496307973122E-2</v>
      </c>
      <c r="D20" s="7">
        <f>D8/D3</f>
        <v>6.587528394518942E-2</v>
      </c>
      <c r="E20" s="7">
        <f t="shared" ref="E20:S20" si="7">E8/E3</f>
        <v>7.5510959030796271E-2</v>
      </c>
      <c r="F20" s="7">
        <f t="shared" si="7"/>
        <v>8.0821319353429441E-2</v>
      </c>
      <c r="G20" s="7">
        <f t="shared" si="7"/>
        <v>8.0821319353429441E-2</v>
      </c>
      <c r="H20" s="7">
        <f t="shared" si="7"/>
        <v>9.1153409248330694E-2</v>
      </c>
      <c r="I20" s="7">
        <f t="shared" si="7"/>
        <v>8.6590774013624097E-2</v>
      </c>
      <c r="J20" s="7">
        <f t="shared" si="7"/>
        <v>8.5799407778807207E-2</v>
      </c>
      <c r="K20" s="7">
        <f t="shared" si="7"/>
        <v>9.5995279887897328E-2</v>
      </c>
      <c r="L20" s="7">
        <f t="shared" si="7"/>
        <v>8.8350866862196648E-2</v>
      </c>
      <c r="M20" s="7">
        <f t="shared" si="7"/>
        <v>8.1563710691286012E-2</v>
      </c>
      <c r="N20" s="7">
        <f t="shared" si="7"/>
        <v>7.7357021203852017E-2</v>
      </c>
      <c r="O20" s="7">
        <f t="shared" si="7"/>
        <v>7.6655553571074189E-2</v>
      </c>
      <c r="P20" s="7">
        <f t="shared" si="7"/>
        <v>7.31954184852837E-2</v>
      </c>
      <c r="Q20" s="7">
        <f t="shared" si="7"/>
        <v>7.6567961263123874E-2</v>
      </c>
      <c r="R20" s="7">
        <f t="shared" si="7"/>
        <v>8.5748807550702827E-2</v>
      </c>
      <c r="S20" s="7">
        <f t="shared" si="7"/>
        <v>7.9345734254951325E-2</v>
      </c>
    </row>
    <row r="21" spans="1:19" x14ac:dyDescent="0.2">
      <c r="A21" s="1" t="s">
        <v>28</v>
      </c>
      <c r="C21" s="1"/>
      <c r="D21" s="1"/>
    </row>
    <row r="22" spans="1:19" x14ac:dyDescent="0.2">
      <c r="C22" s="1" t="s">
        <v>29</v>
      </c>
      <c r="D22" s="1" t="s">
        <v>7</v>
      </c>
    </row>
    <row r="23" spans="1:19" x14ac:dyDescent="0.2">
      <c r="B23" s="6" t="s">
        <v>14</v>
      </c>
      <c r="C23" s="6">
        <v>9370.44</v>
      </c>
      <c r="D23" s="6">
        <v>9559.31</v>
      </c>
    </row>
    <row r="24" spans="1:19" x14ac:dyDescent="0.2">
      <c r="B24" s="6" t="s">
        <v>15</v>
      </c>
      <c r="C24" s="6">
        <v>4977.0730000000003</v>
      </c>
      <c r="D24" s="6">
        <v>5174.143</v>
      </c>
    </row>
    <row r="25" spans="1:19" x14ac:dyDescent="0.2">
      <c r="B25" s="13" t="s">
        <v>16</v>
      </c>
      <c r="C25" s="13">
        <f>C23-C24</f>
        <v>4393.3670000000002</v>
      </c>
      <c r="D25" s="13">
        <f>D23-D24</f>
        <v>4385.1669999999995</v>
      </c>
    </row>
    <row r="26" spans="1:19" x14ac:dyDescent="0.2">
      <c r="B26" s="13" t="s">
        <v>17</v>
      </c>
      <c r="C26" s="13">
        <f>C27+C28</f>
        <v>1760.8330000000001</v>
      </c>
      <c r="D26" s="13">
        <f>D27+D28</f>
        <v>1782.33</v>
      </c>
    </row>
    <row r="27" spans="1:19" x14ac:dyDescent="0.2">
      <c r="B27" s="6" t="s">
        <v>18</v>
      </c>
      <c r="C27" s="6">
        <f>654.34+404.02</f>
        <v>1058.3600000000001</v>
      </c>
      <c r="D27" s="6">
        <f>644.084+426.992</f>
        <v>1071.076</v>
      </c>
    </row>
    <row r="28" spans="1:19" x14ac:dyDescent="0.2">
      <c r="B28" s="6" t="s">
        <v>19</v>
      </c>
      <c r="C28" s="6">
        <v>702.47299999999996</v>
      </c>
      <c r="D28" s="6">
        <v>711.25400000000002</v>
      </c>
    </row>
    <row r="29" spans="1:19" x14ac:dyDescent="0.2">
      <c r="B29" s="13" t="s">
        <v>20</v>
      </c>
      <c r="C29" s="13">
        <f>C25-C26</f>
        <v>2632.5340000000001</v>
      </c>
      <c r="D29" s="13">
        <f>D25-D26</f>
        <v>2602.8369999999995</v>
      </c>
    </row>
    <row r="30" spans="1:19" x14ac:dyDescent="0.2">
      <c r="B30" s="6" t="s">
        <v>11</v>
      </c>
      <c r="C30" s="6">
        <f>155.359-173.314</f>
        <v>-17.954999999999984</v>
      </c>
      <c r="D30" s="6">
        <f>79.005-167.986</f>
        <v>-88.980999999999995</v>
      </c>
    </row>
    <row r="31" spans="1:19" x14ac:dyDescent="0.2">
      <c r="B31" s="13" t="s">
        <v>21</v>
      </c>
      <c r="C31" s="13">
        <f>C29+C30</f>
        <v>2614.5790000000002</v>
      </c>
      <c r="D31" s="13">
        <f>D29+D30</f>
        <v>2513.8559999999998</v>
      </c>
    </row>
    <row r="32" spans="1:19" x14ac:dyDescent="0.2">
      <c r="B32" s="6" t="s">
        <v>12</v>
      </c>
      <c r="C32" s="6">
        <v>282.37</v>
      </c>
      <c r="D32" s="6">
        <v>366.55</v>
      </c>
    </row>
    <row r="33" spans="1:4" x14ac:dyDescent="0.2">
      <c r="B33" s="13" t="s">
        <v>13</v>
      </c>
      <c r="C33" s="13">
        <f>C31-C32</f>
        <v>2332.2090000000003</v>
      </c>
      <c r="D33" s="13">
        <f>D31-D32</f>
        <v>2147.3059999999996</v>
      </c>
    </row>
    <row r="35" spans="1:4" x14ac:dyDescent="0.2">
      <c r="B35" s="6" t="s">
        <v>22</v>
      </c>
      <c r="C35" s="1"/>
      <c r="D35" s="7">
        <f>(D23/C23)-1</f>
        <v>2.0155937181178141E-2</v>
      </c>
    </row>
    <row r="36" spans="1:4" x14ac:dyDescent="0.2">
      <c r="B36" s="6" t="s">
        <v>23</v>
      </c>
      <c r="C36" s="7">
        <f>C25/C23</f>
        <v>0.46885386385271127</v>
      </c>
      <c r="D36" s="7">
        <f>D25/D23</f>
        <v>0.45873258634775937</v>
      </c>
    </row>
    <row r="37" spans="1:4" x14ac:dyDescent="0.2">
      <c r="B37" s="6" t="s">
        <v>24</v>
      </c>
      <c r="C37" s="7">
        <f>C29/C23</f>
        <v>0.28094027601692129</v>
      </c>
      <c r="D37" s="7">
        <f>D29/D23</f>
        <v>0.27228293673915793</v>
      </c>
    </row>
    <row r="38" spans="1:4" x14ac:dyDescent="0.2">
      <c r="B38" s="6" t="s">
        <v>25</v>
      </c>
      <c r="C38" s="7">
        <f>C32/C31</f>
        <v>0.10799826664254551</v>
      </c>
      <c r="D38" s="7">
        <f>D32/D31</f>
        <v>0.14581185238931746</v>
      </c>
    </row>
    <row r="39" spans="1:4" x14ac:dyDescent="0.2">
      <c r="B39" s="6" t="s">
        <v>26</v>
      </c>
      <c r="C39" s="7">
        <f>C30/C23</f>
        <v>-1.9161320066080124E-3</v>
      </c>
      <c r="D39" s="7">
        <f>D30/D23</f>
        <v>-9.3083078171960106E-3</v>
      </c>
    </row>
    <row r="40" spans="1:4" x14ac:dyDescent="0.2">
      <c r="B40" s="6" t="s">
        <v>27</v>
      </c>
      <c r="C40" s="7">
        <f>C28/C23</f>
        <v>7.4966917241879774E-2</v>
      </c>
      <c r="D40" s="7">
        <f>D28/D23</f>
        <v>7.4404324161471913E-2</v>
      </c>
    </row>
    <row r="41" spans="1:4" x14ac:dyDescent="0.2">
      <c r="A41" s="1" t="s">
        <v>28</v>
      </c>
    </row>
    <row r="42" spans="1:4" x14ac:dyDescent="0.2">
      <c r="B42" s="6" t="s">
        <v>30</v>
      </c>
      <c r="C42" s="6">
        <v>7116.9129999999996</v>
      </c>
      <c r="D42" s="6">
        <v>6624.9390000000003</v>
      </c>
    </row>
    <row r="43" spans="1:4" x14ac:dyDescent="0.2">
      <c r="B43" s="6" t="s">
        <v>31</v>
      </c>
      <c r="C43" s="6">
        <v>9921.3130000000001</v>
      </c>
      <c r="D43" s="6">
        <v>9615.5529999999999</v>
      </c>
    </row>
    <row r="44" spans="1:4" x14ac:dyDescent="0.2">
      <c r="B44" s="6" t="s">
        <v>32</v>
      </c>
      <c r="C44" s="6">
        <v>48827.720999999998</v>
      </c>
      <c r="D44" s="6">
        <v>49098.894999999997</v>
      </c>
    </row>
    <row r="45" spans="1:4" x14ac:dyDescent="0.2">
      <c r="B45" s="6" t="s">
        <v>33</v>
      </c>
      <c r="C45" s="6">
        <v>607.34799999999996</v>
      </c>
      <c r="D45" s="6">
        <v>598.55700000000002</v>
      </c>
    </row>
    <row r="46" spans="1:4" x14ac:dyDescent="0.2">
      <c r="B46" s="6" t="s">
        <v>34</v>
      </c>
      <c r="C46" s="6">
        <v>1469.4839999999999</v>
      </c>
      <c r="D46" s="6">
        <v>1473.72</v>
      </c>
    </row>
    <row r="47" spans="1:4" x14ac:dyDescent="0.2">
      <c r="B47" s="6" t="s">
        <v>35</v>
      </c>
      <c r="C47" s="6">
        <v>798.93600000000004</v>
      </c>
      <c r="D47" s="6">
        <v>1800.0409999999999</v>
      </c>
    </row>
    <row r="48" spans="1:4" x14ac:dyDescent="0.2">
      <c r="B48" s="6" t="s">
        <v>36</v>
      </c>
      <c r="C48" s="6">
        <v>9289.2170000000006</v>
      </c>
      <c r="D48" s="6">
        <v>10139.999</v>
      </c>
    </row>
    <row r="49" spans="2:4" x14ac:dyDescent="0.2">
      <c r="B49" s="6" t="s">
        <v>37</v>
      </c>
      <c r="C49" s="6">
        <v>13217.038</v>
      </c>
      <c r="D49" s="6">
        <v>12180.023999999999</v>
      </c>
    </row>
    <row r="50" spans="2:4" x14ac:dyDescent="0.2">
      <c r="B50" s="6" t="s">
        <v>38</v>
      </c>
      <c r="C50" s="6">
        <v>27462.311000000002</v>
      </c>
      <c r="D50" s="6">
        <v>26986.202000000001</v>
      </c>
    </row>
    <row r="51" spans="2:4" x14ac:dyDescent="0.2">
      <c r="B51" s="6" t="s">
        <v>39</v>
      </c>
    </row>
    <row r="52" spans="2:4" x14ac:dyDescent="0.2">
      <c r="B52" s="6" t="s">
        <v>40</v>
      </c>
    </row>
  </sheetData>
  <hyperlinks>
    <hyperlink ref="A1" location="Main!A1" display="Main" xr:uid="{714D40FA-FD6D-4EEC-BCF2-F51673EB7F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0834-266B-4F20-AB75-CE8D0EFE58A8}">
  <dimension ref="A1:K51"/>
  <sheetViews>
    <sheetView tabSelected="1" topLeftCell="A10" zoomScale="140" zoomScaleNormal="140" workbookViewId="0">
      <selection activeCell="H23" sqref="H23"/>
    </sheetView>
  </sheetViews>
  <sheetFormatPr defaultRowHeight="12.75" x14ac:dyDescent="0.2"/>
  <cols>
    <col min="1" max="1" width="5.42578125" style="1" bestFit="1" customWidth="1"/>
    <col min="2" max="2" width="23.5703125" style="1" bestFit="1" customWidth="1"/>
    <col min="3" max="5" width="12" style="1" bestFit="1" customWidth="1"/>
    <col min="6" max="6" width="9.140625" style="1"/>
    <col min="7" max="11" width="11" style="1" bestFit="1" customWidth="1"/>
    <col min="12" max="16384" width="9.140625" style="1"/>
  </cols>
  <sheetData>
    <row r="1" spans="1:11" x14ac:dyDescent="0.2">
      <c r="A1" s="3" t="s">
        <v>10</v>
      </c>
      <c r="C1" s="4">
        <v>44561</v>
      </c>
      <c r="D1" s="4">
        <f t="shared" ref="D1:E1" si="0">EOMONTH(C1,12)</f>
        <v>44926</v>
      </c>
      <c r="E1" s="4">
        <f t="shared" si="0"/>
        <v>45291</v>
      </c>
      <c r="G1" s="4">
        <f>EOMONTH(E1,12)</f>
        <v>45657</v>
      </c>
      <c r="H1" s="4">
        <f>EOMONTH(G1,12)</f>
        <v>46022</v>
      </c>
      <c r="I1" s="4">
        <f t="shared" ref="I1:K1" si="1">EOMONTH(H1,12)</f>
        <v>46387</v>
      </c>
      <c r="J1" s="4">
        <f t="shared" si="1"/>
        <v>46752</v>
      </c>
      <c r="K1" s="4">
        <f t="shared" si="1"/>
        <v>47118</v>
      </c>
    </row>
    <row r="2" spans="1:11" x14ac:dyDescent="0.2">
      <c r="C2" s="5">
        <v>2021</v>
      </c>
      <c r="D2" s="5">
        <f t="shared" ref="D2:E2" si="2">C2+1</f>
        <v>2022</v>
      </c>
      <c r="E2" s="5">
        <f t="shared" si="2"/>
        <v>2023</v>
      </c>
      <c r="G2" s="5">
        <v>2024</v>
      </c>
      <c r="H2" s="5">
        <f>G2+1</f>
        <v>2025</v>
      </c>
      <c r="I2" s="5">
        <f t="shared" ref="I2:K2" si="3">H2+1</f>
        <v>2026</v>
      </c>
      <c r="J2" s="5">
        <f t="shared" si="3"/>
        <v>2027</v>
      </c>
      <c r="K2" s="5">
        <f t="shared" si="3"/>
        <v>2028</v>
      </c>
    </row>
    <row r="3" spans="1:11" x14ac:dyDescent="0.2">
      <c r="B3" s="6" t="s">
        <v>14</v>
      </c>
      <c r="C3" s="6">
        <v>29697.8</v>
      </c>
      <c r="D3" s="6">
        <v>31615.599999999999</v>
      </c>
      <c r="E3" s="6">
        <v>33723.300000000003</v>
      </c>
      <c r="G3" s="6">
        <f>E3*(1+G15)</f>
        <v>35949.037800000006</v>
      </c>
      <c r="H3" s="6">
        <f>G3*(1+H15)</f>
        <v>38321.67429480001</v>
      </c>
      <c r="I3" s="6">
        <f t="shared" ref="I3:K3" si="4">H3*(1+I15)</f>
        <v>40850.904798256815</v>
      </c>
      <c r="J3" s="6">
        <f t="shared" si="4"/>
        <v>43547.064514941769</v>
      </c>
      <c r="K3" s="6">
        <f t="shared" si="4"/>
        <v>46421.17077292793</v>
      </c>
    </row>
    <row r="4" spans="1:11" x14ac:dyDescent="0.2">
      <c r="B4" s="6" t="s">
        <v>15</v>
      </c>
      <c r="C4" s="6">
        <v>17332.7</v>
      </c>
      <c r="D4" s="6">
        <v>19168.3</v>
      </c>
      <c r="E4" s="6">
        <v>19715.400000000001</v>
      </c>
      <c r="G4" s="6">
        <f>G3-G5</f>
        <v>21281.830377600003</v>
      </c>
      <c r="H4" s="6">
        <f t="shared" ref="H4:K4" si="5">H3-H5</f>
        <v>22686.431182521606</v>
      </c>
      <c r="I4" s="6">
        <f t="shared" si="5"/>
        <v>24183.735640568037</v>
      </c>
      <c r="J4" s="6">
        <f t="shared" si="5"/>
        <v>25779.862192845529</v>
      </c>
      <c r="K4" s="6">
        <f t="shared" si="5"/>
        <v>27481.333097573337</v>
      </c>
    </row>
    <row r="5" spans="1:11" x14ac:dyDescent="0.2">
      <c r="B5" s="6" t="s">
        <v>16</v>
      </c>
      <c r="C5" s="6">
        <v>12365.2</v>
      </c>
      <c r="D5" s="6">
        <v>12447.3</v>
      </c>
      <c r="E5" s="6">
        <v>14007.9</v>
      </c>
      <c r="G5" s="6">
        <f>G3*G16</f>
        <v>14667.207422400001</v>
      </c>
      <c r="H5" s="6">
        <f t="shared" ref="H5:K5" si="6">H3*H16</f>
        <v>15635.243112278404</v>
      </c>
      <c r="I5" s="6">
        <f t="shared" si="6"/>
        <v>16667.169157688779</v>
      </c>
      <c r="J5" s="6">
        <f t="shared" si="6"/>
        <v>17767.20232209624</v>
      </c>
      <c r="K5" s="6">
        <f t="shared" si="6"/>
        <v>18939.837675354593</v>
      </c>
    </row>
    <row r="6" spans="1:11" x14ac:dyDescent="0.2">
      <c r="B6" s="6" t="s">
        <v>17</v>
      </c>
      <c r="C6" s="6">
        <v>6170.7</v>
      </c>
      <c r="D6" s="6">
        <v>6814.4</v>
      </c>
      <c r="E6" s="6">
        <v>7053.9</v>
      </c>
      <c r="G6" s="6">
        <f>G5-G9</f>
        <v>7549.2979379999997</v>
      </c>
      <c r="H6" s="6">
        <f t="shared" ref="H6:K6" si="7">H5-H9</f>
        <v>8047.5516019080014</v>
      </c>
      <c r="I6" s="6">
        <f t="shared" si="7"/>
        <v>8578.6900076339298</v>
      </c>
      <c r="J6" s="6">
        <f t="shared" si="7"/>
        <v>9144.88354813777</v>
      </c>
      <c r="K6" s="6">
        <f t="shared" si="7"/>
        <v>9748.4458623148621</v>
      </c>
    </row>
    <row r="7" spans="1:11" x14ac:dyDescent="0.2">
      <c r="B7" s="6" t="s">
        <v>18</v>
      </c>
      <c r="C7" s="6">
        <v>1351.6</v>
      </c>
      <c r="D7" s="6">
        <v>1572.9</v>
      </c>
      <c r="E7" s="6">
        <v>1720.3</v>
      </c>
      <c r="G7" s="6">
        <f>G6-G8</f>
        <v>4637.425876199999</v>
      </c>
      <c r="H7" s="6">
        <f t="shared" ref="H7:K7" si="8">H6-H8</f>
        <v>4943.4959840292004</v>
      </c>
      <c r="I7" s="6">
        <f t="shared" si="8"/>
        <v>5269.7667189751282</v>
      </c>
      <c r="J7" s="6">
        <f t="shared" si="8"/>
        <v>5617.5713224274868</v>
      </c>
      <c r="K7" s="6">
        <f t="shared" si="8"/>
        <v>5988.3310297076996</v>
      </c>
    </row>
    <row r="8" spans="1:11" x14ac:dyDescent="0.2">
      <c r="B8" s="6" t="s">
        <v>19</v>
      </c>
      <c r="C8" s="6">
        <v>2273.9</v>
      </c>
      <c r="D8" s="6">
        <v>2711</v>
      </c>
      <c r="E8" s="6">
        <v>2675.8</v>
      </c>
      <c r="G8" s="6">
        <f>G3*G20</f>
        <v>2911.8720618000007</v>
      </c>
      <c r="H8" s="6">
        <f t="shared" ref="H8:K8" si="9">H3*H20</f>
        <v>3104.0556178788011</v>
      </c>
      <c r="I8" s="6">
        <f t="shared" si="9"/>
        <v>3308.923288658802</v>
      </c>
      <c r="J8" s="6">
        <f t="shared" si="9"/>
        <v>3527.3122257102832</v>
      </c>
      <c r="K8" s="6">
        <f t="shared" si="9"/>
        <v>3760.1148326071625</v>
      </c>
    </row>
    <row r="9" spans="1:11" x14ac:dyDescent="0.2">
      <c r="B9" s="6" t="s">
        <v>20</v>
      </c>
      <c r="C9" s="6">
        <v>6194.5</v>
      </c>
      <c r="D9" s="6">
        <v>5632.8</v>
      </c>
      <c r="E9" s="6">
        <v>6954</v>
      </c>
      <c r="G9" s="6">
        <f>G3*G17</f>
        <v>7117.909484400001</v>
      </c>
      <c r="H9" s="6">
        <f t="shared" ref="H9:K9" si="10">H3*H17</f>
        <v>7587.6915103704023</v>
      </c>
      <c r="I9" s="6">
        <f t="shared" si="10"/>
        <v>8088.4791500548499</v>
      </c>
      <c r="J9" s="6">
        <f t="shared" si="10"/>
        <v>8622.31877395847</v>
      </c>
      <c r="K9" s="6">
        <f t="shared" si="10"/>
        <v>9191.3918130397306</v>
      </c>
    </row>
    <row r="10" spans="1:11" x14ac:dyDescent="0.2">
      <c r="B10" s="6" t="s">
        <v>11</v>
      </c>
      <c r="C10" s="6">
        <v>-354.4</v>
      </c>
      <c r="D10" s="6">
        <v>-368.9</v>
      </c>
      <c r="E10" s="6">
        <v>-748.6</v>
      </c>
      <c r="G10" s="6">
        <f>G3*G19</f>
        <v>-539.23556700000006</v>
      </c>
      <c r="H10" s="6">
        <f t="shared" ref="H10:K10" si="11">H3*H19</f>
        <v>-574.82511442200018</v>
      </c>
      <c r="I10" s="6">
        <f t="shared" si="11"/>
        <v>-612.76357197385221</v>
      </c>
      <c r="J10" s="6">
        <f t="shared" si="11"/>
        <v>-653.20596772412648</v>
      </c>
      <c r="K10" s="6">
        <f t="shared" si="11"/>
        <v>-696.31756159391887</v>
      </c>
    </row>
    <row r="11" spans="1:11" x14ac:dyDescent="0.2">
      <c r="B11" s="6" t="s">
        <v>21</v>
      </c>
      <c r="C11" s="6">
        <v>5840.1</v>
      </c>
      <c r="D11" s="6">
        <v>5263.9</v>
      </c>
      <c r="E11" s="6">
        <v>6205.4</v>
      </c>
      <c r="G11" s="6">
        <f>G9-G10</f>
        <v>7657.1450514000007</v>
      </c>
      <c r="H11" s="6">
        <f t="shared" ref="H11:K11" si="12">H9-H10</f>
        <v>8162.5166247924026</v>
      </c>
      <c r="I11" s="6">
        <f t="shared" si="12"/>
        <v>8701.2427220287027</v>
      </c>
      <c r="J11" s="6">
        <f t="shared" si="12"/>
        <v>9275.5247416825969</v>
      </c>
      <c r="K11" s="6">
        <f t="shared" si="12"/>
        <v>9887.7093746336486</v>
      </c>
    </row>
    <row r="12" spans="1:11" x14ac:dyDescent="0.2">
      <c r="B12" s="6" t="s">
        <v>12</v>
      </c>
      <c r="C12" s="6">
        <v>723.9</v>
      </c>
      <c r="D12" s="6">
        <v>772</v>
      </c>
      <c r="E12" s="6">
        <v>797.4</v>
      </c>
      <c r="G12" s="6">
        <f>G11*G18</f>
        <v>1018.4002918362002</v>
      </c>
      <c r="H12" s="6">
        <f t="shared" ref="H12:K12" si="13">H11*H18</f>
        <v>1085.6147110973895</v>
      </c>
      <c r="I12" s="6">
        <f t="shared" si="13"/>
        <v>1157.2652820298176</v>
      </c>
      <c r="J12" s="6">
        <f t="shared" si="13"/>
        <v>1233.6447906437854</v>
      </c>
      <c r="K12" s="6">
        <f t="shared" si="13"/>
        <v>1315.0653468262753</v>
      </c>
    </row>
    <row r="13" spans="1:11" x14ac:dyDescent="0.2">
      <c r="B13" s="6" t="s">
        <v>13</v>
      </c>
      <c r="C13" s="6">
        <v>5116.2</v>
      </c>
      <c r="D13" s="6">
        <v>4491.8999999999996</v>
      </c>
      <c r="E13" s="6">
        <v>5408</v>
      </c>
      <c r="G13" s="6">
        <f>G11-G12</f>
        <v>6638.7447595638005</v>
      </c>
      <c r="H13" s="6">
        <f t="shared" ref="H13:K13" si="14">H11-H12</f>
        <v>7076.9019136950128</v>
      </c>
      <c r="I13" s="6">
        <f t="shared" si="14"/>
        <v>7543.9774399988855</v>
      </c>
      <c r="J13" s="6">
        <f t="shared" si="14"/>
        <v>8041.8799510388117</v>
      </c>
      <c r="K13" s="6">
        <f t="shared" si="14"/>
        <v>8572.6440278073733</v>
      </c>
    </row>
    <row r="14" spans="1:11" x14ac:dyDescent="0.2">
      <c r="F14" s="1" t="s">
        <v>41</v>
      </c>
    </row>
    <row r="15" spans="1:11" x14ac:dyDescent="0.2">
      <c r="B15" s="6" t="s">
        <v>22</v>
      </c>
      <c r="C15" s="8"/>
      <c r="D15" s="8">
        <f t="shared" ref="D15:E15" si="15">(D3/C3)-1</f>
        <v>6.4577174066765775E-2</v>
      </c>
      <c r="E15" s="8">
        <f t="shared" si="15"/>
        <v>6.6666455800301172E-2</v>
      </c>
      <c r="F15" s="9">
        <f>AVERAGE(C15:E15)</f>
        <v>6.5621814933533473E-2</v>
      </c>
      <c r="G15" s="8">
        <v>6.6000000000000003E-2</v>
      </c>
      <c r="H15" s="8">
        <v>6.6000000000000003E-2</v>
      </c>
      <c r="I15" s="8">
        <v>6.6000000000000003E-2</v>
      </c>
      <c r="J15" s="8">
        <v>6.6000000000000003E-2</v>
      </c>
      <c r="K15" s="8">
        <v>6.6000000000000003E-2</v>
      </c>
    </row>
    <row r="16" spans="1:11" x14ac:dyDescent="0.2">
      <c r="B16" s="6" t="s">
        <v>23</v>
      </c>
      <c r="C16" s="8">
        <f t="shared" ref="C16:E16" si="16">C5/C3</f>
        <v>0.41636754237687645</v>
      </c>
      <c r="D16" s="8">
        <f t="shared" si="16"/>
        <v>0.39370753678563747</v>
      </c>
      <c r="E16" s="8">
        <f t="shared" si="16"/>
        <v>0.41537749864337115</v>
      </c>
      <c r="F16" s="9">
        <f t="shared" ref="F16:F20" si="17">AVERAGE(C16:E16)</f>
        <v>0.40848419260196173</v>
      </c>
      <c r="G16" s="8">
        <v>0.40799999999999997</v>
      </c>
      <c r="H16" s="8">
        <v>0.40799999999999997</v>
      </c>
      <c r="I16" s="8">
        <v>0.40799999999999997</v>
      </c>
      <c r="J16" s="8">
        <v>0.40799999999999997</v>
      </c>
      <c r="K16" s="8">
        <v>0.40799999999999997</v>
      </c>
    </row>
    <row r="17" spans="1:11" x14ac:dyDescent="0.2">
      <c r="B17" s="6" t="s">
        <v>24</v>
      </c>
      <c r="C17" s="8">
        <f t="shared" ref="C17:E17" si="18">C9/C3</f>
        <v>0.20858447427082141</v>
      </c>
      <c r="D17" s="8">
        <f t="shared" si="18"/>
        <v>0.17816520958008072</v>
      </c>
      <c r="E17" s="8">
        <f t="shared" si="18"/>
        <v>0.20620757755023972</v>
      </c>
      <c r="F17" s="9">
        <f t="shared" si="17"/>
        <v>0.19765242046704726</v>
      </c>
      <c r="G17" s="8">
        <v>0.19800000000000001</v>
      </c>
      <c r="H17" s="8">
        <v>0.19800000000000001</v>
      </c>
      <c r="I17" s="8">
        <v>0.19800000000000001</v>
      </c>
      <c r="J17" s="8">
        <v>0.19800000000000001</v>
      </c>
      <c r="K17" s="8">
        <v>0.19800000000000001</v>
      </c>
    </row>
    <row r="18" spans="1:11" x14ac:dyDescent="0.2">
      <c r="B18" s="6" t="s">
        <v>25</v>
      </c>
      <c r="C18" s="8">
        <f t="shared" ref="C18:E18" si="19">C12/C11</f>
        <v>0.12395335696306568</v>
      </c>
      <c r="D18" s="8">
        <f t="shared" si="19"/>
        <v>0.14665932103573398</v>
      </c>
      <c r="E18" s="8">
        <f t="shared" si="19"/>
        <v>0.12850098301479357</v>
      </c>
      <c r="F18" s="9">
        <f t="shared" si="17"/>
        <v>0.13303788700453109</v>
      </c>
      <c r="G18" s="8">
        <v>0.13300000000000001</v>
      </c>
      <c r="H18" s="8">
        <v>0.13300000000000001</v>
      </c>
      <c r="I18" s="8">
        <v>0.13300000000000001</v>
      </c>
      <c r="J18" s="8">
        <v>0.13300000000000001</v>
      </c>
      <c r="K18" s="8">
        <v>0.13300000000000001</v>
      </c>
    </row>
    <row r="19" spans="1:11" x14ac:dyDescent="0.2">
      <c r="B19" s="6" t="s">
        <v>26</v>
      </c>
      <c r="C19" s="8">
        <f t="shared" ref="C19:E19" si="20">C10/C3</f>
        <v>-1.1933543898874664E-2</v>
      </c>
      <c r="D19" s="8">
        <f t="shared" si="20"/>
        <v>-1.1668290337681398E-2</v>
      </c>
      <c r="E19" s="8">
        <f t="shared" si="20"/>
        <v>-2.2198302064151489E-2</v>
      </c>
      <c r="F19" s="9">
        <f t="shared" si="17"/>
        <v>-1.5266712100235849E-2</v>
      </c>
      <c r="G19" s="8">
        <v>-1.4999999999999999E-2</v>
      </c>
      <c r="H19" s="8">
        <v>-1.4999999999999999E-2</v>
      </c>
      <c r="I19" s="8">
        <v>-1.4999999999999999E-2</v>
      </c>
      <c r="J19" s="8">
        <v>-1.4999999999999999E-2</v>
      </c>
      <c r="K19" s="8">
        <v>-1.4999999999999999E-2</v>
      </c>
    </row>
    <row r="20" spans="1:11" x14ac:dyDescent="0.2">
      <c r="B20" s="6" t="s">
        <v>27</v>
      </c>
      <c r="C20" s="8">
        <f t="shared" ref="C20:E20" si="21">C8/C3</f>
        <v>7.6567961263123874E-2</v>
      </c>
      <c r="D20" s="8">
        <f t="shared" si="21"/>
        <v>8.5748807550702827E-2</v>
      </c>
      <c r="E20" s="8">
        <f t="shared" si="21"/>
        <v>7.9345734254951325E-2</v>
      </c>
      <c r="F20" s="9">
        <f t="shared" si="17"/>
        <v>8.0554167689592671E-2</v>
      </c>
      <c r="G20" s="8">
        <v>8.1000000000000003E-2</v>
      </c>
      <c r="H20" s="8">
        <v>8.1000000000000003E-2</v>
      </c>
      <c r="I20" s="8">
        <v>8.1000000000000003E-2</v>
      </c>
      <c r="J20" s="8">
        <v>8.1000000000000003E-2</v>
      </c>
      <c r="K20" s="8">
        <v>8.1000000000000003E-2</v>
      </c>
    </row>
    <row r="21" spans="1:11" x14ac:dyDescent="0.2">
      <c r="A21" s="1" t="s">
        <v>28</v>
      </c>
    </row>
    <row r="22" spans="1:11" s="6" customFormat="1" x14ac:dyDescent="0.2">
      <c r="A22" s="1"/>
      <c r="B22" s="1" t="s">
        <v>42</v>
      </c>
      <c r="C22" s="6">
        <f>12230.367+208.412</f>
        <v>12438.779</v>
      </c>
      <c r="D22" s="6">
        <f>14026.132+336.682</f>
        <v>14362.814</v>
      </c>
      <c r="E22" s="6">
        <f>14197.437+356.947</f>
        <v>14554.384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s="8" customFormat="1" x14ac:dyDescent="0.2">
      <c r="A23" s="1"/>
      <c r="B23" s="1" t="s">
        <v>43</v>
      </c>
      <c r="C23" s="8">
        <f>C22/C3</f>
        <v>0.4188451333095381</v>
      </c>
      <c r="D23" s="8">
        <f t="shared" ref="D23:E23" si="22">D22/D3</f>
        <v>0.45429515808651427</v>
      </c>
      <c r="E23" s="8">
        <f t="shared" si="22"/>
        <v>0.43158243706873284</v>
      </c>
      <c r="G23" s="8">
        <v>0.432</v>
      </c>
      <c r="H23" s="8">
        <v>0.432</v>
      </c>
      <c r="I23" s="8">
        <v>0.432</v>
      </c>
      <c r="J23" s="8">
        <v>0.432</v>
      </c>
      <c r="K23" s="8">
        <v>0.432</v>
      </c>
    </row>
    <row r="24" spans="1:11" s="6" customFormat="1" x14ac:dyDescent="0.2">
      <c r="A24" s="1"/>
      <c r="B24" s="1" t="s">
        <v>44</v>
      </c>
      <c r="D24" s="6">
        <f>3208.021-4480.15-671.513-1514.65-1264.661</f>
        <v>-4722.9529999999995</v>
      </c>
      <c r="E24" s="6">
        <f>2780.247-4466.47-747.412-1803.96-1442.969</f>
        <v>-5680.5640000000003</v>
      </c>
      <c r="G24" s="6">
        <f>G3*G25</f>
        <v>-6039.4383504000016</v>
      </c>
      <c r="H24" s="6">
        <f t="shared" ref="H24:K24" si="23">H3*H25</f>
        <v>-6438.0412815264017</v>
      </c>
      <c r="I24" s="6">
        <f t="shared" si="23"/>
        <v>-6862.9520061071453</v>
      </c>
      <c r="J24" s="6">
        <f t="shared" si="23"/>
        <v>-7315.9068385102173</v>
      </c>
      <c r="K24" s="6">
        <f t="shared" si="23"/>
        <v>-7798.7566898518926</v>
      </c>
    </row>
    <row r="25" spans="1:11" s="8" customFormat="1" x14ac:dyDescent="0.2">
      <c r="A25" s="1"/>
      <c r="B25" s="1" t="s">
        <v>43</v>
      </c>
      <c r="D25" s="8">
        <f>D24/D3</f>
        <v>-0.14938679006566377</v>
      </c>
      <c r="E25" s="8">
        <f>E24/E3</f>
        <v>-0.16844626712095198</v>
      </c>
      <c r="G25" s="8">
        <v>-0.16800000000000001</v>
      </c>
      <c r="H25" s="8">
        <v>-0.16800000000000001</v>
      </c>
      <c r="I25" s="8">
        <v>-0.16800000000000001</v>
      </c>
      <c r="J25" s="8">
        <v>-0.16800000000000001</v>
      </c>
      <c r="K25" s="8">
        <v>-0.16800000000000001</v>
      </c>
    </row>
    <row r="26" spans="1:11" x14ac:dyDescent="0.2">
      <c r="B26" s="1" t="s">
        <v>45</v>
      </c>
      <c r="E26" s="11">
        <f>D24-E24</f>
        <v>957.61100000000079</v>
      </c>
      <c r="G26" s="11">
        <f>E24-G24</f>
        <v>358.87435040000128</v>
      </c>
      <c r="H26" s="11">
        <f t="shared" ref="H26:K26" si="24">G24-H24</f>
        <v>398.60293112640011</v>
      </c>
      <c r="I26" s="11">
        <f t="shared" si="24"/>
        <v>424.91072458074359</v>
      </c>
      <c r="J26" s="11">
        <f t="shared" si="24"/>
        <v>452.95483240307203</v>
      </c>
      <c r="K26" s="11">
        <f t="shared" si="24"/>
        <v>482.84985134167528</v>
      </c>
    </row>
    <row r="27" spans="1:11" s="6" customFormat="1" x14ac:dyDescent="0.2">
      <c r="A27" s="1"/>
      <c r="B27" s="1" t="s">
        <v>46</v>
      </c>
      <c r="C27" s="6">
        <f>524.585+788.349</f>
        <v>1312.9340000000002</v>
      </c>
      <c r="D27" s="6">
        <f>407.729+757.387</f>
        <v>1165.116</v>
      </c>
      <c r="E27" s="6">
        <v>348.55200000000002</v>
      </c>
      <c r="G27" s="6">
        <f>G3*G28</f>
        <v>359.49037800000008</v>
      </c>
      <c r="H27" s="6">
        <f t="shared" ref="H27:K27" si="25">H3*H28</f>
        <v>383.2167429480001</v>
      </c>
      <c r="I27" s="6">
        <f t="shared" si="25"/>
        <v>408.50904798256818</v>
      </c>
      <c r="J27" s="6">
        <f t="shared" si="25"/>
        <v>435.47064514941769</v>
      </c>
      <c r="K27" s="6">
        <f t="shared" si="25"/>
        <v>464.21170772927928</v>
      </c>
    </row>
    <row r="28" spans="1:11" s="8" customFormat="1" x14ac:dyDescent="0.2">
      <c r="A28" s="1"/>
      <c r="B28" s="1" t="s">
        <v>43</v>
      </c>
      <c r="C28" s="8">
        <f>C27/C3</f>
        <v>4.420980678703474E-2</v>
      </c>
      <c r="D28" s="8">
        <f t="shared" ref="D28:E28" si="26">D27/D3</f>
        <v>3.6852566454535107E-2</v>
      </c>
      <c r="E28" s="8">
        <f t="shared" si="26"/>
        <v>1.0335643308928841E-2</v>
      </c>
      <c r="G28" s="8">
        <v>0.01</v>
      </c>
      <c r="H28" s="8">
        <v>0.01</v>
      </c>
      <c r="I28" s="8">
        <v>0.01</v>
      </c>
      <c r="J28" s="8">
        <v>0.01</v>
      </c>
      <c r="K28" s="8">
        <v>0.01</v>
      </c>
    </row>
    <row r="30" spans="1:11" x14ac:dyDescent="0.2">
      <c r="B30" s="1" t="s">
        <v>20</v>
      </c>
      <c r="C30" s="6">
        <f>C9</f>
        <v>6194.5</v>
      </c>
      <c r="D30" s="6">
        <f t="shared" ref="D30:K30" si="27">D9</f>
        <v>5632.8</v>
      </c>
      <c r="E30" s="6">
        <f t="shared" si="27"/>
        <v>6954</v>
      </c>
      <c r="F30" s="6"/>
      <c r="G30" s="6">
        <f t="shared" si="27"/>
        <v>7117.909484400001</v>
      </c>
      <c r="H30" s="6">
        <f t="shared" si="27"/>
        <v>7587.6915103704023</v>
      </c>
      <c r="I30" s="6">
        <f t="shared" si="27"/>
        <v>8088.4791500548499</v>
      </c>
      <c r="J30" s="6">
        <f t="shared" si="27"/>
        <v>8622.31877395847</v>
      </c>
      <c r="K30" s="6">
        <f t="shared" si="27"/>
        <v>9191.3918130397306</v>
      </c>
    </row>
    <row r="31" spans="1:11" x14ac:dyDescent="0.2">
      <c r="B31" s="1" t="s">
        <v>47</v>
      </c>
      <c r="C31" s="6">
        <f>C30*C18</f>
        <v>767.82906970771035</v>
      </c>
      <c r="D31" s="6">
        <f t="shared" ref="D31:K31" si="28">D30*D18</f>
        <v>826.10262353008238</v>
      </c>
      <c r="E31" s="6">
        <f t="shared" si="28"/>
        <v>893.59583588487442</v>
      </c>
      <c r="F31" s="6"/>
      <c r="G31" s="6">
        <f t="shared" si="28"/>
        <v>946.68196142520014</v>
      </c>
      <c r="H31" s="6">
        <f t="shared" si="28"/>
        <v>1009.1629708792635</v>
      </c>
      <c r="I31" s="6">
        <f t="shared" si="28"/>
        <v>1075.7677269572951</v>
      </c>
      <c r="J31" s="6">
        <f t="shared" si="28"/>
        <v>1146.7683969364766</v>
      </c>
      <c r="K31" s="6">
        <f t="shared" si="28"/>
        <v>1222.4551111342842</v>
      </c>
    </row>
    <row r="32" spans="1:11" x14ac:dyDescent="0.2">
      <c r="B32" s="1" t="s">
        <v>48</v>
      </c>
      <c r="C32" s="6">
        <f>C30-C31</f>
        <v>5426.67093029229</v>
      </c>
      <c r="D32" s="6">
        <f t="shared" ref="D32:K32" si="29">D30-D31</f>
        <v>4806.6973764699178</v>
      </c>
      <c r="E32" s="6">
        <f t="shared" si="29"/>
        <v>6060.4041641151252</v>
      </c>
      <c r="F32" s="6"/>
      <c r="G32" s="6">
        <f t="shared" si="29"/>
        <v>6171.2275229748011</v>
      </c>
      <c r="H32" s="6">
        <f t="shared" si="29"/>
        <v>6578.5285394911389</v>
      </c>
      <c r="I32" s="6">
        <f t="shared" si="29"/>
        <v>7012.7114230975549</v>
      </c>
      <c r="J32" s="6">
        <f t="shared" si="29"/>
        <v>7475.550377021993</v>
      </c>
      <c r="K32" s="6">
        <f t="shared" si="29"/>
        <v>7968.9367019054462</v>
      </c>
    </row>
    <row r="33" spans="2:11" x14ac:dyDescent="0.2">
      <c r="B33" s="2" t="s">
        <v>49</v>
      </c>
      <c r="G33" s="12">
        <f>G32+G22+G26-G27</f>
        <v>6170.611495374802</v>
      </c>
      <c r="H33" s="12">
        <f t="shared" ref="H33:K33" si="30">H32+H22+H26-H27</f>
        <v>6593.9147276695385</v>
      </c>
      <c r="I33" s="12">
        <f t="shared" si="30"/>
        <v>7029.1130996957299</v>
      </c>
      <c r="J33" s="12">
        <f t="shared" si="30"/>
        <v>7493.0345642756474</v>
      </c>
      <c r="K33" s="12">
        <f t="shared" si="30"/>
        <v>7987.5748455178427</v>
      </c>
    </row>
    <row r="35" spans="2:11" x14ac:dyDescent="0.2">
      <c r="B35" s="1" t="s">
        <v>50</v>
      </c>
      <c r="C35" s="4">
        <f ca="1">TODAY()</f>
        <v>45574</v>
      </c>
    </row>
    <row r="36" spans="2:11" x14ac:dyDescent="0.2">
      <c r="B36" s="1" t="s">
        <v>51</v>
      </c>
      <c r="C36" s="7">
        <f ca="1">(G1-v)/365</f>
        <v>0.22739726027397261</v>
      </c>
    </row>
    <row r="37" spans="2:11" x14ac:dyDescent="0.2">
      <c r="B37" s="1" t="s">
        <v>52</v>
      </c>
      <c r="C37" s="7">
        <v>0.08</v>
      </c>
    </row>
    <row r="38" spans="2:11" x14ac:dyDescent="0.2">
      <c r="B38" s="1" t="s">
        <v>53</v>
      </c>
      <c r="C38" s="7">
        <v>-0.01</v>
      </c>
    </row>
    <row r="40" spans="2:11" x14ac:dyDescent="0.2">
      <c r="B40" s="2" t="s">
        <v>54</v>
      </c>
      <c r="G40" s="13">
        <f ca="1">C36*G33/(1+d)^((G1-v)/365)</f>
        <v>1378.8371033152055</v>
      </c>
      <c r="H40" s="13">
        <f ca="1">H33/(1+d)^((H1-v)/365)</f>
        <v>5999.5558513995729</v>
      </c>
      <c r="I40" s="13">
        <f ca="1">I33/(1+d)^((I1-v)/365)</f>
        <v>5921.783831103653</v>
      </c>
      <c r="J40" s="13">
        <f ca="1">J33/(1+d)^((J1-v)/365)</f>
        <v>5845.0199666263825</v>
      </c>
      <c r="K40" s="13">
        <f ca="1">K33/(1+d)^((K1-v)/365)</f>
        <v>5768.0348584006451</v>
      </c>
    </row>
    <row r="42" spans="2:11" x14ac:dyDescent="0.2">
      <c r="B42" s="1" t="s">
        <v>55</v>
      </c>
      <c r="C42" s="6">
        <f>K33*(1+d)</f>
        <v>8626.5808331592707</v>
      </c>
    </row>
    <row r="43" spans="2:11" x14ac:dyDescent="0.2">
      <c r="B43" s="1" t="s">
        <v>56</v>
      </c>
      <c r="C43" s="6">
        <f>C42/(d-g)</f>
        <v>95850.898146214124</v>
      </c>
      <c r="H43" s="18" t="s">
        <v>63</v>
      </c>
      <c r="I43" s="18"/>
      <c r="J43" s="18"/>
    </row>
    <row r="44" spans="2:11" x14ac:dyDescent="0.2">
      <c r="B44" s="1" t="s">
        <v>57</v>
      </c>
      <c r="C44" s="6">
        <f ca="1">C43/(1+d)^((K1-v)/365)</f>
        <v>69216.418300807753</v>
      </c>
      <c r="F44" s="19">
        <f ca="1">C50</f>
        <v>236.47079417577714</v>
      </c>
      <c r="G44" s="16">
        <v>7.0000000000000007E-2</v>
      </c>
      <c r="H44" s="16">
        <v>7.4999999999999997E-2</v>
      </c>
      <c r="I44" s="16">
        <v>0.08</v>
      </c>
      <c r="J44" s="16">
        <v>8.5000000000000006E-2</v>
      </c>
      <c r="K44" s="16">
        <v>0.09</v>
      </c>
    </row>
    <row r="45" spans="2:11" x14ac:dyDescent="0.2">
      <c r="B45" s="1" t="s">
        <v>58</v>
      </c>
      <c r="C45" s="6">
        <f ca="1">SUM(G40:K40)</f>
        <v>24913.231610845462</v>
      </c>
      <c r="F45" s="17">
        <v>-0.01</v>
      </c>
      <c r="G45" s="10">
        <f t="dataTable" ref="G45:K49" dt2D="1" dtr="1" r1="C37" r2="C38" ca="1"/>
        <v>263.57648852579393</v>
      </c>
      <c r="H45" s="10">
        <v>249.23545483814448</v>
      </c>
      <c r="I45" s="10">
        <v>236.47079417577714</v>
      </c>
      <c r="J45" s="10">
        <v>225.03432365461933</v>
      </c>
      <c r="K45" s="10">
        <v>214.72746895855363</v>
      </c>
    </row>
    <row r="46" spans="2:11" x14ac:dyDescent="0.2">
      <c r="B46" s="1" t="s">
        <v>59</v>
      </c>
      <c r="C46" s="6">
        <f ca="1">C44+C45</f>
        <v>94129.649911653221</v>
      </c>
      <c r="F46" s="17">
        <v>0.01</v>
      </c>
      <c r="G46" s="10">
        <v>325.90213434494137</v>
      </c>
      <c r="H46" s="10">
        <v>302.57333206939728</v>
      </c>
      <c r="I46" s="10">
        <v>282.55135898204344</v>
      </c>
      <c r="J46" s="10">
        <v>265.1758493817095</v>
      </c>
      <c r="K46" s="10">
        <v>249.95149143544435</v>
      </c>
    </row>
    <row r="47" spans="2:11" x14ac:dyDescent="0.2">
      <c r="B47" s="1" t="s">
        <v>4</v>
      </c>
      <c r="C47" s="6">
        <f>Cash</f>
        <v>6624.9390000000003</v>
      </c>
      <c r="F47" s="17">
        <v>1.4999999999999999E-2</v>
      </c>
      <c r="G47" s="10">
        <v>348.56600555190397</v>
      </c>
      <c r="H47" s="10">
        <v>321.46383025546601</v>
      </c>
      <c r="I47" s="15">
        <v>298.50232372267413</v>
      </c>
      <c r="J47" s="10">
        <v>278.79529561054369</v>
      </c>
      <c r="K47" s="10">
        <v>261.69283226107461</v>
      </c>
    </row>
    <row r="48" spans="2:11" x14ac:dyDescent="0.2">
      <c r="B48" s="1" t="s">
        <v>5</v>
      </c>
      <c r="C48" s="6">
        <f>Debt</f>
        <v>13980.040999999999</v>
      </c>
      <c r="F48" s="17">
        <v>0.02</v>
      </c>
      <c r="G48" s="10">
        <v>375.76265100025921</v>
      </c>
      <c r="H48" s="10">
        <v>343.78896447536545</v>
      </c>
      <c r="I48" s="10">
        <v>317.11178258674329</v>
      </c>
      <c r="J48" s="10">
        <v>294.51004125919854</v>
      </c>
      <c r="K48" s="10">
        <v>275.11150749036636</v>
      </c>
    </row>
    <row r="49" spans="2:11" x14ac:dyDescent="0.2">
      <c r="B49" s="1" t="s">
        <v>60</v>
      </c>
      <c r="C49" s="6">
        <f ca="1">C46-C47+C48</f>
        <v>101484.75191165322</v>
      </c>
      <c r="F49" s="17">
        <v>2.5000000000000001E-2</v>
      </c>
      <c r="G49" s="10">
        <v>409.00299543713783</v>
      </c>
      <c r="H49" s="10">
        <v>370.57912553924467</v>
      </c>
      <c r="I49" s="10">
        <v>339.10477942609765</v>
      </c>
      <c r="J49" s="10">
        <v>312.84391118262914</v>
      </c>
      <c r="K49" s="10">
        <v>290.59459429339518</v>
      </c>
    </row>
    <row r="50" spans="2:11" x14ac:dyDescent="0.2">
      <c r="B50" s="2" t="s">
        <v>61</v>
      </c>
      <c r="C50" s="14">
        <f ca="1">C49/Shares</f>
        <v>236.47079417577714</v>
      </c>
    </row>
    <row r="51" spans="2:11" x14ac:dyDescent="0.2">
      <c r="B51" s="1" t="s">
        <v>62</v>
      </c>
      <c r="C51" s="7">
        <f ca="1">(C50/Price)-1</f>
        <v>-0.67143143785497128</v>
      </c>
    </row>
  </sheetData>
  <mergeCells count="1">
    <mergeCell ref="H43:J43"/>
  </mergeCells>
  <hyperlinks>
    <hyperlink ref="A1" location="Main!A1" display="Main" xr:uid="{E4B15DC3-E8EA-4BC3-842F-9D54F4668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Main</vt:lpstr>
      <vt:lpstr>Financials</vt:lpstr>
      <vt:lpstr>Model</vt:lpstr>
      <vt:lpstr>Cash</vt:lpstr>
      <vt:lpstr>d</vt:lpstr>
      <vt:lpstr>Debt</vt:lpstr>
      <vt:lpstr>g</vt:lpstr>
      <vt:lpstr>Price</vt:lpstr>
      <vt:lpstr>Shares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Hammen</dc:creator>
  <cp:lastModifiedBy>Jayden Hammen</cp:lastModifiedBy>
  <cp:lastPrinted>2024-10-09T22:31:38Z</cp:lastPrinted>
  <dcterms:created xsi:type="dcterms:W3CDTF">2024-10-08T02:33:36Z</dcterms:created>
  <dcterms:modified xsi:type="dcterms:W3CDTF">2024-10-09T22:37:14Z</dcterms:modified>
</cp:coreProperties>
</file>