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Tech\"/>
    </mc:Choice>
  </mc:AlternateContent>
  <xr:revisionPtr revIDLastSave="0" documentId="13_ncr:1_{83DFBAC1-D97D-4139-B855-031C5E8E7415}" xr6:coauthVersionLast="47" xr6:coauthVersionMax="47" xr10:uidLastSave="{00000000-0000-0000-0000-000000000000}"/>
  <bookViews>
    <workbookView xWindow="28680" yWindow="-120" windowWidth="29040" windowHeight="15720" xr2:uid="{35934C69-4DA1-4CB3-AD43-3433329E3C5F}"/>
  </bookViews>
  <sheets>
    <sheet name="Main" sheetId="1" r:id="rId1"/>
    <sheet name="Model" sheetId="2" r:id="rId2"/>
  </sheets>
  <definedNames>
    <definedName name="Cash">Main!$G$5</definedName>
    <definedName name="d">Model!$O$37</definedName>
    <definedName name="Debt">Main!$G$6</definedName>
    <definedName name="Price">Main!$G$2</definedName>
    <definedName name="Shares">Main!$G$3</definedName>
    <definedName name="t">Model!$O$38</definedName>
    <definedName name="v">Model!$O$35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G6" i="1"/>
  <c r="H2" i="1"/>
  <c r="O48" i="2"/>
  <c r="O47" i="2"/>
  <c r="O43" i="2"/>
  <c r="O42" i="2"/>
  <c r="O35" i="2"/>
  <c r="O36" i="2" s="1"/>
  <c r="S40" i="2" s="1"/>
  <c r="W33" i="2"/>
  <c r="V33" i="2"/>
  <c r="U33" i="2"/>
  <c r="T33" i="2"/>
  <c r="S33" i="2"/>
  <c r="W30" i="2"/>
  <c r="V30" i="2"/>
  <c r="U30" i="2"/>
  <c r="T30" i="2"/>
  <c r="S30" i="2"/>
  <c r="Q30" i="2"/>
  <c r="P30" i="2"/>
  <c r="O31" i="2"/>
  <c r="O32" i="2" s="1"/>
  <c r="O30" i="2"/>
  <c r="W27" i="2"/>
  <c r="V27" i="2"/>
  <c r="U27" i="2"/>
  <c r="T27" i="2"/>
  <c r="S27" i="2"/>
  <c r="W26" i="2"/>
  <c r="V26" i="2"/>
  <c r="U26" i="2"/>
  <c r="T26" i="2"/>
  <c r="S26" i="2"/>
  <c r="W24" i="2"/>
  <c r="V24" i="2"/>
  <c r="U24" i="2"/>
  <c r="T24" i="2"/>
  <c r="S24" i="2"/>
  <c r="W22" i="2"/>
  <c r="V22" i="2"/>
  <c r="U22" i="2"/>
  <c r="T22" i="2"/>
  <c r="S22" i="2"/>
  <c r="W12" i="2"/>
  <c r="V12" i="2"/>
  <c r="U12" i="2"/>
  <c r="T12" i="2"/>
  <c r="W11" i="2"/>
  <c r="W13" i="2" s="1"/>
  <c r="V11" i="2"/>
  <c r="V13" i="2" s="1"/>
  <c r="U11" i="2"/>
  <c r="U13" i="2" s="1"/>
  <c r="T11" i="2"/>
  <c r="T13" i="2" s="1"/>
  <c r="S12" i="2"/>
  <c r="S13" i="2" s="1"/>
  <c r="S11" i="2"/>
  <c r="W10" i="2"/>
  <c r="V10" i="2"/>
  <c r="U10" i="2"/>
  <c r="T10" i="2"/>
  <c r="S10" i="2"/>
  <c r="W9" i="2"/>
  <c r="V9" i="2"/>
  <c r="U9" i="2"/>
  <c r="T9" i="2"/>
  <c r="W8" i="2"/>
  <c r="V8" i="2"/>
  <c r="U8" i="2"/>
  <c r="T8" i="2"/>
  <c r="W6" i="2"/>
  <c r="W7" i="2" s="1"/>
  <c r="V6" i="2"/>
  <c r="V7" i="2" s="1"/>
  <c r="U6" i="2"/>
  <c r="U7" i="2" s="1"/>
  <c r="T6" i="2"/>
  <c r="T7" i="2" s="1"/>
  <c r="S8" i="2"/>
  <c r="S6" i="2"/>
  <c r="S7" i="2" s="1"/>
  <c r="S9" i="2"/>
  <c r="W4" i="2"/>
  <c r="V4" i="2"/>
  <c r="U4" i="2"/>
  <c r="T4" i="2"/>
  <c r="S4" i="2"/>
  <c r="W5" i="2"/>
  <c r="V5" i="2"/>
  <c r="U5" i="2"/>
  <c r="T5" i="2"/>
  <c r="S5" i="2"/>
  <c r="V3" i="2"/>
  <c r="W3" i="2" s="1"/>
  <c r="U3" i="2"/>
  <c r="T3" i="2"/>
  <c r="S3" i="2"/>
  <c r="Q26" i="2"/>
  <c r="P25" i="2"/>
  <c r="Q25" i="2"/>
  <c r="P24" i="2"/>
  <c r="Q24" i="2"/>
  <c r="P28" i="2"/>
  <c r="O28" i="2"/>
  <c r="Q28" i="2"/>
  <c r="P23" i="2"/>
  <c r="O23" i="2"/>
  <c r="Q23" i="2"/>
  <c r="U1" i="2"/>
  <c r="V1" i="2" s="1"/>
  <c r="W1" i="2" s="1"/>
  <c r="T1" i="2"/>
  <c r="S1" i="2"/>
  <c r="S2" i="2"/>
  <c r="T2" i="2" s="1"/>
  <c r="U2" i="2" s="1"/>
  <c r="V2" i="2" s="1"/>
  <c r="W2" i="2" s="1"/>
  <c r="R20" i="2"/>
  <c r="R19" i="2"/>
  <c r="R18" i="2"/>
  <c r="R17" i="2"/>
  <c r="R16" i="2"/>
  <c r="R15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20" i="2"/>
  <c r="D19" i="2"/>
  <c r="D18" i="2"/>
  <c r="D17" i="2"/>
  <c r="D16" i="2"/>
  <c r="C20" i="2"/>
  <c r="C19" i="2"/>
  <c r="C18" i="2"/>
  <c r="C17" i="2"/>
  <c r="C16" i="2"/>
  <c r="D15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G4" i="1"/>
  <c r="G7" i="1" l="1"/>
  <c r="O44" i="2"/>
  <c r="U40" i="2"/>
  <c r="T40" i="2"/>
  <c r="V40" i="2"/>
  <c r="W40" i="2"/>
  <c r="P31" i="2"/>
  <c r="P32" i="2" s="1"/>
  <c r="Q31" i="2"/>
  <c r="Q32" i="2" s="1"/>
  <c r="S31" i="2"/>
  <c r="S32" i="2" s="1"/>
  <c r="T31" i="2"/>
  <c r="T32" i="2" s="1"/>
  <c r="U31" i="2"/>
  <c r="U32" i="2" s="1"/>
  <c r="V31" i="2"/>
  <c r="V32" i="2" s="1"/>
  <c r="W31" i="2"/>
  <c r="W32" i="2" s="1"/>
  <c r="O45" i="2" l="1"/>
  <c r="O46" i="2" s="1"/>
  <c r="O49" i="2" s="1"/>
  <c r="O50" i="2" s="1"/>
  <c r="O51" i="2" s="1"/>
</calcChain>
</file>

<file path=xl/sharedStrings.xml><?xml version="1.0" encoding="utf-8"?>
<sst xmlns="http://schemas.openxmlformats.org/spreadsheetml/2006/main" count="58" uniqueCount="52">
  <si>
    <t>Oracle Corp.</t>
  </si>
  <si>
    <t>Price</t>
  </si>
  <si>
    <t>Shares</t>
  </si>
  <si>
    <t>MC</t>
  </si>
  <si>
    <t>Cash</t>
  </si>
  <si>
    <t>Debt</t>
  </si>
  <si>
    <t>EV</t>
  </si>
  <si>
    <t>Main</t>
  </si>
  <si>
    <t>SG&amp;A Expense</t>
  </si>
  <si>
    <t>R&amp;D Expense</t>
  </si>
  <si>
    <t>Other Income</t>
  </si>
  <si>
    <t>Net Income</t>
  </si>
  <si>
    <t>Revenue</t>
  </si>
  <si>
    <t>COGS</t>
  </si>
  <si>
    <t>Gross Profit</t>
  </si>
  <si>
    <t>OpEx</t>
  </si>
  <si>
    <t>EBIT</t>
  </si>
  <si>
    <t>EBT</t>
  </si>
  <si>
    <t>Taxes</t>
  </si>
  <si>
    <t>Revenue Growth y/y</t>
  </si>
  <si>
    <t>Gross Margin</t>
  </si>
  <si>
    <t>Operating Margin</t>
  </si>
  <si>
    <t>Tax Rate</t>
  </si>
  <si>
    <t>Other Income % of Revenue</t>
  </si>
  <si>
    <t>R&amp;D % of Revenue</t>
  </si>
  <si>
    <t>D&amp;A</t>
  </si>
  <si>
    <t>% of Revenue</t>
  </si>
  <si>
    <t>Working Capital</t>
  </si>
  <si>
    <t>CIWC</t>
  </si>
  <si>
    <t>CapEx</t>
  </si>
  <si>
    <t>AVG</t>
  </si>
  <si>
    <t>Operating Income</t>
  </si>
  <si>
    <t>Operating Taxes</t>
  </si>
  <si>
    <t>NOPAT</t>
  </si>
  <si>
    <t>UFCF</t>
  </si>
  <si>
    <t>Valuation Date</t>
  </si>
  <si>
    <t>Stub %</t>
  </si>
  <si>
    <t>Discount Rate</t>
  </si>
  <si>
    <t>TGR</t>
  </si>
  <si>
    <t>PV of UFCF</t>
  </si>
  <si>
    <t>Final FCF</t>
  </si>
  <si>
    <t>Terminal Value</t>
  </si>
  <si>
    <t>PV of Terminal Value</t>
  </si>
  <si>
    <t>Sum of Stage 1 CF</t>
  </si>
  <si>
    <t>Enterprise Value</t>
  </si>
  <si>
    <t>Equity Value</t>
  </si>
  <si>
    <t>Share Price</t>
  </si>
  <si>
    <t>Implied Upside</t>
  </si>
  <si>
    <t>Ticker</t>
  </si>
  <si>
    <t>ORCL</t>
  </si>
  <si>
    <t>Q2 25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</si>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</sst>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3" tint="0.249977111117893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3" fillId="0" borderId="0" xfId="3" applyFont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164" fontId="4" fillId="0" borderId="0" xfId="1" applyNumberFormat="1" applyFont="1"/>
    <xf numFmtId="9" fontId="4" fillId="0" borderId="0" xfId="2" applyFont="1"/>
    <xf numFmtId="9" fontId="5" fillId="0" borderId="0" xfId="0" applyNumberFormat="1" applyFont="1"/>
    <xf numFmtId="165" fontId="4" fillId="0" borderId="0" xfId="2" applyNumberFormat="1" applyFont="1"/>
    <xf numFmtId="0" fontId="6" fillId="0" borderId="0" xfId="0" applyFont="1"/>
    <xf numFmtId="164" fontId="6" fillId="0" borderId="0" xfId="0" applyNumberFormat="1" applyFont="1"/>
    <xf numFmtId="164" fontId="6" fillId="0" borderId="0" xfId="1" applyNumberFormat="1" applyFont="1"/>
    <xf numFmtId="43" fontId="6" fillId="0" borderId="0" xfId="1" applyFont="1"/>
    <xf numFmtId="14" fontId="0" fillId="0" borderId="0" xfId="0" applyNumberFormat="1"/>
    <xf numFmtId="43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D892-3EC0-4437-B9A1-6E166E0F8817}">
  <dimension ref="A1:K7"/>
  <sheetViews>
    <sheetView tabSelected="1" zoomScale="150" zoomScaleNormal="150" workbookViewId="0"/>
  </sheetViews>
  <sheetFormatPr defaultRowHeight="15" x14ac:dyDescent="0.25"/>
  <cols>
    <col min="7" max="7" width="11.7109375" bestFit="1" customWidth="1"/>
    <col min="8" max="8" width="10.5703125" bestFit="1" customWidth="1"/>
    <col min="10" max="10" width="10" bestFit="1" customWidth="1"/>
  </cols>
  <sheetData>
    <row r="1" spans="1:11" x14ac:dyDescent="0.25">
      <c r="A1" t="s">
        <v>0</v>
      </c>
    </row>
    <row r="2" spans="1:11" x14ac:dyDescent="0.25">
      <c r="A2" t="s">
        <v>48</v>
      </c>
      <c r="B2" t="s">
        <v>49</v>
      </c>
      <c r="F2" t="s">
        <v>1</v>
      </c>
      <c r="G2">
        <v>166.63</v>
      </c>
      <c r="H2" s="14">
        <f ca="1">TODAY()</f>
        <v>45656</v>
      </c>
      <c r="J2" t="s">
        <v>51</v>
      </c>
      <c r="K2" s="15">
        <f>G7/SUM(Model!Q9,Model!Q22)</f>
        <v>29.185661608051078</v>
      </c>
    </row>
    <row r="3" spans="1:11" x14ac:dyDescent="0.25">
      <c r="F3" t="s">
        <v>2</v>
      </c>
      <c r="G3" s="1">
        <v>2770.9679999999998</v>
      </c>
      <c r="H3" t="s">
        <v>50</v>
      </c>
    </row>
    <row r="4" spans="1:11" x14ac:dyDescent="0.25">
      <c r="F4" t="s">
        <v>3</v>
      </c>
      <c r="G4" s="1">
        <f>G2*G3</f>
        <v>461726.39783999999</v>
      </c>
    </row>
    <row r="5" spans="1:11" x14ac:dyDescent="0.25">
      <c r="F5" t="s">
        <v>4</v>
      </c>
      <c r="G5" s="1">
        <v>10941</v>
      </c>
      <c r="H5" t="s">
        <v>50</v>
      </c>
    </row>
    <row r="6" spans="1:11" x14ac:dyDescent="0.25">
      <c r="F6" t="s">
        <v>5</v>
      </c>
      <c r="G6" s="1">
        <f>8162+80462</f>
        <v>88624</v>
      </c>
      <c r="H6" t="s">
        <v>50</v>
      </c>
    </row>
    <row r="7" spans="1:11" x14ac:dyDescent="0.25">
      <c r="F7" t="s">
        <v>6</v>
      </c>
      <c r="G7" s="1">
        <f>G4-G5+G6</f>
        <v>539409.39783999999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95DF-8702-451D-89B5-82978C718986}">
  <dimension ref="A1:W51"/>
  <sheetViews>
    <sheetView zoomScale="130" zoomScaleNormal="130" workbookViewId="0"/>
  </sheetViews>
  <sheetFormatPr defaultRowHeight="14.25" x14ac:dyDescent="0.2"/>
  <cols>
    <col min="1" max="1" width="5.28515625" style="3" bestFit="1" customWidth="1"/>
    <col min="2" max="2" width="28" style="3" bestFit="1" customWidth="1"/>
    <col min="3" max="14" width="11.140625" style="3" hidden="1" customWidth="1"/>
    <col min="15" max="17" width="11.85546875" style="3" bestFit="1" customWidth="1"/>
    <col min="18" max="18" width="9.28515625" style="3" bestFit="1" customWidth="1"/>
    <col min="19" max="23" width="12" style="3" bestFit="1" customWidth="1"/>
    <col min="24" max="16384" width="9.140625" style="3"/>
  </cols>
  <sheetData>
    <row r="1" spans="1:23" x14ac:dyDescent="0.2">
      <c r="A1" s="2" t="s">
        <v>7</v>
      </c>
      <c r="C1" s="4">
        <v>40329</v>
      </c>
      <c r="D1" s="4">
        <f>EOMONTH(C1,12)</f>
        <v>40694</v>
      </c>
      <c r="E1" s="4">
        <f t="shared" ref="E1:Q1" si="0">EOMONTH(D1,12)</f>
        <v>41060</v>
      </c>
      <c r="F1" s="4">
        <f t="shared" si="0"/>
        <v>41425</v>
      </c>
      <c r="G1" s="4">
        <f t="shared" si="0"/>
        <v>41790</v>
      </c>
      <c r="H1" s="4">
        <f t="shared" si="0"/>
        <v>42155</v>
      </c>
      <c r="I1" s="4">
        <f t="shared" si="0"/>
        <v>42521</v>
      </c>
      <c r="J1" s="4">
        <f t="shared" si="0"/>
        <v>42886</v>
      </c>
      <c r="K1" s="4">
        <f t="shared" si="0"/>
        <v>43251</v>
      </c>
      <c r="L1" s="4">
        <f t="shared" si="0"/>
        <v>43616</v>
      </c>
      <c r="M1" s="4">
        <f t="shared" si="0"/>
        <v>43982</v>
      </c>
      <c r="N1" s="4">
        <f t="shared" si="0"/>
        <v>44347</v>
      </c>
      <c r="O1" s="4">
        <f t="shared" si="0"/>
        <v>44712</v>
      </c>
      <c r="P1" s="4">
        <f t="shared" si="0"/>
        <v>45077</v>
      </c>
      <c r="Q1" s="4">
        <f t="shared" si="0"/>
        <v>45443</v>
      </c>
      <c r="S1" s="4">
        <f>EOMONTH(Q1,12)</f>
        <v>45808</v>
      </c>
      <c r="T1" s="4">
        <f>EOMONTH(S1,12)</f>
        <v>46173</v>
      </c>
      <c r="U1" s="4">
        <f t="shared" ref="U1:W1" si="1">EOMONTH(T1,12)</f>
        <v>46538</v>
      </c>
      <c r="V1" s="4">
        <f t="shared" si="1"/>
        <v>46904</v>
      </c>
      <c r="W1" s="4">
        <f t="shared" si="1"/>
        <v>47269</v>
      </c>
    </row>
    <row r="2" spans="1:23" x14ac:dyDescent="0.2">
      <c r="C2" s="5">
        <v>2010</v>
      </c>
      <c r="D2" s="5">
        <f>C2+1</f>
        <v>2011</v>
      </c>
      <c r="E2" s="5">
        <f t="shared" ref="E2:W2" si="2">D2+1</f>
        <v>2012</v>
      </c>
      <c r="F2" s="5">
        <f t="shared" si="2"/>
        <v>2013</v>
      </c>
      <c r="G2" s="5">
        <f t="shared" si="2"/>
        <v>2014</v>
      </c>
      <c r="H2" s="5">
        <f t="shared" si="2"/>
        <v>2015</v>
      </c>
      <c r="I2" s="5">
        <f t="shared" si="2"/>
        <v>2016</v>
      </c>
      <c r="J2" s="5">
        <f t="shared" si="2"/>
        <v>2017</v>
      </c>
      <c r="K2" s="5">
        <f t="shared" si="2"/>
        <v>2018</v>
      </c>
      <c r="L2" s="5">
        <f t="shared" si="2"/>
        <v>2019</v>
      </c>
      <c r="M2" s="5">
        <f t="shared" si="2"/>
        <v>2020</v>
      </c>
      <c r="N2" s="5">
        <f t="shared" si="2"/>
        <v>2021</v>
      </c>
      <c r="O2" s="5">
        <f t="shared" si="2"/>
        <v>2022</v>
      </c>
      <c r="P2" s="5">
        <f t="shared" si="2"/>
        <v>2023</v>
      </c>
      <c r="Q2" s="5">
        <f t="shared" si="2"/>
        <v>2024</v>
      </c>
      <c r="S2" s="5">
        <f>Q2+1</f>
        <v>2025</v>
      </c>
      <c r="T2" s="5">
        <f t="shared" si="2"/>
        <v>2026</v>
      </c>
      <c r="U2" s="5">
        <f t="shared" si="2"/>
        <v>2027</v>
      </c>
      <c r="V2" s="5">
        <f t="shared" si="2"/>
        <v>2028</v>
      </c>
      <c r="W2" s="5">
        <f t="shared" si="2"/>
        <v>2029</v>
      </c>
    </row>
    <row r="3" spans="1:23" x14ac:dyDescent="0.2">
      <c r="B3" s="6" t="s">
        <v>12</v>
      </c>
      <c r="C3" s="6">
        <v>26820</v>
      </c>
      <c r="D3" s="6">
        <v>35622</v>
      </c>
      <c r="E3" s="6">
        <v>37121</v>
      </c>
      <c r="F3" s="6">
        <v>37180</v>
      </c>
      <c r="G3" s="6">
        <v>38275</v>
      </c>
      <c r="H3" s="6">
        <v>38226</v>
      </c>
      <c r="I3" s="6">
        <v>37047</v>
      </c>
      <c r="J3" s="6">
        <v>37792</v>
      </c>
      <c r="K3" s="6">
        <v>39383</v>
      </c>
      <c r="L3" s="6">
        <v>39506</v>
      </c>
      <c r="M3" s="6">
        <v>39068</v>
      </c>
      <c r="N3" s="6">
        <v>40479</v>
      </c>
      <c r="O3" s="6">
        <v>42440</v>
      </c>
      <c r="P3" s="6">
        <v>49954</v>
      </c>
      <c r="Q3" s="6">
        <v>52961</v>
      </c>
      <c r="S3" s="6">
        <f>Q3*(1+S15)</f>
        <v>58257.100000000006</v>
      </c>
      <c r="T3" s="6">
        <f>S3*(1+T15)</f>
        <v>64082.810000000012</v>
      </c>
      <c r="U3" s="6">
        <f t="shared" ref="U3:W3" si="3">T3*(1+U15)</f>
        <v>70491.091000000015</v>
      </c>
      <c r="V3" s="6">
        <f t="shared" si="3"/>
        <v>77540.200100000016</v>
      </c>
      <c r="W3" s="6">
        <f t="shared" si="3"/>
        <v>85294.220110000024</v>
      </c>
    </row>
    <row r="4" spans="1:23" x14ac:dyDescent="0.2">
      <c r="B4" s="6" t="s">
        <v>13</v>
      </c>
      <c r="C4" s="6">
        <v>5764</v>
      </c>
      <c r="D4" s="6">
        <v>8398</v>
      </c>
      <c r="E4" s="6">
        <v>7995</v>
      </c>
      <c r="F4" s="6">
        <v>7379</v>
      </c>
      <c r="G4" s="6">
        <v>7236</v>
      </c>
      <c r="H4" s="6">
        <v>4128</v>
      </c>
      <c r="I4" s="6">
        <v>7479</v>
      </c>
      <c r="J4" s="6">
        <v>7452</v>
      </c>
      <c r="K4" s="6">
        <v>8060</v>
      </c>
      <c r="L4" s="6">
        <v>5142</v>
      </c>
      <c r="M4" s="6">
        <v>5122</v>
      </c>
      <c r="N4" s="6">
        <v>5325</v>
      </c>
      <c r="O4" s="6">
        <v>6185</v>
      </c>
      <c r="P4" s="6">
        <v>8803</v>
      </c>
      <c r="Q4" s="6">
        <v>10318</v>
      </c>
      <c r="S4" s="6">
        <f>S3-S5</f>
        <v>9903.7070000000022</v>
      </c>
      <c r="T4" s="6">
        <f t="shared" ref="T4:W4" si="4">T3-T5</f>
        <v>10894.077700000002</v>
      </c>
      <c r="U4" s="6">
        <f t="shared" si="4"/>
        <v>11983.485470000007</v>
      </c>
      <c r="V4" s="6">
        <f t="shared" si="4"/>
        <v>13181.834017000008</v>
      </c>
      <c r="W4" s="6">
        <f t="shared" si="4"/>
        <v>14500.017418700008</v>
      </c>
    </row>
    <row r="5" spans="1:23" x14ac:dyDescent="0.2">
      <c r="B5" s="6" t="s">
        <v>14</v>
      </c>
      <c r="C5" s="6">
        <v>21056</v>
      </c>
      <c r="D5" s="6">
        <v>27224</v>
      </c>
      <c r="E5" s="6">
        <v>29126</v>
      </c>
      <c r="F5" s="6">
        <v>29801</v>
      </c>
      <c r="G5" s="6">
        <v>31039</v>
      </c>
      <c r="H5" s="6">
        <v>34098</v>
      </c>
      <c r="I5" s="6">
        <v>29568</v>
      </c>
      <c r="J5" s="6">
        <v>30340</v>
      </c>
      <c r="K5" s="6">
        <v>31323</v>
      </c>
      <c r="L5" s="6">
        <v>34364</v>
      </c>
      <c r="M5" s="6">
        <v>33946</v>
      </c>
      <c r="N5" s="6">
        <v>35154</v>
      </c>
      <c r="O5" s="6">
        <v>36255</v>
      </c>
      <c r="P5" s="6">
        <v>41151</v>
      </c>
      <c r="Q5" s="6">
        <v>42643</v>
      </c>
      <c r="S5" s="6">
        <f>S3*S16</f>
        <v>48353.393000000004</v>
      </c>
      <c r="T5" s="6">
        <f t="shared" ref="T5:W5" si="5">T3*T16</f>
        <v>53188.732300000011</v>
      </c>
      <c r="U5" s="6">
        <f t="shared" si="5"/>
        <v>58507.605530000008</v>
      </c>
      <c r="V5" s="6">
        <f t="shared" si="5"/>
        <v>64358.366083000008</v>
      </c>
      <c r="W5" s="6">
        <f t="shared" si="5"/>
        <v>70794.202691300015</v>
      </c>
    </row>
    <row r="6" spans="1:23" x14ac:dyDescent="0.2">
      <c r="B6" s="6" t="s">
        <v>15</v>
      </c>
      <c r="C6" s="6">
        <v>11994</v>
      </c>
      <c r="D6" s="6">
        <v>15191</v>
      </c>
      <c r="E6" s="6">
        <v>15420</v>
      </c>
      <c r="F6" s="6">
        <v>15117</v>
      </c>
      <c r="G6" s="6">
        <v>16280</v>
      </c>
      <c r="H6" s="6">
        <v>16823</v>
      </c>
      <c r="I6" s="6">
        <v>16964</v>
      </c>
      <c r="J6" s="6">
        <v>17427</v>
      </c>
      <c r="K6" s="6">
        <v>18059</v>
      </c>
      <c r="L6" s="6">
        <v>20829</v>
      </c>
      <c r="M6" s="6">
        <v>20050</v>
      </c>
      <c r="N6" s="6">
        <v>19941</v>
      </c>
      <c r="O6" s="6">
        <v>25329</v>
      </c>
      <c r="P6" s="6">
        <v>28058</v>
      </c>
      <c r="Q6" s="6">
        <v>27290</v>
      </c>
      <c r="S6" s="6">
        <f>S5-S9</f>
        <v>32623.976000000002</v>
      </c>
      <c r="T6" s="6">
        <f t="shared" ref="T6:W6" si="6">T5-T9</f>
        <v>35886.373600000006</v>
      </c>
      <c r="U6" s="6">
        <f t="shared" si="6"/>
        <v>39475.01096</v>
      </c>
      <c r="V6" s="6">
        <f t="shared" si="6"/>
        <v>43422.512056000007</v>
      </c>
      <c r="W6" s="6">
        <f t="shared" si="6"/>
        <v>47764.763261600005</v>
      </c>
    </row>
    <row r="7" spans="1:23" x14ac:dyDescent="0.2">
      <c r="B7" s="6" t="s">
        <v>8</v>
      </c>
      <c r="C7" s="6">
        <v>911</v>
      </c>
      <c r="D7" s="6">
        <v>970</v>
      </c>
      <c r="E7" s="6">
        <v>1126</v>
      </c>
      <c r="F7" s="6">
        <v>1072</v>
      </c>
      <c r="G7" s="6">
        <v>1038</v>
      </c>
      <c r="H7" s="6">
        <v>1077</v>
      </c>
      <c r="I7" s="6">
        <v>1155</v>
      </c>
      <c r="J7" s="6">
        <v>1172</v>
      </c>
      <c r="K7" s="6">
        <v>1282</v>
      </c>
      <c r="L7" s="6">
        <v>1265</v>
      </c>
      <c r="M7" s="6">
        <v>1181</v>
      </c>
      <c r="N7" s="6">
        <v>1254</v>
      </c>
      <c r="O7" s="6">
        <v>1317</v>
      </c>
      <c r="P7" s="6">
        <v>1579</v>
      </c>
      <c r="Q7" s="6">
        <v>1548</v>
      </c>
      <c r="S7" s="6">
        <f>S6-S8</f>
        <v>22720.269</v>
      </c>
      <c r="T7" s="6">
        <f t="shared" ref="T7:W7" si="7">T6-T8</f>
        <v>24992.295900000005</v>
      </c>
      <c r="U7" s="6">
        <f t="shared" si="7"/>
        <v>27491.525489999996</v>
      </c>
      <c r="V7" s="6">
        <f t="shared" si="7"/>
        <v>30240.678039000006</v>
      </c>
      <c r="W7" s="6">
        <f t="shared" si="7"/>
        <v>33264.745842899996</v>
      </c>
    </row>
    <row r="8" spans="1:23" x14ac:dyDescent="0.2">
      <c r="B8" s="6" t="s">
        <v>9</v>
      </c>
      <c r="C8" s="6">
        <v>3254</v>
      </c>
      <c r="D8" s="6">
        <v>4519</v>
      </c>
      <c r="E8" s="6">
        <v>4523</v>
      </c>
      <c r="F8" s="6">
        <v>4850</v>
      </c>
      <c r="G8" s="6">
        <v>5151</v>
      </c>
      <c r="H8" s="6">
        <v>5524</v>
      </c>
      <c r="I8" s="6">
        <v>5787</v>
      </c>
      <c r="J8" s="6">
        <v>6153</v>
      </c>
      <c r="K8" s="6">
        <v>6084</v>
      </c>
      <c r="L8" s="6">
        <v>6026</v>
      </c>
      <c r="M8" s="6">
        <v>6067</v>
      </c>
      <c r="N8" s="6">
        <v>6527</v>
      </c>
      <c r="O8" s="6">
        <v>7219</v>
      </c>
      <c r="P8" s="6">
        <v>8623</v>
      </c>
      <c r="Q8" s="6">
        <v>8915</v>
      </c>
      <c r="S8" s="6">
        <f>S3*S20</f>
        <v>9903.7070000000022</v>
      </c>
      <c r="T8" s="6">
        <f t="shared" ref="T8:W8" si="8">T3*T20</f>
        <v>10894.077700000003</v>
      </c>
      <c r="U8" s="6">
        <f t="shared" si="8"/>
        <v>11983.485470000003</v>
      </c>
      <c r="V8" s="6">
        <f t="shared" si="8"/>
        <v>13181.834017000003</v>
      </c>
      <c r="W8" s="6">
        <f t="shared" si="8"/>
        <v>14500.017418700005</v>
      </c>
    </row>
    <row r="9" spans="1:23" x14ac:dyDescent="0.2">
      <c r="B9" s="6" t="s">
        <v>16</v>
      </c>
      <c r="C9" s="6">
        <v>9062</v>
      </c>
      <c r="D9" s="6">
        <v>12033</v>
      </c>
      <c r="E9" s="6">
        <v>13706</v>
      </c>
      <c r="F9" s="6">
        <v>14684</v>
      </c>
      <c r="G9" s="6">
        <v>14759</v>
      </c>
      <c r="H9" s="6">
        <v>13871</v>
      </c>
      <c r="I9" s="6">
        <v>12604</v>
      </c>
      <c r="J9" s="6">
        <v>12913</v>
      </c>
      <c r="K9" s="6">
        <v>13264</v>
      </c>
      <c r="L9" s="6">
        <v>13535</v>
      </c>
      <c r="M9" s="6">
        <v>13896</v>
      </c>
      <c r="N9" s="6">
        <v>15213</v>
      </c>
      <c r="O9" s="6">
        <v>10926</v>
      </c>
      <c r="P9" s="6">
        <v>13093</v>
      </c>
      <c r="Q9" s="6">
        <v>15353</v>
      </c>
      <c r="S9" s="6">
        <f>S3*S17</f>
        <v>15729.417000000003</v>
      </c>
      <c r="T9" s="6">
        <f t="shared" ref="T9:W9" si="9">T3*T17</f>
        <v>17302.358700000004</v>
      </c>
      <c r="U9" s="6">
        <f t="shared" si="9"/>
        <v>19032.594570000005</v>
      </c>
      <c r="V9" s="6">
        <f t="shared" si="9"/>
        <v>20935.854027000005</v>
      </c>
      <c r="W9" s="6">
        <f t="shared" si="9"/>
        <v>23029.439429700007</v>
      </c>
    </row>
    <row r="10" spans="1:23" x14ac:dyDescent="0.2">
      <c r="B10" s="6" t="s">
        <v>10</v>
      </c>
      <c r="C10" s="6">
        <v>-819</v>
      </c>
      <c r="D10" s="6">
        <v>-622</v>
      </c>
      <c r="E10" s="6">
        <v>-744</v>
      </c>
      <c r="F10" s="6">
        <v>-786</v>
      </c>
      <c r="G10" s="6">
        <v>-1055</v>
      </c>
      <c r="H10" s="6">
        <v>-1037</v>
      </c>
      <c r="I10" s="6">
        <v>-1162</v>
      </c>
      <c r="J10" s="6">
        <v>-1233</v>
      </c>
      <c r="K10" s="6">
        <v>-840</v>
      </c>
      <c r="L10" s="6">
        <v>-1267</v>
      </c>
      <c r="M10" s="6">
        <v>-1833</v>
      </c>
      <c r="N10" s="6">
        <v>-2214</v>
      </c>
      <c r="O10" s="6">
        <v>-3277</v>
      </c>
      <c r="P10" s="6">
        <v>-3967</v>
      </c>
      <c r="Q10" s="6">
        <v>-3612</v>
      </c>
      <c r="S10" s="6">
        <f>S3*S19</f>
        <v>-4077.9970000000008</v>
      </c>
      <c r="T10" s="6">
        <f t="shared" ref="T10:W10" si="10">T3*T19</f>
        <v>-4485.7967000000017</v>
      </c>
      <c r="U10" s="6">
        <f t="shared" si="10"/>
        <v>-4934.3763700000018</v>
      </c>
      <c r="V10" s="6">
        <f t="shared" si="10"/>
        <v>-5427.8140070000018</v>
      </c>
      <c r="W10" s="6">
        <f t="shared" si="10"/>
        <v>-5970.5954077000024</v>
      </c>
    </row>
    <row r="11" spans="1:23" x14ac:dyDescent="0.2">
      <c r="B11" s="6" t="s">
        <v>17</v>
      </c>
      <c r="C11" s="6">
        <v>8243</v>
      </c>
      <c r="D11" s="6">
        <v>11411</v>
      </c>
      <c r="E11" s="6">
        <v>12962</v>
      </c>
      <c r="F11" s="6">
        <v>13898</v>
      </c>
      <c r="G11" s="6">
        <v>13704</v>
      </c>
      <c r="H11" s="6">
        <v>12834</v>
      </c>
      <c r="I11" s="6">
        <v>11442</v>
      </c>
      <c r="J11" s="6">
        <v>11680</v>
      </c>
      <c r="K11" s="6">
        <v>12424</v>
      </c>
      <c r="L11" s="6">
        <v>12268</v>
      </c>
      <c r="M11" s="6">
        <v>12063</v>
      </c>
      <c r="N11" s="6">
        <v>12999</v>
      </c>
      <c r="O11" s="6">
        <v>7649</v>
      </c>
      <c r="P11" s="6">
        <v>9126</v>
      </c>
      <c r="Q11" s="6">
        <v>11741</v>
      </c>
      <c r="S11" s="6">
        <f>S9+S10</f>
        <v>11651.420000000002</v>
      </c>
      <c r="T11" s="6">
        <f t="shared" ref="T11:W11" si="11">T9+T10</f>
        <v>12816.562000000002</v>
      </c>
      <c r="U11" s="6">
        <f t="shared" si="11"/>
        <v>14098.218200000003</v>
      </c>
      <c r="V11" s="6">
        <f t="shared" si="11"/>
        <v>15508.040020000004</v>
      </c>
      <c r="W11" s="6">
        <f t="shared" si="11"/>
        <v>17058.844022000005</v>
      </c>
    </row>
    <row r="12" spans="1:23" x14ac:dyDescent="0.2">
      <c r="B12" s="6" t="s">
        <v>18</v>
      </c>
      <c r="C12" s="6">
        <v>2108</v>
      </c>
      <c r="D12" s="6">
        <v>2864</v>
      </c>
      <c r="E12" s="6">
        <v>2981</v>
      </c>
      <c r="F12" s="6">
        <v>2973</v>
      </c>
      <c r="G12" s="6">
        <v>2749</v>
      </c>
      <c r="H12" s="6">
        <v>2896</v>
      </c>
      <c r="I12" s="6">
        <v>2541</v>
      </c>
      <c r="J12" s="6">
        <v>2228</v>
      </c>
      <c r="K12" s="6">
        <v>8837</v>
      </c>
      <c r="L12" s="6">
        <v>1185</v>
      </c>
      <c r="M12" s="6">
        <v>1928</v>
      </c>
      <c r="N12" s="6">
        <v>-747</v>
      </c>
      <c r="O12" s="6">
        <v>932</v>
      </c>
      <c r="P12" s="6">
        <v>623</v>
      </c>
      <c r="Q12" s="6">
        <v>1274</v>
      </c>
      <c r="S12" s="6">
        <f>S11*S18</f>
        <v>1165.1420000000003</v>
      </c>
      <c r="T12" s="6">
        <f t="shared" ref="T12:W12" si="12">T11*T18</f>
        <v>1281.6562000000004</v>
      </c>
      <c r="U12" s="6">
        <f t="shared" si="12"/>
        <v>1409.8218200000003</v>
      </c>
      <c r="V12" s="6">
        <f t="shared" si="12"/>
        <v>1550.8040020000005</v>
      </c>
      <c r="W12" s="6">
        <f t="shared" si="12"/>
        <v>1705.8844022000005</v>
      </c>
    </row>
    <row r="13" spans="1:23" x14ac:dyDescent="0.2">
      <c r="B13" s="6" t="s">
        <v>11</v>
      </c>
      <c r="C13" s="6">
        <v>6135</v>
      </c>
      <c r="D13" s="6">
        <v>8547</v>
      </c>
      <c r="E13" s="6">
        <v>9981</v>
      </c>
      <c r="F13" s="6">
        <v>10925</v>
      </c>
      <c r="G13" s="6">
        <v>10955</v>
      </c>
      <c r="H13" s="6">
        <v>9938</v>
      </c>
      <c r="I13" s="6">
        <v>8901</v>
      </c>
      <c r="J13" s="6">
        <v>9452</v>
      </c>
      <c r="K13" s="6">
        <v>3587</v>
      </c>
      <c r="L13" s="6">
        <v>11083</v>
      </c>
      <c r="M13" s="6">
        <v>10135</v>
      </c>
      <c r="N13" s="6">
        <v>13746</v>
      </c>
      <c r="O13" s="6">
        <v>6717</v>
      </c>
      <c r="P13" s="6">
        <v>8503</v>
      </c>
      <c r="Q13" s="6">
        <v>10467</v>
      </c>
      <c r="S13" s="6">
        <f>S11-S12</f>
        <v>10486.278000000002</v>
      </c>
      <c r="T13" s="6">
        <f t="shared" ref="T13:W13" si="13">T11-T12</f>
        <v>11534.9058</v>
      </c>
      <c r="U13" s="6">
        <f t="shared" si="13"/>
        <v>12688.396380000002</v>
      </c>
      <c r="V13" s="6">
        <f t="shared" si="13"/>
        <v>13957.236018000003</v>
      </c>
      <c r="W13" s="6">
        <f t="shared" si="13"/>
        <v>15352.959619800004</v>
      </c>
    </row>
    <row r="14" spans="1:23" x14ac:dyDescent="0.2">
      <c r="R14" s="3" t="s">
        <v>30</v>
      </c>
    </row>
    <row r="15" spans="1:23" x14ac:dyDescent="0.2">
      <c r="B15" s="6" t="s">
        <v>19</v>
      </c>
      <c r="C15" s="7"/>
      <c r="D15" s="7">
        <f>(D3/C3)-1</f>
        <v>0.32818791946308723</v>
      </c>
      <c r="E15" s="7">
        <f t="shared" ref="E15:Q15" si="14">(E3/D3)-1</f>
        <v>4.2080736623435033E-2</v>
      </c>
      <c r="F15" s="7">
        <f t="shared" si="14"/>
        <v>1.5893968373696943E-3</v>
      </c>
      <c r="G15" s="7">
        <f t="shared" si="14"/>
        <v>2.9451317912856378E-2</v>
      </c>
      <c r="H15" s="7">
        <f t="shared" si="14"/>
        <v>-1.2802090137165045E-3</v>
      </c>
      <c r="I15" s="7">
        <f t="shared" si="14"/>
        <v>-3.084288180819339E-2</v>
      </c>
      <c r="J15" s="7">
        <f t="shared" si="14"/>
        <v>2.0109590520150045E-2</v>
      </c>
      <c r="K15" s="7">
        <f t="shared" si="14"/>
        <v>4.2098856900931514E-2</v>
      </c>
      <c r="L15" s="7">
        <f t="shared" si="14"/>
        <v>3.1231749739735193E-3</v>
      </c>
      <c r="M15" s="7">
        <f t="shared" si="14"/>
        <v>-1.108692350529028E-2</v>
      </c>
      <c r="N15" s="7">
        <f t="shared" si="14"/>
        <v>3.6116514794716892E-2</v>
      </c>
      <c r="O15" s="7">
        <f t="shared" si="14"/>
        <v>4.8444872650015958E-2</v>
      </c>
      <c r="P15" s="7">
        <f t="shared" si="14"/>
        <v>0.17704995287464653</v>
      </c>
      <c r="Q15" s="7">
        <f t="shared" si="14"/>
        <v>6.0195379749369504E-2</v>
      </c>
      <c r="R15" s="8">
        <f>AVERAGE(O15:Q15)</f>
        <v>9.5230068424677336E-2</v>
      </c>
      <c r="S15" s="7">
        <v>0.1</v>
      </c>
      <c r="T15" s="7">
        <v>0.1</v>
      </c>
      <c r="U15" s="7">
        <v>0.1</v>
      </c>
      <c r="V15" s="7">
        <v>0.1</v>
      </c>
      <c r="W15" s="7">
        <v>0.1</v>
      </c>
    </row>
    <row r="16" spans="1:23" x14ac:dyDescent="0.2">
      <c r="B16" s="3" t="s">
        <v>20</v>
      </c>
      <c r="C16" s="7">
        <f>C5/C3</f>
        <v>0.78508575689783744</v>
      </c>
      <c r="D16" s="7">
        <f>D5/D3</f>
        <v>0.76424681376677339</v>
      </c>
      <c r="E16" s="7">
        <f t="shared" ref="E16:Q16" si="15">E5/E3</f>
        <v>0.78462325907168451</v>
      </c>
      <c r="F16" s="7">
        <f t="shared" si="15"/>
        <v>0.80153308230231313</v>
      </c>
      <c r="G16" s="7">
        <f t="shared" si="15"/>
        <v>0.81094709340300453</v>
      </c>
      <c r="H16" s="7">
        <f t="shared" si="15"/>
        <v>0.89201067336367912</v>
      </c>
      <c r="I16" s="7">
        <f t="shared" si="15"/>
        <v>0.79812130536885573</v>
      </c>
      <c r="J16" s="7">
        <f t="shared" si="15"/>
        <v>0.80281541066892459</v>
      </c>
      <c r="K16" s="7">
        <f t="shared" si="15"/>
        <v>0.79534316837214025</v>
      </c>
      <c r="L16" s="7">
        <f t="shared" si="15"/>
        <v>0.86984255556118062</v>
      </c>
      <c r="M16" s="7">
        <f t="shared" si="15"/>
        <v>0.86889525954745572</v>
      </c>
      <c r="N16" s="7">
        <f t="shared" si="15"/>
        <v>0.86845030756688657</v>
      </c>
      <c r="O16" s="7">
        <f t="shared" si="15"/>
        <v>0.85426484448633366</v>
      </c>
      <c r="P16" s="7">
        <f t="shared" si="15"/>
        <v>0.8237778756455939</v>
      </c>
      <c r="Q16" s="7">
        <f t="shared" si="15"/>
        <v>0.80517739468665617</v>
      </c>
      <c r="R16" s="8">
        <f t="shared" ref="R16:R20" si="16">AVERAGE(O16:Q16)</f>
        <v>0.82774003827286124</v>
      </c>
      <c r="S16" s="7">
        <v>0.83</v>
      </c>
      <c r="T16" s="7">
        <v>0.83</v>
      </c>
      <c r="U16" s="7">
        <v>0.83</v>
      </c>
      <c r="V16" s="7">
        <v>0.83</v>
      </c>
      <c r="W16" s="7">
        <v>0.83</v>
      </c>
    </row>
    <row r="17" spans="1:23" x14ac:dyDescent="0.2">
      <c r="B17" s="3" t="s">
        <v>21</v>
      </c>
      <c r="C17" s="7">
        <f>C9/C3</f>
        <v>0.3378821774794929</v>
      </c>
      <c r="D17" s="7">
        <f>D9/D3</f>
        <v>0.33779686710459828</v>
      </c>
      <c r="E17" s="7">
        <f t="shared" ref="E17:Q17" si="17">E9/E3</f>
        <v>0.36922496699981144</v>
      </c>
      <c r="F17" s="7">
        <f t="shared" si="17"/>
        <v>0.39494351802044109</v>
      </c>
      <c r="G17" s="7">
        <f t="shared" si="17"/>
        <v>0.38560418027433052</v>
      </c>
      <c r="H17" s="7">
        <f t="shared" si="17"/>
        <v>0.36286820488672633</v>
      </c>
      <c r="I17" s="7">
        <f t="shared" si="17"/>
        <v>0.34021648176640484</v>
      </c>
      <c r="J17" s="7">
        <f t="shared" si="17"/>
        <v>0.34168607112616428</v>
      </c>
      <c r="K17" s="7">
        <f t="shared" si="17"/>
        <v>0.33679506386004116</v>
      </c>
      <c r="L17" s="7">
        <f t="shared" si="17"/>
        <v>0.34260618640206553</v>
      </c>
      <c r="M17" s="7">
        <f t="shared" si="17"/>
        <v>0.35568751919729702</v>
      </c>
      <c r="N17" s="7">
        <f t="shared" si="17"/>
        <v>0.37582450159341879</v>
      </c>
      <c r="O17" s="7">
        <f t="shared" si="17"/>
        <v>0.25744580584354382</v>
      </c>
      <c r="P17" s="7">
        <f t="shared" si="17"/>
        <v>0.26210113304239901</v>
      </c>
      <c r="Q17" s="7">
        <f t="shared" si="17"/>
        <v>0.28989256245161532</v>
      </c>
      <c r="R17" s="8">
        <f t="shared" si="16"/>
        <v>0.2698131671125194</v>
      </c>
      <c r="S17" s="7">
        <v>0.27</v>
      </c>
      <c r="T17" s="7">
        <v>0.27</v>
      </c>
      <c r="U17" s="7">
        <v>0.27</v>
      </c>
      <c r="V17" s="7">
        <v>0.27</v>
      </c>
      <c r="W17" s="7">
        <v>0.27</v>
      </c>
    </row>
    <row r="18" spans="1:23" x14ac:dyDescent="0.2">
      <c r="B18" s="3" t="s">
        <v>22</v>
      </c>
      <c r="C18" s="7">
        <f>C12/C11</f>
        <v>0.25573213635812203</v>
      </c>
      <c r="D18" s="7">
        <f>D12/D11</f>
        <v>0.25098589080711592</v>
      </c>
      <c r="E18" s="7">
        <f t="shared" ref="E18:Q18" si="18">E12/E11</f>
        <v>0.22997994136707298</v>
      </c>
      <c r="F18" s="7">
        <f t="shared" si="18"/>
        <v>0.21391567131961434</v>
      </c>
      <c r="G18" s="7">
        <f t="shared" si="18"/>
        <v>0.20059836544074722</v>
      </c>
      <c r="H18" s="7">
        <f t="shared" si="18"/>
        <v>0.22565061555243884</v>
      </c>
      <c r="I18" s="7">
        <f t="shared" si="18"/>
        <v>0.2220765600419507</v>
      </c>
      <c r="J18" s="7">
        <f t="shared" si="18"/>
        <v>0.19075342465753425</v>
      </c>
      <c r="K18" s="7">
        <f t="shared" si="18"/>
        <v>0.7112846104314231</v>
      </c>
      <c r="L18" s="7">
        <f t="shared" si="18"/>
        <v>9.6592761656341702E-2</v>
      </c>
      <c r="M18" s="7">
        <f t="shared" si="18"/>
        <v>0.15982757191411756</v>
      </c>
      <c r="N18" s="7">
        <f t="shared" si="18"/>
        <v>-5.7465958919916918E-2</v>
      </c>
      <c r="O18" s="7">
        <f t="shared" si="18"/>
        <v>0.12184599294025363</v>
      </c>
      <c r="P18" s="7">
        <f t="shared" si="18"/>
        <v>6.826649134341442E-2</v>
      </c>
      <c r="Q18" s="7">
        <f t="shared" si="18"/>
        <v>0.10850864491951281</v>
      </c>
      <c r="R18" s="8">
        <f t="shared" si="16"/>
        <v>9.9540376401060282E-2</v>
      </c>
      <c r="S18" s="7">
        <v>0.1</v>
      </c>
      <c r="T18" s="7">
        <v>0.1</v>
      </c>
      <c r="U18" s="7">
        <v>0.1</v>
      </c>
      <c r="V18" s="7">
        <v>0.1</v>
      </c>
      <c r="W18" s="7">
        <v>0.1</v>
      </c>
    </row>
    <row r="19" spans="1:23" x14ac:dyDescent="0.2">
      <c r="B19" s="3" t="s">
        <v>23</v>
      </c>
      <c r="C19" s="7">
        <f>C10/C3</f>
        <v>-3.0536912751677851E-2</v>
      </c>
      <c r="D19" s="7">
        <f>D10/D3</f>
        <v>-1.7461119532872944E-2</v>
      </c>
      <c r="E19" s="7">
        <f t="shared" ref="E19:Q19" si="19">E10/E3</f>
        <v>-2.0042563508526172E-2</v>
      </c>
      <c r="F19" s="7">
        <f t="shared" si="19"/>
        <v>-2.1140398063474987E-2</v>
      </c>
      <c r="G19" s="7">
        <f t="shared" si="19"/>
        <v>-2.7563683866753754E-2</v>
      </c>
      <c r="H19" s="7">
        <f t="shared" si="19"/>
        <v>-2.7128132684560248E-2</v>
      </c>
      <c r="I19" s="7">
        <f t="shared" si="19"/>
        <v>-3.136556266364348E-2</v>
      </c>
      <c r="J19" s="7">
        <f t="shared" si="19"/>
        <v>-3.2625952582557155E-2</v>
      </c>
      <c r="K19" s="7">
        <f t="shared" si="19"/>
        <v>-2.1328999822258336E-2</v>
      </c>
      <c r="L19" s="7">
        <f t="shared" si="19"/>
        <v>-3.2071077810965423E-2</v>
      </c>
      <c r="M19" s="7">
        <f t="shared" si="19"/>
        <v>-4.6918193918296304E-2</v>
      </c>
      <c r="N19" s="7">
        <f t="shared" si="19"/>
        <v>-5.4695027051063515E-2</v>
      </c>
      <c r="O19" s="7">
        <f t="shared" si="19"/>
        <v>-7.7214891611687084E-2</v>
      </c>
      <c r="P19" s="7">
        <f t="shared" si="19"/>
        <v>-7.941306001521399E-2</v>
      </c>
      <c r="Q19" s="7">
        <f t="shared" si="19"/>
        <v>-6.8201129132758068E-2</v>
      </c>
      <c r="R19" s="8">
        <f t="shared" si="16"/>
        <v>-7.4943026919886371E-2</v>
      </c>
      <c r="S19" s="7">
        <v>-7.0000000000000007E-2</v>
      </c>
      <c r="T19" s="7">
        <v>-7.0000000000000007E-2</v>
      </c>
      <c r="U19" s="7">
        <v>-7.0000000000000007E-2</v>
      </c>
      <c r="V19" s="7">
        <v>-7.0000000000000007E-2</v>
      </c>
      <c r="W19" s="7">
        <v>-7.0000000000000007E-2</v>
      </c>
    </row>
    <row r="20" spans="1:23" x14ac:dyDescent="0.2">
      <c r="B20" s="3" t="s">
        <v>24</v>
      </c>
      <c r="C20" s="7">
        <f>C8/C3</f>
        <v>0.12132736763609246</v>
      </c>
      <c r="D20" s="7">
        <f>D8/D3</f>
        <v>0.12685980573802705</v>
      </c>
      <c r="E20" s="7">
        <f t="shared" ref="E20:Q20" si="20">E8/E3</f>
        <v>0.12184477788852671</v>
      </c>
      <c r="F20" s="7">
        <f t="shared" si="20"/>
        <v>0.13044647660032274</v>
      </c>
      <c r="G20" s="7">
        <f t="shared" si="20"/>
        <v>0.134578706727629</v>
      </c>
      <c r="H20" s="7">
        <f t="shared" si="20"/>
        <v>0.14450897295034792</v>
      </c>
      <c r="I20" s="7">
        <f t="shared" si="20"/>
        <v>0.1562069803222933</v>
      </c>
      <c r="J20" s="7">
        <f t="shared" si="20"/>
        <v>0.16281223539373413</v>
      </c>
      <c r="K20" s="7">
        <f t="shared" si="20"/>
        <v>0.15448289871264251</v>
      </c>
      <c r="L20" s="7">
        <f t="shared" si="20"/>
        <v>0.15253379233534148</v>
      </c>
      <c r="M20" s="7">
        <f t="shared" si="20"/>
        <v>0.15529333469847445</v>
      </c>
      <c r="N20" s="7">
        <f t="shared" si="20"/>
        <v>0.16124410187998717</v>
      </c>
      <c r="O20" s="7">
        <f t="shared" si="20"/>
        <v>0.17009896324222432</v>
      </c>
      <c r="P20" s="7">
        <f t="shared" si="20"/>
        <v>0.17261880930456019</v>
      </c>
      <c r="Q20" s="7">
        <f t="shared" si="20"/>
        <v>0.16833141368176582</v>
      </c>
      <c r="R20" s="8">
        <f t="shared" si="16"/>
        <v>0.17034972874285012</v>
      </c>
      <c r="S20" s="7">
        <v>0.17</v>
      </c>
      <c r="T20" s="7">
        <v>0.17</v>
      </c>
      <c r="U20" s="7">
        <v>0.17</v>
      </c>
      <c r="V20" s="7">
        <v>0.17</v>
      </c>
      <c r="W20" s="7">
        <v>0.17</v>
      </c>
    </row>
    <row r="22" spans="1:23" s="6" customFormat="1" x14ac:dyDescent="0.2">
      <c r="A22" s="3"/>
      <c r="B22" s="3" t="s">
        <v>25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6">
        <v>1972</v>
      </c>
      <c r="P22" s="6">
        <v>2526</v>
      </c>
      <c r="Q22" s="6">
        <v>3129</v>
      </c>
      <c r="S22" s="6">
        <f>S3*S23</f>
        <v>3437.1689000000001</v>
      </c>
      <c r="T22" s="6">
        <f t="shared" ref="T22:W22" si="21">T3*T23</f>
        <v>3780.8857900000007</v>
      </c>
      <c r="U22" s="6">
        <f t="shared" si="21"/>
        <v>4158.9743690000005</v>
      </c>
      <c r="V22" s="6">
        <f t="shared" si="21"/>
        <v>4574.8718059000012</v>
      </c>
      <c r="W22" s="6">
        <f t="shared" si="21"/>
        <v>5032.3589864900014</v>
      </c>
    </row>
    <row r="23" spans="1:23" s="9" customFormat="1" x14ac:dyDescent="0.2">
      <c r="A23" s="3"/>
      <c r="B23" s="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9">
        <f t="shared" ref="O23:P23" si="22">O22/O3</f>
        <v>4.646559849198869E-2</v>
      </c>
      <c r="P23" s="9">
        <f t="shared" si="22"/>
        <v>5.0566521199503542E-2</v>
      </c>
      <c r="Q23" s="9">
        <f>Q22/Q3</f>
        <v>5.9081210702214837E-2</v>
      </c>
      <c r="S23" s="9">
        <v>5.8999999999999997E-2</v>
      </c>
      <c r="T23" s="9">
        <v>5.8999999999999997E-2</v>
      </c>
      <c r="U23" s="9">
        <v>5.8999999999999997E-2</v>
      </c>
      <c r="V23" s="9">
        <v>5.8999999999999997E-2</v>
      </c>
      <c r="W23" s="9">
        <v>5.8999999999999997E-2</v>
      </c>
    </row>
    <row r="24" spans="1:23" s="6" customFormat="1" x14ac:dyDescent="0.2">
      <c r="A24" s="3"/>
      <c r="B24" s="3" t="s">
        <v>27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6">
        <f>6915+3902-1204-2053-8970-6802</f>
        <v>-8212</v>
      </c>
      <c r="Q24" s="6">
        <f>7874+4019-2357-1916-9313-7353</f>
        <v>-9046</v>
      </c>
      <c r="S24" s="6">
        <f>S3*S25</f>
        <v>-9961.9641000000011</v>
      </c>
      <c r="T24" s="6">
        <f t="shared" ref="T24:W24" si="23">T3*T25</f>
        <v>-10958.160510000003</v>
      </c>
      <c r="U24" s="6">
        <f t="shared" si="23"/>
        <v>-12053.976561000003</v>
      </c>
      <c r="V24" s="6">
        <f t="shared" si="23"/>
        <v>-13259.374217100003</v>
      </c>
      <c r="W24" s="6">
        <f t="shared" si="23"/>
        <v>-14585.311638810004</v>
      </c>
    </row>
    <row r="25" spans="1:23" s="9" customFormat="1" x14ac:dyDescent="0.2">
      <c r="A25" s="3"/>
      <c r="B25" s="3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9">
        <f>P24/P3</f>
        <v>-0.16439123994074548</v>
      </c>
      <c r="Q25" s="9">
        <f>Q24/Q3</f>
        <v>-0.1708049319310436</v>
      </c>
      <c r="S25" s="9">
        <v>-0.17100000000000001</v>
      </c>
      <c r="T25" s="9">
        <v>-0.17100000000000001</v>
      </c>
      <c r="U25" s="9">
        <v>-0.17100000000000001</v>
      </c>
      <c r="V25" s="9">
        <v>-0.17100000000000001</v>
      </c>
      <c r="W25" s="9">
        <v>-0.17100000000000001</v>
      </c>
    </row>
    <row r="26" spans="1:23" s="6" customFormat="1" x14ac:dyDescent="0.2">
      <c r="A26" s="3"/>
      <c r="B26" s="3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Q26" s="6">
        <f>P24-Q24</f>
        <v>834</v>
      </c>
      <c r="S26" s="6">
        <f>Q24-S24</f>
        <v>915.96410000000105</v>
      </c>
      <c r="T26" s="6">
        <f t="shared" ref="T26:W26" si="24">S24-T24</f>
        <v>996.19641000000229</v>
      </c>
      <c r="U26" s="6">
        <f t="shared" si="24"/>
        <v>1095.8160509999998</v>
      </c>
      <c r="V26" s="6">
        <f t="shared" si="24"/>
        <v>1205.3976560999999</v>
      </c>
      <c r="W26" s="6">
        <f t="shared" si="24"/>
        <v>1325.9374217100012</v>
      </c>
    </row>
    <row r="27" spans="1:23" s="6" customFormat="1" x14ac:dyDescent="0.2">
      <c r="A27" s="3"/>
      <c r="B27" s="3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6">
        <v>4511</v>
      </c>
      <c r="P27" s="6">
        <v>8695</v>
      </c>
      <c r="Q27" s="6">
        <v>6866</v>
      </c>
      <c r="S27" s="6">
        <f>S3*S28</f>
        <v>7573.4230000000007</v>
      </c>
      <c r="T27" s="6">
        <f t="shared" ref="T27:W27" si="25">T3*T28</f>
        <v>8330.7653000000028</v>
      </c>
      <c r="U27" s="6">
        <f t="shared" si="25"/>
        <v>9163.841830000003</v>
      </c>
      <c r="V27" s="6">
        <f t="shared" si="25"/>
        <v>10080.226013000003</v>
      </c>
      <c r="W27" s="6">
        <f t="shared" si="25"/>
        <v>11088.248614300004</v>
      </c>
    </row>
    <row r="28" spans="1:23" s="9" customFormat="1" x14ac:dyDescent="0.2">
      <c r="A28" s="3"/>
      <c r="B28" s="3" t="s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9">
        <f t="shared" ref="O28:P28" si="26">O27/O3</f>
        <v>0.10629123468426013</v>
      </c>
      <c r="P28" s="9">
        <f t="shared" si="26"/>
        <v>0.17406013532449854</v>
      </c>
      <c r="Q28" s="9">
        <f>Q27/Q3</f>
        <v>0.12964256717207001</v>
      </c>
      <c r="S28" s="9">
        <v>0.13</v>
      </c>
      <c r="T28" s="9">
        <v>0.13</v>
      </c>
      <c r="U28" s="9">
        <v>0.13</v>
      </c>
      <c r="V28" s="9">
        <v>0.13</v>
      </c>
      <c r="W28" s="9">
        <v>0.13</v>
      </c>
    </row>
    <row r="30" spans="1:23" x14ac:dyDescent="0.2">
      <c r="B30" s="3" t="s">
        <v>31</v>
      </c>
      <c r="O30" s="6">
        <f>O9</f>
        <v>10926</v>
      </c>
      <c r="P30" s="6">
        <f t="shared" ref="P30:W30" si="27">P9</f>
        <v>13093</v>
      </c>
      <c r="Q30" s="6">
        <f t="shared" si="27"/>
        <v>15353</v>
      </c>
      <c r="R30" s="6"/>
      <c r="S30" s="6">
        <f t="shared" si="27"/>
        <v>15729.417000000003</v>
      </c>
      <c r="T30" s="6">
        <f t="shared" si="27"/>
        <v>17302.358700000004</v>
      </c>
      <c r="U30" s="6">
        <f t="shared" si="27"/>
        <v>19032.594570000005</v>
      </c>
      <c r="V30" s="6">
        <f t="shared" si="27"/>
        <v>20935.854027000005</v>
      </c>
      <c r="W30" s="6">
        <f t="shared" si="27"/>
        <v>23029.439429700007</v>
      </c>
    </row>
    <row r="31" spans="1:23" x14ac:dyDescent="0.2">
      <c r="B31" s="3" t="s">
        <v>32</v>
      </c>
      <c r="O31" s="6">
        <f>O30*O18</f>
        <v>1331.289318865211</v>
      </c>
      <c r="P31" s="6">
        <f t="shared" ref="P31:W31" si="28">P30*P18</f>
        <v>893.81317115932495</v>
      </c>
      <c r="Q31" s="6">
        <f t="shared" si="28"/>
        <v>1665.9332254492801</v>
      </c>
      <c r="R31" s="6"/>
      <c r="S31" s="6">
        <f t="shared" si="28"/>
        <v>1572.9417000000003</v>
      </c>
      <c r="T31" s="6">
        <f t="shared" si="28"/>
        <v>1730.2358700000004</v>
      </c>
      <c r="U31" s="6">
        <f t="shared" si="28"/>
        <v>1903.2594570000006</v>
      </c>
      <c r="V31" s="6">
        <f t="shared" si="28"/>
        <v>2093.5854027000005</v>
      </c>
      <c r="W31" s="6">
        <f t="shared" si="28"/>
        <v>2302.943942970001</v>
      </c>
    </row>
    <row r="32" spans="1:23" x14ac:dyDescent="0.2">
      <c r="B32" s="3" t="s">
        <v>33</v>
      </c>
      <c r="O32" s="6">
        <f>O30-O31</f>
        <v>9594.7106811347894</v>
      </c>
      <c r="P32" s="6">
        <f t="shared" ref="P32:W32" si="29">P30-P31</f>
        <v>12199.186828840675</v>
      </c>
      <c r="Q32" s="6">
        <f t="shared" si="29"/>
        <v>13687.06677455072</v>
      </c>
      <c r="R32" s="6"/>
      <c r="S32" s="6">
        <f t="shared" si="29"/>
        <v>14156.475300000002</v>
      </c>
      <c r="T32" s="6">
        <f t="shared" si="29"/>
        <v>15572.122830000004</v>
      </c>
      <c r="U32" s="6">
        <f t="shared" si="29"/>
        <v>17129.335113000005</v>
      </c>
      <c r="V32" s="6">
        <f t="shared" si="29"/>
        <v>18842.268624300006</v>
      </c>
      <c r="W32" s="6">
        <f t="shared" si="29"/>
        <v>20726.495486730008</v>
      </c>
    </row>
    <row r="33" spans="2:23" ht="15" x14ac:dyDescent="0.25">
      <c r="B33" s="10" t="s">
        <v>34</v>
      </c>
      <c r="S33" s="11">
        <f>S32+S22+S26-S27</f>
        <v>10936.185300000003</v>
      </c>
      <c r="T33" s="11">
        <f t="shared" ref="T33:W33" si="30">T32+T22+T26-T27</f>
        <v>12018.439730000002</v>
      </c>
      <c r="U33" s="11">
        <f t="shared" si="30"/>
        <v>13220.283703000003</v>
      </c>
      <c r="V33" s="11">
        <f t="shared" si="30"/>
        <v>14542.312073300007</v>
      </c>
      <c r="W33" s="11">
        <f t="shared" si="30"/>
        <v>15996.543280630007</v>
      </c>
    </row>
    <row r="35" spans="2:23" x14ac:dyDescent="0.2">
      <c r="B35" s="3" t="s">
        <v>35</v>
      </c>
      <c r="O35" s="4">
        <f ca="1">TODAY()</f>
        <v>45656</v>
      </c>
    </row>
    <row r="36" spans="2:23" x14ac:dyDescent="0.2">
      <c r="B36" s="3" t="s">
        <v>36</v>
      </c>
      <c r="O36" s="7">
        <f ca="1">(S1-v)/365</f>
        <v>0.41643835616438357</v>
      </c>
    </row>
    <row r="37" spans="2:23" x14ac:dyDescent="0.2">
      <c r="B37" s="3" t="s">
        <v>37</v>
      </c>
      <c r="O37" s="7">
        <v>0.08</v>
      </c>
    </row>
    <row r="38" spans="2:23" x14ac:dyDescent="0.2">
      <c r="B38" s="3" t="s">
        <v>38</v>
      </c>
      <c r="O38" s="7">
        <v>0.02</v>
      </c>
    </row>
    <row r="40" spans="2:23" ht="15" x14ac:dyDescent="0.25">
      <c r="B40" s="10" t="s">
        <v>39</v>
      </c>
      <c r="S40" s="12">
        <f ca="1">O36*S33/(1+d)^((S1-v)/365)</f>
        <v>4410.5997640088062</v>
      </c>
      <c r="T40" s="12">
        <f ca="1">T33/(1+d)^((T1-v)/365)</f>
        <v>10777.186554877855</v>
      </c>
      <c r="U40" s="12">
        <f ca="1">U33/(1+d)^((U1-v)/365)</f>
        <v>10976.764083671889</v>
      </c>
      <c r="V40" s="12">
        <f ca="1">V33/(1+d)^((V1-v)/365)</f>
        <v>11177.680405997915</v>
      </c>
      <c r="W40" s="12">
        <f ca="1">W33/(1+d)^((W1-v)/365)</f>
        <v>11384.674487590468</v>
      </c>
    </row>
    <row r="42" spans="2:23" x14ac:dyDescent="0.2">
      <c r="B42" s="3" t="s">
        <v>40</v>
      </c>
      <c r="O42" s="6">
        <f>W33*(1+d)</f>
        <v>17276.266743080407</v>
      </c>
    </row>
    <row r="43" spans="2:23" x14ac:dyDescent="0.2">
      <c r="B43" s="3" t="s">
        <v>41</v>
      </c>
      <c r="O43" s="6">
        <f>O42/(d-t)</f>
        <v>287937.77905134013</v>
      </c>
    </row>
    <row r="44" spans="2:23" x14ac:dyDescent="0.2">
      <c r="B44" s="3" t="s">
        <v>42</v>
      </c>
      <c r="O44" s="6">
        <f ca="1">O43/(1+d)^((W1-v)/365)</f>
        <v>204924.14077662842</v>
      </c>
    </row>
    <row r="45" spans="2:23" x14ac:dyDescent="0.2">
      <c r="B45" s="3" t="s">
        <v>43</v>
      </c>
      <c r="O45" s="6">
        <f ca="1">SUM(S40:W40)</f>
        <v>48726.905296146935</v>
      </c>
    </row>
    <row r="46" spans="2:23" x14ac:dyDescent="0.2">
      <c r="B46" s="3" t="s">
        <v>44</v>
      </c>
      <c r="O46" s="6">
        <f ca="1">O44+O45</f>
        <v>253651.04607277535</v>
      </c>
    </row>
    <row r="47" spans="2:23" x14ac:dyDescent="0.2">
      <c r="B47" s="3" t="s">
        <v>4</v>
      </c>
      <c r="O47" s="6">
        <f>Cash</f>
        <v>10941</v>
      </c>
    </row>
    <row r="48" spans="2:23" x14ac:dyDescent="0.2">
      <c r="B48" s="3" t="s">
        <v>5</v>
      </c>
      <c r="O48" s="6">
        <f>Debt</f>
        <v>88624</v>
      </c>
    </row>
    <row r="49" spans="2:15" x14ac:dyDescent="0.2">
      <c r="B49" s="3" t="s">
        <v>45</v>
      </c>
      <c r="O49" s="6">
        <f ca="1">O46-O47+O48</f>
        <v>331334.04607277538</v>
      </c>
    </row>
    <row r="50" spans="2:15" ht="15" x14ac:dyDescent="0.25">
      <c r="B50" s="10" t="s">
        <v>46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3">
        <f ca="1">O49/Shares</f>
        <v>119.57339315097663</v>
      </c>
    </row>
    <row r="51" spans="2:15" x14ac:dyDescent="0.2">
      <c r="B51" s="3" t="s">
        <v>47</v>
      </c>
      <c r="O51" s="7">
        <f ca="1">(O50/Price)-1</f>
        <v>-0.28240176948342655</v>
      </c>
    </row>
  </sheetData>
  <hyperlinks>
    <hyperlink ref="A1" location="Main!A1" display="Main" xr:uid="{B08D9850-B587-47C9-9965-81680C9880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Model</vt:lpstr>
      <vt:lpstr>Cash</vt:lpstr>
      <vt:lpstr>d</vt:lpstr>
      <vt:lpstr>Debt</vt:lpstr>
      <vt:lpstr>Price</vt:lpstr>
      <vt:lpstr>Shares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2024-09-19T01:16:31Z</dcterms:created>
  <dcterms:modified xsi:type="dcterms:W3CDTF">2024-12-30T23:50:20Z</dcterms:modified>
</cp:coreProperties>
</file>