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e\Dropbox\Jayden\Stocks\Tech\"/>
    </mc:Choice>
  </mc:AlternateContent>
  <xr:revisionPtr revIDLastSave="0" documentId="13_ncr:1_{1DC632AC-3954-4710-9882-A2596DE4C439}" xr6:coauthVersionLast="47" xr6:coauthVersionMax="47" xr10:uidLastSave="{00000000-0000-0000-0000-000000000000}"/>
  <bookViews>
    <workbookView xWindow="28680" yWindow="-120" windowWidth="29040" windowHeight="15720" xr2:uid="{9E8ECDD6-D4A1-4A5E-B158-D2E7E15EFBC5}"/>
  </bookViews>
  <sheets>
    <sheet name="Main" sheetId="1" r:id="rId1"/>
    <sheet name="Model" sheetId="2" r:id="rId2"/>
  </sheets>
  <definedNames>
    <definedName name="Cash">Main!$G$5</definedName>
    <definedName name="Debt">Main!$G$6</definedName>
    <definedName name="discount">Model!$M$37</definedName>
    <definedName name="Price">Main!$G$2</definedName>
    <definedName name="Shares">Main!$G$3</definedName>
    <definedName name="tgr">Model!$M$38</definedName>
    <definedName name="valDate">Model!$M$35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G6" i="1"/>
  <c r="M60" i="2" s="1"/>
  <c r="H2" i="1"/>
  <c r="M59" i="2"/>
  <c r="M55" i="2"/>
  <c r="M48" i="2"/>
  <c r="M47" i="2"/>
  <c r="M35" i="2"/>
  <c r="M36" i="2" s="1"/>
  <c r="R40" i="2" s="1"/>
  <c r="T1" i="2"/>
  <c r="U1" i="2" s="1"/>
  <c r="S1" i="2"/>
  <c r="R1" i="2"/>
  <c r="R33" i="2"/>
  <c r="S30" i="2"/>
  <c r="R30" i="2"/>
  <c r="R31" i="2" s="1"/>
  <c r="P30" i="2"/>
  <c r="O30" i="2"/>
  <c r="O31" i="2" s="1"/>
  <c r="O32" i="2" s="1"/>
  <c r="N30" i="2"/>
  <c r="M31" i="2"/>
  <c r="M32" i="2" s="1"/>
  <c r="M30" i="2"/>
  <c r="R27" i="2"/>
  <c r="R26" i="2"/>
  <c r="R24" i="2"/>
  <c r="S22" i="2"/>
  <c r="R22" i="2"/>
  <c r="R13" i="2"/>
  <c r="R12" i="2"/>
  <c r="R11" i="2"/>
  <c r="S10" i="2"/>
  <c r="R10" i="2"/>
  <c r="Q20" i="2"/>
  <c r="P20" i="2"/>
  <c r="O20" i="2"/>
  <c r="N20" i="2"/>
  <c r="M20" i="2"/>
  <c r="S8" i="2"/>
  <c r="R8" i="2"/>
  <c r="S9" i="2"/>
  <c r="S11" i="2" s="1"/>
  <c r="S12" i="2" s="1"/>
  <c r="R9" i="2"/>
  <c r="S5" i="2"/>
  <c r="S6" i="2" s="1"/>
  <c r="S7" i="2" s="1"/>
  <c r="R5" i="2"/>
  <c r="R6" i="2" s="1"/>
  <c r="R7" i="2" s="1"/>
  <c r="S3" i="2"/>
  <c r="T3" i="2" s="1"/>
  <c r="T24" i="2" s="1"/>
  <c r="R3" i="2"/>
  <c r="O24" i="2"/>
  <c r="P26" i="2" s="1"/>
  <c r="P24" i="2"/>
  <c r="P25" i="2" s="1"/>
  <c r="O28" i="2"/>
  <c r="N28" i="2"/>
  <c r="P28" i="2"/>
  <c r="P23" i="2"/>
  <c r="O23" i="2"/>
  <c r="N23" i="2"/>
  <c r="R2" i="2"/>
  <c r="S2" i="2" s="1"/>
  <c r="T2" i="2" s="1"/>
  <c r="U2" i="2" s="1"/>
  <c r="L1" i="2"/>
  <c r="K1" i="2"/>
  <c r="J1" i="2" s="1"/>
  <c r="I1" i="2" s="1"/>
  <c r="H1" i="2" s="1"/>
  <c r="G1" i="2" s="1"/>
  <c r="F1" i="2" s="1"/>
  <c r="E1" i="2" s="1"/>
  <c r="D1" i="2" s="1"/>
  <c r="C1" i="2" s="1"/>
  <c r="M1" i="2"/>
  <c r="P18" i="2"/>
  <c r="P16" i="2"/>
  <c r="P15" i="2"/>
  <c r="P11" i="2"/>
  <c r="P19" i="2" s="1"/>
  <c r="Q19" i="2" s="1"/>
  <c r="P9" i="2"/>
  <c r="P17" i="2" s="1"/>
  <c r="P7" i="2"/>
  <c r="P5" i="2"/>
  <c r="O19" i="2"/>
  <c r="N19" i="2"/>
  <c r="M19" i="2"/>
  <c r="L19" i="2"/>
  <c r="K19" i="2"/>
  <c r="J19" i="2"/>
  <c r="I19" i="2"/>
  <c r="H19" i="2"/>
  <c r="G19" i="2"/>
  <c r="F19" i="2"/>
  <c r="E19" i="2"/>
  <c r="O18" i="2"/>
  <c r="N18" i="2"/>
  <c r="Q18" i="2" s="1"/>
  <c r="M18" i="2"/>
  <c r="L18" i="2"/>
  <c r="K18" i="2"/>
  <c r="J18" i="2"/>
  <c r="I18" i="2"/>
  <c r="H18" i="2"/>
  <c r="G18" i="2"/>
  <c r="F18" i="2"/>
  <c r="E18" i="2"/>
  <c r="O17" i="2"/>
  <c r="N17" i="2"/>
  <c r="M17" i="2"/>
  <c r="L17" i="2"/>
  <c r="K17" i="2"/>
  <c r="J17" i="2"/>
  <c r="I17" i="2"/>
  <c r="H17" i="2"/>
  <c r="G17" i="2"/>
  <c r="F17" i="2"/>
  <c r="E17" i="2"/>
  <c r="O16" i="2"/>
  <c r="N16" i="2"/>
  <c r="M16" i="2"/>
  <c r="Q16" i="2" s="1"/>
  <c r="L16" i="2"/>
  <c r="K16" i="2"/>
  <c r="J16" i="2"/>
  <c r="I16" i="2"/>
  <c r="H16" i="2"/>
  <c r="G16" i="2"/>
  <c r="F16" i="2"/>
  <c r="E16" i="2"/>
  <c r="O15" i="2"/>
  <c r="N15" i="2"/>
  <c r="M15" i="2"/>
  <c r="Q15" i="2" s="1"/>
  <c r="L15" i="2"/>
  <c r="K15" i="2"/>
  <c r="J15" i="2"/>
  <c r="I15" i="2"/>
  <c r="H15" i="2"/>
  <c r="G15" i="2"/>
  <c r="F15" i="2"/>
  <c r="E15" i="2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D19" i="2"/>
  <c r="D18" i="2"/>
  <c r="D17" i="2"/>
  <c r="D16" i="2"/>
  <c r="C19" i="2"/>
  <c r="C18" i="2"/>
  <c r="C17" i="2"/>
  <c r="C16" i="2"/>
  <c r="D15" i="2"/>
  <c r="G4" i="1"/>
  <c r="G7" i="1" s="1"/>
  <c r="M56" i="2" l="1"/>
  <c r="T27" i="2"/>
  <c r="T22" i="2"/>
  <c r="T10" i="2"/>
  <c r="S24" i="2"/>
  <c r="S27" i="2"/>
  <c r="S13" i="2"/>
  <c r="S32" i="2"/>
  <c r="N31" i="2"/>
  <c r="N32" i="2" s="1"/>
  <c r="P31" i="2"/>
  <c r="P32" i="2" s="1"/>
  <c r="R32" i="2"/>
  <c r="S31" i="2"/>
  <c r="U3" i="2"/>
  <c r="T8" i="2"/>
  <c r="T9" i="2"/>
  <c r="T5" i="2"/>
  <c r="Q17" i="2"/>
  <c r="O25" i="2"/>
  <c r="R4" i="2"/>
  <c r="S4" i="2"/>
  <c r="P13" i="2"/>
  <c r="T6" i="2" l="1"/>
  <c r="T7" i="2" s="1"/>
  <c r="S33" i="2"/>
  <c r="S40" i="2" s="1"/>
  <c r="T4" i="2"/>
  <c r="U22" i="2"/>
  <c r="U10" i="2"/>
  <c r="U27" i="2"/>
  <c r="U24" i="2"/>
  <c r="U26" i="2" s="1"/>
  <c r="T26" i="2"/>
  <c r="S26" i="2"/>
  <c r="T11" i="2"/>
  <c r="T30" i="2"/>
  <c r="U8" i="2"/>
  <c r="U9" i="2"/>
  <c r="U5" i="2"/>
  <c r="U30" i="2" l="1"/>
  <c r="U31" i="2" s="1"/>
  <c r="U32" i="2" s="1"/>
  <c r="U33" i="2" s="1"/>
  <c r="U11" i="2"/>
  <c r="T31" i="2"/>
  <c r="T32" i="2"/>
  <c r="T33" i="2" s="1"/>
  <c r="T40" i="2" s="1"/>
  <c r="T12" i="2"/>
  <c r="T13" i="2"/>
  <c r="U6" i="2"/>
  <c r="U7" i="2" s="1"/>
  <c r="U4" i="2"/>
  <c r="U12" i="2" l="1"/>
  <c r="U13" i="2" s="1"/>
  <c r="M42" i="2"/>
  <c r="M43" i="2" s="1"/>
  <c r="M44" i="2" s="1"/>
  <c r="U40" i="2"/>
  <c r="M45" i="2" s="1"/>
  <c r="M57" i="2" l="1"/>
  <c r="M58" i="2" s="1"/>
  <c r="M61" i="2" s="1"/>
  <c r="M62" i="2" s="1"/>
  <c r="M63" i="2" s="1"/>
  <c r="M46" i="2"/>
  <c r="M49" i="2" s="1"/>
  <c r="M50" i="2" s="1"/>
  <c r="M51" i="2" s="1"/>
  <c r="O42" i="2" l="1"/>
</calcChain>
</file>

<file path=xl/sharedStrings.xml><?xml version="1.0" encoding="utf-8"?>
<sst xmlns="http://schemas.openxmlformats.org/spreadsheetml/2006/main" count="68" uniqueCount="54">
  <si>
    <t>Paolo Alto Networks Inc.</t>
  </si>
  <si>
    <t>Price</t>
  </si>
  <si>
    <t>Shares</t>
  </si>
  <si>
    <t>MC</t>
  </si>
  <si>
    <t>Cash</t>
  </si>
  <si>
    <t>Debt</t>
  </si>
  <si>
    <t>EV</t>
  </si>
  <si>
    <t>Main</t>
  </si>
  <si>
    <t>Other Income</t>
  </si>
  <si>
    <t>Net Income</t>
  </si>
  <si>
    <t>Revenue</t>
  </si>
  <si>
    <t>COGS</t>
  </si>
  <si>
    <t>Gross Profit</t>
  </si>
  <si>
    <t>OpEx</t>
  </si>
  <si>
    <t>SG&amp;A</t>
  </si>
  <si>
    <t>R&amp;D</t>
  </si>
  <si>
    <t>EBIT</t>
  </si>
  <si>
    <t>EBT</t>
  </si>
  <si>
    <t>Taxes</t>
  </si>
  <si>
    <t>Revenue Growth y/y</t>
  </si>
  <si>
    <t>Gross Margin</t>
  </si>
  <si>
    <t>Operating Margin</t>
  </si>
  <si>
    <t>R&amp;D % of Revenue</t>
  </si>
  <si>
    <t>Tax Rate</t>
  </si>
  <si>
    <t>AVG</t>
  </si>
  <si>
    <t>D&amp;A</t>
  </si>
  <si>
    <t>% of Revenue</t>
  </si>
  <si>
    <t>Working Capital</t>
  </si>
  <si>
    <t>CIWC</t>
  </si>
  <si>
    <t>CapEx</t>
  </si>
  <si>
    <t>Other Income % of Revenue</t>
  </si>
  <si>
    <t>Operating Income</t>
  </si>
  <si>
    <t>Operating Taxes</t>
  </si>
  <si>
    <t>NOPAT</t>
  </si>
  <si>
    <t>UFCF</t>
  </si>
  <si>
    <t>Valuation Date</t>
  </si>
  <si>
    <t>Stub %</t>
  </si>
  <si>
    <t>Discount Rate</t>
  </si>
  <si>
    <t>TGR</t>
  </si>
  <si>
    <t>PV of UFCF</t>
  </si>
  <si>
    <t>Final Year FCF</t>
  </si>
  <si>
    <t>Terminal Value</t>
  </si>
  <si>
    <t>PV of Terminal Value</t>
  </si>
  <si>
    <t>Sum of Stage 1 CF</t>
  </si>
  <si>
    <t>Total Terminal Value</t>
  </si>
  <si>
    <t>Equity Value</t>
  </si>
  <si>
    <t>Share Price</t>
  </si>
  <si>
    <t>Implied Upside</t>
  </si>
  <si>
    <t>EBITDA Exit Multiple</t>
  </si>
  <si>
    <t>Enterprise Value</t>
  </si>
  <si>
    <t>Q1 25</t>
  </si>
  <si>
    <t>Ticker</t>
  </si>
  <si>
    <t>PANW</t>
  </si>
  <si>
    <t>EV/EBITDA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</si>
</sst>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\x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1"/>
      <color theme="3" tint="0.499984740745262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0" fontId="3" fillId="0" borderId="0" xfId="3" applyFont="1"/>
    <xf numFmtId="0" fontId="4" fillId="0" borderId="0" xfId="0" applyFont="1"/>
    <xf numFmtId="43" fontId="4" fillId="0" borderId="0" xfId="1" applyFont="1"/>
    <xf numFmtId="164" fontId="4" fillId="0" borderId="0" xfId="1" applyNumberFormat="1" applyFont="1"/>
    <xf numFmtId="9" fontId="4" fillId="0" borderId="0" xfId="2" applyFont="1"/>
    <xf numFmtId="14" fontId="4" fillId="0" borderId="0" xfId="0" applyNumberFormat="1" applyFont="1"/>
    <xf numFmtId="9" fontId="5" fillId="0" borderId="0" xfId="0" applyNumberFormat="1" applyFont="1"/>
    <xf numFmtId="0" fontId="4" fillId="0" borderId="1" xfId="0" applyFont="1" applyBorder="1"/>
    <xf numFmtId="164" fontId="4" fillId="0" borderId="0" xfId="0" applyNumberFormat="1" applyFont="1"/>
    <xf numFmtId="164" fontId="6" fillId="0" borderId="0" xfId="0" applyNumberFormat="1" applyFont="1"/>
    <xf numFmtId="0" fontId="6" fillId="0" borderId="0" xfId="0" applyFont="1"/>
    <xf numFmtId="164" fontId="6" fillId="0" borderId="0" xfId="1" applyNumberFormat="1" applyFont="1"/>
    <xf numFmtId="43" fontId="6" fillId="0" borderId="0" xfId="0" applyNumberFormat="1" applyFont="1"/>
    <xf numFmtId="43" fontId="7" fillId="0" borderId="0" xfId="0" applyNumberFormat="1" applyFont="1"/>
    <xf numFmtId="165" fontId="4" fillId="0" borderId="1" xfId="2" applyNumberFormat="1" applyFont="1" applyBorder="1"/>
    <xf numFmtId="165" fontId="4" fillId="0" borderId="2" xfId="2" applyNumberFormat="1" applyFont="1" applyBorder="1"/>
    <xf numFmtId="43" fontId="6" fillId="0" borderId="3" xfId="1" applyFont="1" applyBorder="1"/>
    <xf numFmtId="166" fontId="4" fillId="0" borderId="0" xfId="0" applyNumberFormat="1" applyFont="1"/>
    <xf numFmtId="43" fontId="6" fillId="0" borderId="0" xfId="1" applyFont="1"/>
    <xf numFmtId="14" fontId="0" fillId="0" borderId="0" xfId="0" applyNumberFormat="1"/>
    <xf numFmtId="43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28C5-9AA9-41C2-B366-4DDC07999F2B}">
  <dimension ref="A1:K7"/>
  <sheetViews>
    <sheetView tabSelected="1" zoomScale="140" zoomScaleNormal="140" workbookViewId="0"/>
  </sheetViews>
  <sheetFormatPr defaultRowHeight="15" x14ac:dyDescent="0.25"/>
  <cols>
    <col min="7" max="7" width="12.140625" bestFit="1" customWidth="1"/>
    <col min="8" max="8" width="11.42578125" bestFit="1" customWidth="1"/>
    <col min="10" max="10" width="10.140625" bestFit="1" customWidth="1"/>
  </cols>
  <sheetData>
    <row r="1" spans="1:11" x14ac:dyDescent="0.25">
      <c r="A1" t="s">
        <v>0</v>
      </c>
    </row>
    <row r="2" spans="1:11" x14ac:dyDescent="0.25">
      <c r="A2" t="s">
        <v>51</v>
      </c>
      <c r="B2" t="s">
        <v>52</v>
      </c>
      <c r="F2" t="s">
        <v>1</v>
      </c>
      <c r="G2">
        <v>184.19</v>
      </c>
      <c r="H2" s="21">
        <f ca="1">TODAY()</f>
        <v>45656</v>
      </c>
      <c r="J2" t="s">
        <v>53</v>
      </c>
      <c r="K2" s="22">
        <f>G7/SUM(Model!P9,Model!P22)</f>
        <v>61.20742552751345</v>
      </c>
    </row>
    <row r="3" spans="1:11" x14ac:dyDescent="0.25">
      <c r="F3" t="s">
        <v>2</v>
      </c>
      <c r="G3" s="1">
        <v>328.1</v>
      </c>
      <c r="H3" t="s">
        <v>50</v>
      </c>
    </row>
    <row r="4" spans="1:11" x14ac:dyDescent="0.25">
      <c r="F4" t="s">
        <v>3</v>
      </c>
      <c r="G4" s="1">
        <f>G2*G3</f>
        <v>60432.739000000001</v>
      </c>
    </row>
    <row r="5" spans="1:11" x14ac:dyDescent="0.25">
      <c r="F5" t="s">
        <v>4</v>
      </c>
      <c r="G5" s="1">
        <v>2282.8000000000002</v>
      </c>
      <c r="H5" t="s">
        <v>50</v>
      </c>
    </row>
    <row r="6" spans="1:11" x14ac:dyDescent="0.25">
      <c r="F6" t="s">
        <v>5</v>
      </c>
      <c r="G6" s="1">
        <f>645.8+379.6</f>
        <v>1025.4000000000001</v>
      </c>
      <c r="H6" t="s">
        <v>50</v>
      </c>
    </row>
    <row r="7" spans="1:11" x14ac:dyDescent="0.25">
      <c r="F7" t="s">
        <v>6</v>
      </c>
      <c r="G7" s="1">
        <f>G4-G5+G6</f>
        <v>59175.339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EFEF-49A0-4A35-967A-ED33129DAAD7}">
  <dimension ref="A1:U63"/>
  <sheetViews>
    <sheetView zoomScale="130" zoomScaleNormal="130" workbookViewId="0"/>
  </sheetViews>
  <sheetFormatPr defaultRowHeight="14.25" x14ac:dyDescent="0.2"/>
  <cols>
    <col min="1" max="1" width="5.28515625" style="3" bestFit="1" customWidth="1"/>
    <col min="2" max="2" width="27.140625" style="3" customWidth="1"/>
    <col min="3" max="7" width="10.5703125" style="3" hidden="1" customWidth="1"/>
    <col min="8" max="11" width="10.7109375" style="3" hidden="1" customWidth="1"/>
    <col min="12" max="12" width="1.85546875" style="3" hidden="1" customWidth="1"/>
    <col min="13" max="13" width="11.85546875" style="5" bestFit="1" customWidth="1"/>
    <col min="14" max="14" width="10.7109375" style="3" bestFit="1" customWidth="1"/>
    <col min="15" max="15" width="11.28515625" style="3" bestFit="1" customWidth="1"/>
    <col min="16" max="16" width="11.42578125" style="3" bestFit="1" customWidth="1"/>
    <col min="17" max="17" width="9.140625" style="3"/>
    <col min="18" max="18" width="11.28515625" style="3" bestFit="1" customWidth="1"/>
    <col min="19" max="19" width="12" style="3" bestFit="1" customWidth="1"/>
    <col min="20" max="21" width="11.85546875" style="3" bestFit="1" customWidth="1"/>
    <col min="22" max="16384" width="9.140625" style="3"/>
  </cols>
  <sheetData>
    <row r="1" spans="1:21" x14ac:dyDescent="0.2">
      <c r="A1" s="2" t="s">
        <v>7</v>
      </c>
      <c r="C1" s="7">
        <f t="shared" ref="C1:L1" si="0">EOMONTH(D1,-12)</f>
        <v>40755</v>
      </c>
      <c r="D1" s="7">
        <f t="shared" si="0"/>
        <v>41121</v>
      </c>
      <c r="E1" s="7">
        <f t="shared" si="0"/>
        <v>41486</v>
      </c>
      <c r="F1" s="7">
        <f t="shared" si="0"/>
        <v>41851</v>
      </c>
      <c r="G1" s="7">
        <f t="shared" si="0"/>
        <v>42216</v>
      </c>
      <c r="H1" s="7">
        <f t="shared" si="0"/>
        <v>42582</v>
      </c>
      <c r="I1" s="7">
        <f t="shared" si="0"/>
        <v>42947</v>
      </c>
      <c r="J1" s="7">
        <f t="shared" si="0"/>
        <v>43312</v>
      </c>
      <c r="K1" s="7">
        <f t="shared" si="0"/>
        <v>43677</v>
      </c>
      <c r="L1" s="7">
        <f t="shared" si="0"/>
        <v>44043</v>
      </c>
      <c r="M1" s="7">
        <f>EOMONTH(N1,-12)</f>
        <v>44408</v>
      </c>
      <c r="N1" s="7">
        <v>44773</v>
      </c>
      <c r="O1" s="7">
        <v>45138</v>
      </c>
      <c r="P1" s="7">
        <v>45504</v>
      </c>
      <c r="R1" s="7">
        <f>EOMONTH(P1,12)</f>
        <v>45869</v>
      </c>
      <c r="S1" s="7">
        <f>EOMONTH(R1,12)</f>
        <v>46234</v>
      </c>
      <c r="T1" s="7">
        <f t="shared" ref="T1:U1" si="1">EOMONTH(S1,12)</f>
        <v>46599</v>
      </c>
      <c r="U1" s="7">
        <f t="shared" si="1"/>
        <v>46965</v>
      </c>
    </row>
    <row r="2" spans="1:21" x14ac:dyDescent="0.2">
      <c r="C2" s="3">
        <v>2011</v>
      </c>
      <c r="D2" s="3">
        <f>C2+1</f>
        <v>2012</v>
      </c>
      <c r="E2" s="3">
        <f t="shared" ref="E2:O2" si="2">D2+1</f>
        <v>2013</v>
      </c>
      <c r="F2" s="3">
        <f t="shared" si="2"/>
        <v>2014</v>
      </c>
      <c r="G2" s="3">
        <f t="shared" si="2"/>
        <v>2015</v>
      </c>
      <c r="H2" s="3">
        <f t="shared" si="2"/>
        <v>2016</v>
      </c>
      <c r="I2" s="3">
        <f t="shared" si="2"/>
        <v>2017</v>
      </c>
      <c r="J2" s="3">
        <f t="shared" si="2"/>
        <v>2018</v>
      </c>
      <c r="K2" s="3">
        <f t="shared" si="2"/>
        <v>2019</v>
      </c>
      <c r="L2" s="3">
        <f t="shared" si="2"/>
        <v>2020</v>
      </c>
      <c r="M2" s="9">
        <f t="shared" si="2"/>
        <v>2021</v>
      </c>
      <c r="N2" s="9">
        <f t="shared" si="2"/>
        <v>2022</v>
      </c>
      <c r="O2" s="9">
        <f t="shared" si="2"/>
        <v>2023</v>
      </c>
      <c r="P2" s="9">
        <v>2024</v>
      </c>
      <c r="Q2" s="9"/>
      <c r="R2" s="9">
        <f>P2+1</f>
        <v>2025</v>
      </c>
      <c r="S2" s="9">
        <f>R2+1</f>
        <v>2026</v>
      </c>
      <c r="T2" s="9">
        <f t="shared" ref="T2:U2" si="3">S2+1</f>
        <v>2027</v>
      </c>
      <c r="U2" s="9">
        <f t="shared" si="3"/>
        <v>2028</v>
      </c>
    </row>
    <row r="3" spans="1:21" x14ac:dyDescent="0.2">
      <c r="B3" s="3" t="s">
        <v>10</v>
      </c>
      <c r="C3" s="5">
        <v>118.6</v>
      </c>
      <c r="D3" s="5">
        <v>255.1</v>
      </c>
      <c r="E3" s="5">
        <v>396.1</v>
      </c>
      <c r="F3" s="5">
        <v>598.20000000000005</v>
      </c>
      <c r="G3" s="5">
        <v>928.1</v>
      </c>
      <c r="H3" s="5">
        <v>1378.5</v>
      </c>
      <c r="I3" s="5">
        <v>1755.1</v>
      </c>
      <c r="J3" s="5">
        <v>2273.6</v>
      </c>
      <c r="K3" s="5">
        <v>2899.6</v>
      </c>
      <c r="L3" s="5">
        <v>3408.4</v>
      </c>
      <c r="M3" s="5">
        <v>4256.1000000000004</v>
      </c>
      <c r="N3" s="5">
        <v>5501.5</v>
      </c>
      <c r="O3" s="5">
        <v>6892.7</v>
      </c>
      <c r="P3" s="5">
        <v>8027</v>
      </c>
      <c r="R3" s="5">
        <f>P3*(1+R15)</f>
        <v>9953.48</v>
      </c>
      <c r="S3" s="5">
        <f>R3*(1+S15)</f>
        <v>12939.523999999999</v>
      </c>
      <c r="T3" s="5">
        <f t="shared" ref="T3:U3" si="4">S3*(1+T15)</f>
        <v>16821.3812</v>
      </c>
      <c r="U3" s="5">
        <f t="shared" si="4"/>
        <v>20858.512687999999</v>
      </c>
    </row>
    <row r="4" spans="1:21" x14ac:dyDescent="0.2">
      <c r="B4" s="3" t="s">
        <v>11</v>
      </c>
      <c r="C4" s="5">
        <v>32.299999999999997</v>
      </c>
      <c r="D4" s="5">
        <v>70.599999999999994</v>
      </c>
      <c r="E4" s="5">
        <v>109.8</v>
      </c>
      <c r="F4" s="5">
        <v>159.6</v>
      </c>
      <c r="G4" s="5">
        <v>251.5</v>
      </c>
      <c r="H4" s="5">
        <v>370</v>
      </c>
      <c r="I4" s="5">
        <v>476.4</v>
      </c>
      <c r="J4" s="5">
        <v>0</v>
      </c>
      <c r="K4" s="5">
        <v>808.4</v>
      </c>
      <c r="L4" s="5">
        <v>999.5</v>
      </c>
      <c r="M4" s="5">
        <v>1274.9000000000001</v>
      </c>
      <c r="N4" s="5">
        <v>1718.7</v>
      </c>
      <c r="O4" s="5">
        <v>1909.7</v>
      </c>
      <c r="P4" s="5">
        <v>2059.1999999999998</v>
      </c>
      <c r="R4" s="5">
        <f>R3-R5</f>
        <v>2886.5092000000004</v>
      </c>
      <c r="S4" s="5">
        <f t="shared" ref="S4:U4" si="5">S3-S5</f>
        <v>3752.4619600000005</v>
      </c>
      <c r="T4" s="5">
        <f t="shared" si="5"/>
        <v>4878.2005480000007</v>
      </c>
      <c r="U4" s="5">
        <f t="shared" si="5"/>
        <v>6048.9686795199996</v>
      </c>
    </row>
    <row r="5" spans="1:21" x14ac:dyDescent="0.2">
      <c r="B5" s="3" t="s">
        <v>12</v>
      </c>
      <c r="C5" s="5">
        <v>86.3</v>
      </c>
      <c r="D5" s="5">
        <v>184.6</v>
      </c>
      <c r="E5" s="5">
        <v>286.39999999999998</v>
      </c>
      <c r="F5" s="5">
        <v>438.6</v>
      </c>
      <c r="G5" s="5">
        <v>676.6</v>
      </c>
      <c r="H5" s="5">
        <v>1008.5</v>
      </c>
      <c r="I5" s="5">
        <v>1278.7</v>
      </c>
      <c r="J5" s="5">
        <v>2273.6</v>
      </c>
      <c r="K5" s="5">
        <v>2091.1999999999998</v>
      </c>
      <c r="L5" s="5">
        <v>2408.9</v>
      </c>
      <c r="M5" s="5">
        <v>2981.2</v>
      </c>
      <c r="N5" s="5">
        <v>3782.8</v>
      </c>
      <c r="O5" s="5">
        <v>4983</v>
      </c>
      <c r="P5" s="5">
        <f>P3-P4</f>
        <v>5967.8</v>
      </c>
      <c r="R5" s="5">
        <f>R3*R16</f>
        <v>7066.9707999999991</v>
      </c>
      <c r="S5" s="5">
        <f t="shared" ref="S5:U5" si="6">S3*S16</f>
        <v>9187.0620399999989</v>
      </c>
      <c r="T5" s="5">
        <f t="shared" si="6"/>
        <v>11943.180651999999</v>
      </c>
      <c r="U5" s="5">
        <f t="shared" si="6"/>
        <v>14809.544008479999</v>
      </c>
    </row>
    <row r="6" spans="1:21" x14ac:dyDescent="0.2">
      <c r="B6" s="3" t="s">
        <v>13</v>
      </c>
      <c r="C6" s="5">
        <v>96.7</v>
      </c>
      <c r="D6" s="5">
        <v>180.7</v>
      </c>
      <c r="E6" s="5">
        <v>305</v>
      </c>
      <c r="F6" s="5">
        <v>653.9</v>
      </c>
      <c r="G6" s="5">
        <v>776.4</v>
      </c>
      <c r="H6" s="5">
        <v>1165.8</v>
      </c>
      <c r="I6" s="5">
        <v>1444.5</v>
      </c>
      <c r="J6" s="5">
        <v>2377.8000000000002</v>
      </c>
      <c r="K6" s="5">
        <v>2145.3000000000002</v>
      </c>
      <c r="L6" s="5">
        <v>2587.9</v>
      </c>
      <c r="M6" s="5">
        <v>3285.3</v>
      </c>
      <c r="N6" s="5">
        <v>3971.6</v>
      </c>
      <c r="O6" s="5">
        <v>4595.7</v>
      </c>
      <c r="P6" s="5">
        <v>5284.3</v>
      </c>
      <c r="R6" s="5">
        <f>R5-R9</f>
        <v>6171.1575999999995</v>
      </c>
      <c r="S6" s="5">
        <f t="shared" ref="S6:U6" si="7">S5-S9</f>
        <v>7893.1096399999988</v>
      </c>
      <c r="T6" s="5">
        <f t="shared" si="7"/>
        <v>10092.82872</v>
      </c>
      <c r="U6" s="5">
        <f t="shared" si="7"/>
        <v>12306.522485919999</v>
      </c>
    </row>
    <row r="7" spans="1:21" x14ac:dyDescent="0.2">
      <c r="B7" s="3" t="s">
        <v>14</v>
      </c>
      <c r="C7" s="5">
        <v>13.1</v>
      </c>
      <c r="D7" s="5">
        <v>26.2</v>
      </c>
      <c r="E7" s="5">
        <v>42.7</v>
      </c>
      <c r="F7" s="5">
        <v>73.099999999999994</v>
      </c>
      <c r="G7" s="5">
        <v>101.6</v>
      </c>
      <c r="H7" s="5">
        <v>138.4</v>
      </c>
      <c r="I7" s="5">
        <v>198.3</v>
      </c>
      <c r="J7" s="5">
        <v>257.8</v>
      </c>
      <c r="K7" s="5">
        <v>261.8</v>
      </c>
      <c r="L7" s="5">
        <v>299.60000000000002</v>
      </c>
      <c r="M7" s="5">
        <v>391.1</v>
      </c>
      <c r="N7" s="5">
        <v>405</v>
      </c>
      <c r="O7" s="5">
        <v>447.7</v>
      </c>
      <c r="P7" s="5">
        <f>680.5+2794.5</f>
        <v>3475</v>
      </c>
      <c r="R7" s="5">
        <f>R6-R8</f>
        <v>3682.7875999999997</v>
      </c>
      <c r="S7" s="5">
        <f t="shared" ref="S7:U7" si="8">S6-S8</f>
        <v>4658.2286399999994</v>
      </c>
      <c r="T7" s="5">
        <f t="shared" si="8"/>
        <v>5887.4834199999996</v>
      </c>
      <c r="U7" s="5">
        <f t="shared" si="8"/>
        <v>7091.8943139199991</v>
      </c>
    </row>
    <row r="8" spans="1:21" x14ac:dyDescent="0.2">
      <c r="B8" s="3" t="s">
        <v>15</v>
      </c>
      <c r="C8" s="5">
        <v>21.4</v>
      </c>
      <c r="D8" s="5">
        <v>38.6</v>
      </c>
      <c r="E8" s="5">
        <v>62.5</v>
      </c>
      <c r="F8" s="5">
        <v>104.8</v>
      </c>
      <c r="G8" s="5">
        <v>185.8</v>
      </c>
      <c r="H8" s="5">
        <v>284.2</v>
      </c>
      <c r="I8" s="5">
        <v>347.4</v>
      </c>
      <c r="J8" s="5">
        <v>400.7</v>
      </c>
      <c r="K8" s="5">
        <v>539.5</v>
      </c>
      <c r="L8" s="5">
        <v>768.1</v>
      </c>
      <c r="M8" s="5">
        <v>1140.4000000000001</v>
      </c>
      <c r="N8" s="5">
        <v>1417.7</v>
      </c>
      <c r="O8" s="5">
        <v>1604</v>
      </c>
      <c r="P8" s="5">
        <v>1809.4</v>
      </c>
      <c r="R8" s="5">
        <f>R3*R18</f>
        <v>2488.37</v>
      </c>
      <c r="S8" s="5">
        <f t="shared" ref="S8:U8" si="9">S3*S18</f>
        <v>3234.8809999999999</v>
      </c>
      <c r="T8" s="5">
        <f t="shared" si="9"/>
        <v>4205.3453</v>
      </c>
      <c r="U8" s="5">
        <f t="shared" si="9"/>
        <v>5214.6281719999997</v>
      </c>
    </row>
    <row r="9" spans="1:21" x14ac:dyDescent="0.2">
      <c r="B9" s="3" t="s">
        <v>16</v>
      </c>
      <c r="C9" s="5">
        <v>-10.4</v>
      </c>
      <c r="D9" s="5">
        <v>3.9</v>
      </c>
      <c r="E9" s="5">
        <v>-18.600000000000001</v>
      </c>
      <c r="F9" s="5">
        <v>-215.3</v>
      </c>
      <c r="G9" s="5">
        <v>-99.8</v>
      </c>
      <c r="H9" s="5">
        <v>-157.30000000000001</v>
      </c>
      <c r="I9" s="5">
        <v>-165.8</v>
      </c>
      <c r="J9" s="5">
        <v>-104.2</v>
      </c>
      <c r="K9" s="5">
        <v>-54.1</v>
      </c>
      <c r="L9" s="5">
        <v>-179</v>
      </c>
      <c r="M9" s="5">
        <v>-304.10000000000002</v>
      </c>
      <c r="N9" s="5">
        <v>-188.8</v>
      </c>
      <c r="O9" s="5">
        <v>387.3</v>
      </c>
      <c r="P9" s="5">
        <f>P5-P6</f>
        <v>683.5</v>
      </c>
      <c r="R9" s="5">
        <f>R3*R17</f>
        <v>895.81319999999994</v>
      </c>
      <c r="S9" s="5">
        <f t="shared" ref="S9:U9" si="10">S3*S17</f>
        <v>1293.9524000000001</v>
      </c>
      <c r="T9" s="5">
        <f t="shared" si="10"/>
        <v>1850.351932</v>
      </c>
      <c r="U9" s="5">
        <f t="shared" si="10"/>
        <v>2503.02152256</v>
      </c>
    </row>
    <row r="10" spans="1:21" x14ac:dyDescent="0.2">
      <c r="B10" s="3" t="s">
        <v>8</v>
      </c>
      <c r="C10" s="5">
        <v>-1.6</v>
      </c>
      <c r="D10" s="5">
        <v>-1.1000000000000001</v>
      </c>
      <c r="E10" s="5">
        <v>0</v>
      </c>
      <c r="F10" s="5">
        <v>-6.9</v>
      </c>
      <c r="G10" s="5">
        <v>-22.1</v>
      </c>
      <c r="H10" s="5">
        <v>-15</v>
      </c>
      <c r="I10" s="5">
        <v>-14.3</v>
      </c>
      <c r="J10" s="5">
        <v>-1.1000000000000001</v>
      </c>
      <c r="K10" s="5">
        <v>-20.5</v>
      </c>
      <c r="L10" s="5">
        <v>-52.8</v>
      </c>
      <c r="M10" s="5">
        <v>-160.9</v>
      </c>
      <c r="N10" s="5">
        <v>-18.399999999999999</v>
      </c>
      <c r="O10" s="5">
        <v>179</v>
      </c>
      <c r="P10" s="5">
        <v>312.7</v>
      </c>
      <c r="R10" s="5">
        <f>R3*R20</f>
        <v>99.534800000000004</v>
      </c>
      <c r="S10" s="5">
        <f t="shared" ref="S10:U10" si="11">S3*S20</f>
        <v>129.39524</v>
      </c>
      <c r="T10" s="5">
        <f t="shared" si="11"/>
        <v>168.21381199999999</v>
      </c>
      <c r="U10" s="5">
        <f t="shared" si="11"/>
        <v>208.58512687999999</v>
      </c>
    </row>
    <row r="11" spans="1:21" x14ac:dyDescent="0.2">
      <c r="B11" s="3" t="s">
        <v>17</v>
      </c>
      <c r="C11" s="5">
        <v>-12.1</v>
      </c>
      <c r="D11" s="5">
        <v>2.8</v>
      </c>
      <c r="E11" s="5">
        <v>-18.7</v>
      </c>
      <c r="F11" s="5">
        <v>-222.2</v>
      </c>
      <c r="G11" s="5">
        <v>-121.9</v>
      </c>
      <c r="H11" s="5">
        <v>-172.3</v>
      </c>
      <c r="I11" s="5">
        <v>-180.1</v>
      </c>
      <c r="J11" s="5">
        <v>-105.3</v>
      </c>
      <c r="K11" s="5">
        <v>-74.599999999999994</v>
      </c>
      <c r="L11" s="5">
        <v>-231.8</v>
      </c>
      <c r="M11" s="5">
        <v>-465</v>
      </c>
      <c r="N11" s="5">
        <v>-207.2</v>
      </c>
      <c r="O11" s="5">
        <v>566.29999999999995</v>
      </c>
      <c r="P11" s="5">
        <f>P9+P10</f>
        <v>996.2</v>
      </c>
      <c r="R11" s="5">
        <f>R9+R10</f>
        <v>995.34799999999996</v>
      </c>
      <c r="S11" s="5">
        <f t="shared" ref="S11:U11" si="12">S9+S10</f>
        <v>1423.3476400000002</v>
      </c>
      <c r="T11" s="5">
        <f t="shared" si="12"/>
        <v>2018.565744</v>
      </c>
      <c r="U11" s="5">
        <f t="shared" si="12"/>
        <v>2711.6066494400002</v>
      </c>
    </row>
    <row r="12" spans="1:21" x14ac:dyDescent="0.2">
      <c r="B12" s="3" t="s">
        <v>18</v>
      </c>
      <c r="C12" s="5">
        <v>0.5</v>
      </c>
      <c r="D12" s="5">
        <v>2.1</v>
      </c>
      <c r="E12" s="5">
        <v>10.6</v>
      </c>
      <c r="F12" s="5">
        <v>4.3</v>
      </c>
      <c r="G12" s="5">
        <v>9.4</v>
      </c>
      <c r="H12" s="5">
        <v>20.399999999999999</v>
      </c>
      <c r="I12" s="5">
        <v>22.9</v>
      </c>
      <c r="J12" s="5">
        <v>16.899999999999999</v>
      </c>
      <c r="K12" s="5">
        <v>7.3</v>
      </c>
      <c r="L12" s="5">
        <v>35.200000000000003</v>
      </c>
      <c r="M12" s="5">
        <v>33.9</v>
      </c>
      <c r="N12" s="5">
        <v>59.8</v>
      </c>
      <c r="O12" s="5">
        <v>126.6</v>
      </c>
      <c r="P12" s="5">
        <v>-1589.3</v>
      </c>
      <c r="R12" s="5">
        <f>R11*R19</f>
        <v>209.02307999999999</v>
      </c>
      <c r="S12" s="5">
        <f t="shared" ref="S12:U12" si="13">S11*S19</f>
        <v>298.90300440000004</v>
      </c>
      <c r="T12" s="5">
        <f t="shared" si="13"/>
        <v>423.89880624</v>
      </c>
      <c r="U12" s="5">
        <f t="shared" si="13"/>
        <v>569.43739638240004</v>
      </c>
    </row>
    <row r="13" spans="1:21" x14ac:dyDescent="0.2">
      <c r="B13" s="3" t="s">
        <v>9</v>
      </c>
      <c r="C13" s="5">
        <v>-12.5</v>
      </c>
      <c r="D13" s="5">
        <v>0.7</v>
      </c>
      <c r="E13" s="5">
        <v>-29.2</v>
      </c>
      <c r="F13" s="5">
        <v>-226.5</v>
      </c>
      <c r="G13" s="5">
        <v>-131.30000000000001</v>
      </c>
      <c r="H13" s="5">
        <v>-192.7</v>
      </c>
      <c r="I13" s="5">
        <v>-203</v>
      </c>
      <c r="J13" s="5">
        <v>-122.2</v>
      </c>
      <c r="K13" s="5">
        <v>-81.900000000000006</v>
      </c>
      <c r="L13" s="5">
        <v>-267</v>
      </c>
      <c r="M13" s="5">
        <v>-498.9</v>
      </c>
      <c r="N13" s="5">
        <v>-267</v>
      </c>
      <c r="O13" s="5">
        <v>439.7</v>
      </c>
      <c r="P13" s="5">
        <f>P11-P12</f>
        <v>2585.5</v>
      </c>
      <c r="R13" s="5">
        <f>R11-R12</f>
        <v>786.32492000000002</v>
      </c>
      <c r="S13" s="5">
        <f t="shared" ref="S13:U13" si="14">S11-S12</f>
        <v>1124.4446356000001</v>
      </c>
      <c r="T13" s="5">
        <f t="shared" si="14"/>
        <v>1594.6669377600001</v>
      </c>
      <c r="U13" s="5">
        <f t="shared" si="14"/>
        <v>2142.1692530576001</v>
      </c>
    </row>
    <row r="14" spans="1:21" x14ac:dyDescent="0.2">
      <c r="M14" s="3"/>
      <c r="Q14" s="3" t="s">
        <v>24</v>
      </c>
    </row>
    <row r="15" spans="1:21" x14ac:dyDescent="0.2">
      <c r="B15" s="3" t="s">
        <v>19</v>
      </c>
      <c r="C15" s="6"/>
      <c r="D15" s="6">
        <f>(D3/C3)-1</f>
        <v>1.1509274873524453</v>
      </c>
      <c r="E15" s="6">
        <f t="shared" ref="E15:O15" si="15">(E3/D3)-1</f>
        <v>0.5527244217953744</v>
      </c>
      <c r="F15" s="6">
        <f t="shared" si="15"/>
        <v>0.51022469073466303</v>
      </c>
      <c r="G15" s="6">
        <f t="shared" si="15"/>
        <v>0.55148779672350368</v>
      </c>
      <c r="H15" s="6">
        <f t="shared" si="15"/>
        <v>0.48529253313220555</v>
      </c>
      <c r="I15" s="6">
        <f t="shared" si="15"/>
        <v>0.27319550235763512</v>
      </c>
      <c r="J15" s="6">
        <f t="shared" si="15"/>
        <v>0.29542476212181645</v>
      </c>
      <c r="K15" s="6">
        <f t="shared" si="15"/>
        <v>0.27533427163969026</v>
      </c>
      <c r="L15" s="6">
        <f t="shared" si="15"/>
        <v>0.17547247896261564</v>
      </c>
      <c r="M15" s="6">
        <f t="shared" si="15"/>
        <v>0.24870907170519896</v>
      </c>
      <c r="N15" s="6">
        <f t="shared" si="15"/>
        <v>0.29261530509151568</v>
      </c>
      <c r="O15" s="6">
        <f t="shared" si="15"/>
        <v>0.25287648823048259</v>
      </c>
      <c r="P15" s="6">
        <f t="shared" ref="P15" si="16">(P3/O3)-1</f>
        <v>0.16456540978136291</v>
      </c>
      <c r="Q15" s="8">
        <f>AVERAGE(M15:P15)</f>
        <v>0.23969156870214003</v>
      </c>
      <c r="R15" s="6">
        <v>0.24</v>
      </c>
      <c r="S15" s="6">
        <v>0.3</v>
      </c>
      <c r="T15" s="6">
        <v>0.3</v>
      </c>
      <c r="U15" s="6">
        <v>0.24</v>
      </c>
    </row>
    <row r="16" spans="1:21" x14ac:dyDescent="0.2">
      <c r="B16" s="3" t="s">
        <v>20</v>
      </c>
      <c r="C16" s="6">
        <f>C5/C3</f>
        <v>0.72765598650927488</v>
      </c>
      <c r="D16" s="6">
        <f>D5/D3</f>
        <v>0.7236377891023128</v>
      </c>
      <c r="E16" s="6">
        <f t="shared" ref="E16:O16" si="17">E5/E3</f>
        <v>0.72304973491542535</v>
      </c>
      <c r="F16" s="6">
        <f t="shared" si="17"/>
        <v>0.73319959879638918</v>
      </c>
      <c r="G16" s="6">
        <f t="shared" si="17"/>
        <v>0.72901626979851308</v>
      </c>
      <c r="H16" s="6">
        <f t="shared" si="17"/>
        <v>0.73159231048240847</v>
      </c>
      <c r="I16" s="6">
        <f t="shared" si="17"/>
        <v>0.72856247507264549</v>
      </c>
      <c r="J16" s="6">
        <f t="shared" si="17"/>
        <v>1</v>
      </c>
      <c r="K16" s="6">
        <f t="shared" si="17"/>
        <v>0.72120292454131596</v>
      </c>
      <c r="L16" s="6">
        <f t="shared" si="17"/>
        <v>0.70675390212416389</v>
      </c>
      <c r="M16" s="6">
        <f t="shared" si="17"/>
        <v>0.70045346678884413</v>
      </c>
      <c r="N16" s="6">
        <f t="shared" si="17"/>
        <v>0.68759429246569126</v>
      </c>
      <c r="O16" s="6">
        <f t="shared" si="17"/>
        <v>0.72293876129818502</v>
      </c>
      <c r="P16" s="6">
        <f t="shared" ref="P16" si="18">P5/P3</f>
        <v>0.7434658029151614</v>
      </c>
      <c r="Q16" s="8">
        <f t="shared" ref="Q16:Q20" si="19">AVERAGE(M16:P16)</f>
        <v>0.71361308086697051</v>
      </c>
      <c r="R16" s="6">
        <v>0.71</v>
      </c>
      <c r="S16" s="6">
        <v>0.71</v>
      </c>
      <c r="T16" s="6">
        <v>0.71</v>
      </c>
      <c r="U16" s="6">
        <v>0.71</v>
      </c>
    </row>
    <row r="17" spans="1:21" x14ac:dyDescent="0.2">
      <c r="B17" s="3" t="s">
        <v>21</v>
      </c>
      <c r="C17" s="6">
        <f>C9/C3</f>
        <v>-8.7689713322091065E-2</v>
      </c>
      <c r="D17" s="6">
        <f>D9/D3</f>
        <v>1.528812230497844E-2</v>
      </c>
      <c r="E17" s="6">
        <f t="shared" ref="E17:O17" si="20">E9/E3</f>
        <v>-4.6957838929563241E-2</v>
      </c>
      <c r="F17" s="6">
        <f t="shared" si="20"/>
        <v>-0.35991307255098626</v>
      </c>
      <c r="G17" s="6">
        <f t="shared" si="20"/>
        <v>-0.10753151600043098</v>
      </c>
      <c r="H17" s="6">
        <f t="shared" si="20"/>
        <v>-0.1141095393543707</v>
      </c>
      <c r="I17" s="6">
        <f t="shared" si="20"/>
        <v>-9.4467551706455488E-2</v>
      </c>
      <c r="J17" s="6">
        <f t="shared" si="20"/>
        <v>-4.5830401125967632E-2</v>
      </c>
      <c r="K17" s="6">
        <f t="shared" si="20"/>
        <v>-1.8657745895985654E-2</v>
      </c>
      <c r="L17" s="6">
        <f t="shared" si="20"/>
        <v>-5.2517310174862102E-2</v>
      </c>
      <c r="M17" s="6">
        <f t="shared" si="20"/>
        <v>-7.1450388853645352E-2</v>
      </c>
      <c r="N17" s="6">
        <f t="shared" si="20"/>
        <v>-3.4317913296373716E-2</v>
      </c>
      <c r="O17" s="6">
        <f t="shared" si="20"/>
        <v>5.6189882049124437E-2</v>
      </c>
      <c r="P17" s="6">
        <f t="shared" ref="P17" si="21">P9/P3</f>
        <v>8.5150118350566836E-2</v>
      </c>
      <c r="Q17" s="8">
        <f t="shared" si="19"/>
        <v>8.8929245624180531E-3</v>
      </c>
      <c r="R17" s="6">
        <v>0.09</v>
      </c>
      <c r="S17" s="6">
        <v>0.1</v>
      </c>
      <c r="T17" s="6">
        <v>0.11</v>
      </c>
      <c r="U17" s="6">
        <v>0.12</v>
      </c>
    </row>
    <row r="18" spans="1:21" x14ac:dyDescent="0.2">
      <c r="B18" s="3" t="s">
        <v>22</v>
      </c>
      <c r="C18" s="6">
        <f>C8/C3</f>
        <v>0.18043844856661045</v>
      </c>
      <c r="D18" s="6">
        <f>D8/D3</f>
        <v>0.15131321050568405</v>
      </c>
      <c r="E18" s="6">
        <f t="shared" ref="E18:O18" si="22">E8/E3</f>
        <v>0.15778843726331734</v>
      </c>
      <c r="F18" s="6">
        <f t="shared" si="22"/>
        <v>0.17519224339685721</v>
      </c>
      <c r="G18" s="6">
        <f t="shared" si="22"/>
        <v>0.20019394461803686</v>
      </c>
      <c r="H18" s="6">
        <f t="shared" si="22"/>
        <v>0.20616612259702574</v>
      </c>
      <c r="I18" s="6">
        <f t="shared" si="22"/>
        <v>0.1979374394621389</v>
      </c>
      <c r="J18" s="6">
        <f t="shared" si="22"/>
        <v>0.17624032371569318</v>
      </c>
      <c r="K18" s="6">
        <f t="shared" si="22"/>
        <v>0.18606014622706582</v>
      </c>
      <c r="L18" s="6">
        <f t="shared" si="22"/>
        <v>0.2253550052810703</v>
      </c>
      <c r="M18" s="6">
        <f t="shared" si="22"/>
        <v>0.26794483212330539</v>
      </c>
      <c r="N18" s="6">
        <f t="shared" si="22"/>
        <v>0.25769335635735707</v>
      </c>
      <c r="O18" s="6">
        <f t="shared" si="22"/>
        <v>0.23270996851741699</v>
      </c>
      <c r="P18" s="6">
        <f t="shared" ref="P18" si="23">P8/P3</f>
        <v>0.22541422698392924</v>
      </c>
      <c r="Q18" s="8">
        <f t="shared" si="19"/>
        <v>0.24594059599550216</v>
      </c>
      <c r="R18" s="6">
        <v>0.25</v>
      </c>
      <c r="S18" s="6">
        <v>0.25</v>
      </c>
      <c r="T18" s="6">
        <v>0.25</v>
      </c>
      <c r="U18" s="6">
        <v>0.25</v>
      </c>
    </row>
    <row r="19" spans="1:21" x14ac:dyDescent="0.2">
      <c r="B19" s="3" t="s">
        <v>23</v>
      </c>
      <c r="C19" s="6">
        <f>C12/C11</f>
        <v>-4.1322314049586778E-2</v>
      </c>
      <c r="D19" s="6">
        <f>D12/D11</f>
        <v>0.75000000000000011</v>
      </c>
      <c r="E19" s="6">
        <f t="shared" ref="E19:O19" si="24">E12/E11</f>
        <v>-0.5668449197860963</v>
      </c>
      <c r="F19" s="6">
        <f t="shared" si="24"/>
        <v>-1.9351935193519351E-2</v>
      </c>
      <c r="G19" s="6">
        <f t="shared" si="24"/>
        <v>-7.7112387202625102E-2</v>
      </c>
      <c r="H19" s="6">
        <f t="shared" si="24"/>
        <v>-0.11839814277423098</v>
      </c>
      <c r="I19" s="6">
        <f t="shared" si="24"/>
        <v>-0.12715158245419211</v>
      </c>
      <c r="J19" s="6">
        <f t="shared" si="24"/>
        <v>-0.16049382716049382</v>
      </c>
      <c r="K19" s="6">
        <f t="shared" si="24"/>
        <v>-9.7855227882037543E-2</v>
      </c>
      <c r="L19" s="6">
        <f t="shared" si="24"/>
        <v>-0.15185504745470232</v>
      </c>
      <c r="M19" s="6">
        <f t="shared" si="24"/>
        <v>-7.2903225806451616E-2</v>
      </c>
      <c r="N19" s="6">
        <f t="shared" si="24"/>
        <v>-0.28861003861003859</v>
      </c>
      <c r="O19" s="6">
        <f t="shared" si="24"/>
        <v>0.22355641885926189</v>
      </c>
      <c r="P19" s="6">
        <f t="shared" ref="P19" si="25">P12/P11</f>
        <v>-1.5953623770327243</v>
      </c>
      <c r="Q19" s="8">
        <f t="shared" si="19"/>
        <v>-0.43332980564748819</v>
      </c>
      <c r="R19" s="6">
        <v>0.21</v>
      </c>
      <c r="S19" s="6">
        <v>0.21</v>
      </c>
      <c r="T19" s="6">
        <v>0.21</v>
      </c>
      <c r="U19" s="6">
        <v>0.21</v>
      </c>
    </row>
    <row r="20" spans="1:21" x14ac:dyDescent="0.2">
      <c r="B20" s="3" t="s">
        <v>30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>
        <f>M10/M3</f>
        <v>-3.7804562862714691E-2</v>
      </c>
      <c r="N20" s="6">
        <f t="shared" ref="N20:P20" si="26">N10/N3</f>
        <v>-3.3445423975279466E-3</v>
      </c>
      <c r="O20" s="6">
        <f t="shared" si="26"/>
        <v>2.5969503967966111E-2</v>
      </c>
      <c r="P20" s="6">
        <f t="shared" si="26"/>
        <v>3.8956023420954278E-2</v>
      </c>
      <c r="Q20" s="8">
        <f t="shared" si="19"/>
        <v>5.9441055321694377E-3</v>
      </c>
      <c r="R20" s="6">
        <v>0.01</v>
      </c>
      <c r="S20" s="6">
        <v>0.01</v>
      </c>
      <c r="T20" s="6">
        <v>0.01</v>
      </c>
      <c r="U20" s="6">
        <v>0.01</v>
      </c>
    </row>
    <row r="21" spans="1:21" x14ac:dyDescent="0.2">
      <c r="M21" s="3"/>
    </row>
    <row r="22" spans="1:21" x14ac:dyDescent="0.2">
      <c r="B22" s="3" t="s">
        <v>25</v>
      </c>
      <c r="M22" s="3"/>
      <c r="N22" s="5">
        <v>282.60000000000002</v>
      </c>
      <c r="O22" s="5">
        <v>282.2</v>
      </c>
      <c r="P22" s="5">
        <v>283.3</v>
      </c>
      <c r="R22" s="5">
        <f>R3*R23</f>
        <v>398.13920000000002</v>
      </c>
      <c r="S22" s="5">
        <f t="shared" ref="S22:U22" si="27">S3*S23</f>
        <v>517.58096</v>
      </c>
      <c r="T22" s="5">
        <f t="shared" si="27"/>
        <v>672.85524799999996</v>
      </c>
      <c r="U22" s="5">
        <f t="shared" si="27"/>
        <v>834.34050751999996</v>
      </c>
    </row>
    <row r="23" spans="1:21" s="6" customFormat="1" x14ac:dyDescent="0.2">
      <c r="A23" s="3"/>
      <c r="B23" s="3" t="s">
        <v>26</v>
      </c>
      <c r="C23" s="3"/>
      <c r="D23" s="3"/>
      <c r="E23" s="3"/>
      <c r="F23" s="3"/>
      <c r="G23" s="3"/>
      <c r="H23" s="3"/>
      <c r="I23" s="3"/>
      <c r="J23" s="3"/>
      <c r="K23" s="3"/>
      <c r="L23" s="3"/>
      <c r="N23" s="6">
        <f>N22/N3</f>
        <v>5.1367808779423797E-2</v>
      </c>
      <c r="O23" s="6">
        <f t="shared" ref="O23:P23" si="28">O22/O3</f>
        <v>4.0941866032178968E-2</v>
      </c>
      <c r="P23" s="6">
        <f t="shared" si="28"/>
        <v>3.5293384826211541E-2</v>
      </c>
      <c r="R23" s="6">
        <v>0.04</v>
      </c>
      <c r="S23" s="6">
        <v>0.04</v>
      </c>
      <c r="T23" s="6">
        <v>0.04</v>
      </c>
      <c r="U23" s="6">
        <v>0.04</v>
      </c>
    </row>
    <row r="24" spans="1:21" x14ac:dyDescent="0.2">
      <c r="B24" s="3" t="s">
        <v>27</v>
      </c>
      <c r="M24" s="3"/>
      <c r="O24" s="5">
        <f>2463.2+339.2+466.8-132.3-548.3-390.8-4674.6</f>
        <v>-2476.8000000000011</v>
      </c>
      <c r="P24" s="5">
        <f>2618.6+369+557.4-116.3-554.7-506.7-5541.1</f>
        <v>-3173.8</v>
      </c>
      <c r="R24" s="5">
        <f>R3*R25</f>
        <v>-3782.3224</v>
      </c>
      <c r="S24" s="5">
        <f t="shared" ref="S24:U24" si="29">S3*S25</f>
        <v>-4917.0191199999999</v>
      </c>
      <c r="T24" s="5">
        <f t="shared" si="29"/>
        <v>-6392.1248560000004</v>
      </c>
      <c r="U24" s="5">
        <f t="shared" si="29"/>
        <v>-7926.2348214399999</v>
      </c>
    </row>
    <row r="25" spans="1:21" s="6" customFormat="1" x14ac:dyDescent="0.2">
      <c r="A25" s="3"/>
      <c r="B25" s="3" t="s">
        <v>26</v>
      </c>
      <c r="C25" s="3"/>
      <c r="D25" s="3"/>
      <c r="E25" s="3"/>
      <c r="F25" s="3"/>
      <c r="G25" s="3"/>
      <c r="H25" s="3"/>
      <c r="I25" s="3"/>
      <c r="J25" s="3"/>
      <c r="K25" s="3"/>
      <c r="L25" s="3"/>
      <c r="O25" s="6">
        <f>O24/O3</f>
        <v>-0.35933668954110887</v>
      </c>
      <c r="P25" s="6">
        <f>P24/P3</f>
        <v>-0.39539055687056185</v>
      </c>
      <c r="R25" s="6">
        <v>-0.38</v>
      </c>
      <c r="S25" s="6">
        <v>-0.38</v>
      </c>
      <c r="T25" s="6">
        <v>-0.38</v>
      </c>
      <c r="U25" s="6">
        <v>-0.38</v>
      </c>
    </row>
    <row r="26" spans="1:21" x14ac:dyDescent="0.2">
      <c r="B26" s="3" t="s">
        <v>28</v>
      </c>
      <c r="M26" s="3"/>
      <c r="P26" s="3">
        <f>O24-P24</f>
        <v>696.99999999999909</v>
      </c>
      <c r="R26" s="10">
        <f>P24-R24</f>
        <v>608.52239999999983</v>
      </c>
      <c r="S26" s="10">
        <f>R24-S24</f>
        <v>1134.6967199999999</v>
      </c>
      <c r="T26" s="10">
        <f t="shared" ref="T26:U26" si="30">S24-T24</f>
        <v>1475.1057360000004</v>
      </c>
      <c r="U26" s="10">
        <f t="shared" si="30"/>
        <v>1534.1099654399995</v>
      </c>
    </row>
    <row r="27" spans="1:21" x14ac:dyDescent="0.2">
      <c r="B27" s="3" t="s">
        <v>29</v>
      </c>
      <c r="M27" s="3"/>
      <c r="N27" s="5">
        <v>192.8</v>
      </c>
      <c r="O27" s="5">
        <v>146.30000000000001</v>
      </c>
      <c r="P27" s="5">
        <v>156.80000000000001</v>
      </c>
      <c r="R27" s="5">
        <f>R3*R28</f>
        <v>199.06960000000001</v>
      </c>
      <c r="S27" s="5">
        <f t="shared" ref="S27:U27" si="31">S3*S28</f>
        <v>258.79048</v>
      </c>
      <c r="T27" s="5">
        <f t="shared" si="31"/>
        <v>336.42762399999998</v>
      </c>
      <c r="U27" s="5">
        <f t="shared" si="31"/>
        <v>417.17025375999998</v>
      </c>
    </row>
    <row r="28" spans="1:21" s="6" customFormat="1" x14ac:dyDescent="0.2">
      <c r="A28" s="3"/>
      <c r="B28" s="3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N28" s="6">
        <f t="shared" ref="N28:O28" si="32">N27/N3</f>
        <v>3.5044987730618926E-2</v>
      </c>
      <c r="O28" s="6">
        <f t="shared" si="32"/>
        <v>2.122535436041029E-2</v>
      </c>
      <c r="P28" s="6">
        <f>P27/P3</f>
        <v>1.9534072505294632E-2</v>
      </c>
      <c r="R28" s="6">
        <v>0.02</v>
      </c>
      <c r="S28" s="6">
        <v>0.02</v>
      </c>
      <c r="T28" s="6">
        <v>0.02</v>
      </c>
      <c r="U28" s="6">
        <v>0.02</v>
      </c>
    </row>
    <row r="29" spans="1:21" x14ac:dyDescent="0.2">
      <c r="M29" s="3"/>
    </row>
    <row r="30" spans="1:21" x14ac:dyDescent="0.2">
      <c r="B30" s="3" t="s">
        <v>31</v>
      </c>
      <c r="M30" s="5">
        <f>M9</f>
        <v>-304.10000000000002</v>
      </c>
      <c r="N30" s="5">
        <f t="shared" ref="N30:U30" si="33">N9</f>
        <v>-188.8</v>
      </c>
      <c r="O30" s="5">
        <f t="shared" si="33"/>
        <v>387.3</v>
      </c>
      <c r="P30" s="5">
        <f t="shared" si="33"/>
        <v>683.5</v>
      </c>
      <c r="Q30" s="5"/>
      <c r="R30" s="5">
        <f t="shared" si="33"/>
        <v>895.81319999999994</v>
      </c>
      <c r="S30" s="5">
        <f t="shared" si="33"/>
        <v>1293.9524000000001</v>
      </c>
      <c r="T30" s="5">
        <f t="shared" si="33"/>
        <v>1850.351932</v>
      </c>
      <c r="U30" s="5">
        <f t="shared" si="33"/>
        <v>2503.02152256</v>
      </c>
    </row>
    <row r="31" spans="1:21" x14ac:dyDescent="0.2">
      <c r="B31" s="3" t="s">
        <v>32</v>
      </c>
      <c r="M31" s="5">
        <f>M30*M19</f>
        <v>22.169870967741939</v>
      </c>
      <c r="N31" s="5">
        <f t="shared" ref="N31:U31" si="34">N30*N19</f>
        <v>54.489575289575292</v>
      </c>
      <c r="O31" s="5">
        <f t="shared" si="34"/>
        <v>86.583401024192128</v>
      </c>
      <c r="P31" s="5">
        <f t="shared" si="34"/>
        <v>-1090.4301847018671</v>
      </c>
      <c r="Q31" s="5"/>
      <c r="R31" s="5">
        <f t="shared" si="34"/>
        <v>188.12077199999999</v>
      </c>
      <c r="S31" s="5">
        <f t="shared" si="34"/>
        <v>271.73000400000001</v>
      </c>
      <c r="T31" s="5">
        <f t="shared" si="34"/>
        <v>388.57390571999997</v>
      </c>
      <c r="U31" s="5">
        <f t="shared" si="34"/>
        <v>525.63451973759993</v>
      </c>
    </row>
    <row r="32" spans="1:21" x14ac:dyDescent="0.2">
      <c r="B32" s="3" t="s">
        <v>33</v>
      </c>
      <c r="M32" s="5">
        <f>M30-M31</f>
        <v>-326.26987096774195</v>
      </c>
      <c r="N32" s="5">
        <f t="shared" ref="N32:U32" si="35">N30-N31</f>
        <v>-243.28957528957531</v>
      </c>
      <c r="O32" s="5">
        <f t="shared" si="35"/>
        <v>300.71659897580787</v>
      </c>
      <c r="P32" s="5">
        <f t="shared" si="35"/>
        <v>1773.9301847018671</v>
      </c>
      <c r="Q32" s="5"/>
      <c r="R32" s="5">
        <f t="shared" si="35"/>
        <v>707.69242799999995</v>
      </c>
      <c r="S32" s="5">
        <f t="shared" si="35"/>
        <v>1022.2223960000001</v>
      </c>
      <c r="T32" s="5">
        <f t="shared" si="35"/>
        <v>1461.7780262800002</v>
      </c>
      <c r="U32" s="5">
        <f t="shared" si="35"/>
        <v>1977.3870028224001</v>
      </c>
    </row>
    <row r="33" spans="2:21" ht="15" x14ac:dyDescent="0.25">
      <c r="B33" s="12" t="s">
        <v>34</v>
      </c>
      <c r="M33" s="3"/>
      <c r="R33" s="11">
        <f>R32+R22+R26-R27</f>
        <v>1515.2844279999997</v>
      </c>
      <c r="S33" s="11">
        <f t="shared" ref="S33:U33" si="36">S32+S22+S26-S27</f>
        <v>2415.7095960000001</v>
      </c>
      <c r="T33" s="11">
        <f t="shared" si="36"/>
        <v>3273.3113862800005</v>
      </c>
      <c r="U33" s="11">
        <f t="shared" si="36"/>
        <v>3928.6672220223995</v>
      </c>
    </row>
    <row r="34" spans="2:21" x14ac:dyDescent="0.2">
      <c r="M34" s="3"/>
    </row>
    <row r="35" spans="2:21" x14ac:dyDescent="0.2">
      <c r="B35" s="3" t="s">
        <v>35</v>
      </c>
      <c r="M35" s="7">
        <f ca="1">TODAY()</f>
        <v>45656</v>
      </c>
    </row>
    <row r="36" spans="2:21" x14ac:dyDescent="0.2">
      <c r="B36" s="3" t="s">
        <v>36</v>
      </c>
      <c r="M36" s="6">
        <f ca="1">(R1-M35)/365</f>
        <v>0.58356164383561648</v>
      </c>
    </row>
    <row r="37" spans="2:21" x14ac:dyDescent="0.2">
      <c r="B37" s="3" t="s">
        <v>37</v>
      </c>
      <c r="M37" s="6">
        <v>0.08</v>
      </c>
    </row>
    <row r="38" spans="2:21" x14ac:dyDescent="0.2">
      <c r="B38" s="3" t="s">
        <v>38</v>
      </c>
      <c r="M38" s="6">
        <v>0.02</v>
      </c>
    </row>
    <row r="39" spans="2:21" x14ac:dyDescent="0.2">
      <c r="M39" s="3"/>
    </row>
    <row r="40" spans="2:21" ht="15" x14ac:dyDescent="0.25">
      <c r="B40" s="12" t="s">
        <v>39</v>
      </c>
      <c r="M40" s="3"/>
      <c r="R40" s="13">
        <f ca="1">M36*R33/(1+discount)^((R1-valDate)/365)</f>
        <v>845.4269297108558</v>
      </c>
      <c r="S40" s="13">
        <f ca="1">S33/(1+discount)^((S1-valDate)/365)</f>
        <v>2138.5339404437859</v>
      </c>
      <c r="T40" s="13">
        <f ca="1">T33/(1+discount)^((T1-valDate)/365)</f>
        <v>2683.0884424769333</v>
      </c>
      <c r="U40" s="13">
        <f ca="1">U33/(1+discount)^((U1-valDate)/365)</f>
        <v>2981.1071305957648</v>
      </c>
    </row>
    <row r="41" spans="2:21" x14ac:dyDescent="0.2">
      <c r="M41" s="3"/>
    </row>
    <row r="42" spans="2:21" x14ac:dyDescent="0.2">
      <c r="B42" s="3" t="s">
        <v>40</v>
      </c>
      <c r="M42" s="5">
        <f>U33*(1+discount)</f>
        <v>4242.9605997841918</v>
      </c>
      <c r="O42" s="15">
        <f ca="1">M50</f>
        <v>186.07340686970775</v>
      </c>
      <c r="P42" s="16">
        <v>7.0000000000000007E-2</v>
      </c>
      <c r="Q42" s="16">
        <v>7.4999999999999997E-2</v>
      </c>
      <c r="R42" s="16">
        <v>0.08</v>
      </c>
      <c r="S42" s="16">
        <v>8.5000000000000006E-2</v>
      </c>
      <c r="T42" s="16">
        <v>0.09</v>
      </c>
    </row>
    <row r="43" spans="2:21" x14ac:dyDescent="0.2">
      <c r="B43" s="3" t="s">
        <v>41</v>
      </c>
      <c r="M43" s="5">
        <f>M42/(discount-tgr)</f>
        <v>70716.009996403198</v>
      </c>
      <c r="O43" s="17">
        <v>-0.01</v>
      </c>
      <c r="P43" s="4">
        <f t="dataTable" ref="P43:T47" dt2D="1" dtr="1" r1="M37" r2="M38" ca="1"/>
        <v>148.79128880582942</v>
      </c>
      <c r="Q43" s="4">
        <v>139.67122248101541</v>
      </c>
      <c r="R43" s="4">
        <v>131.55758003772178</v>
      </c>
      <c r="S43" s="4">
        <v>124.29176222612729</v>
      </c>
      <c r="T43" s="4">
        <v>117.74687814643187</v>
      </c>
    </row>
    <row r="44" spans="2:21" x14ac:dyDescent="0.2">
      <c r="B44" s="3" t="s">
        <v>42</v>
      </c>
      <c r="M44" s="5">
        <f ca="1">M43/(1+discount)^((U1-valDate)/365)</f>
        <v>53659.928350723771</v>
      </c>
      <c r="O44" s="17">
        <v>0.01</v>
      </c>
      <c r="P44" s="4">
        <v>190.67377623882888</v>
      </c>
      <c r="Q44" s="4">
        <v>175.62172556857902</v>
      </c>
      <c r="R44" s="4">
        <v>162.70948108457088</v>
      </c>
      <c r="S44" s="4">
        <v>151.50950839964003</v>
      </c>
      <c r="T44" s="4">
        <v>141.70114144141985</v>
      </c>
    </row>
    <row r="45" spans="2:21" ht="15" x14ac:dyDescent="0.25">
      <c r="B45" s="3" t="s">
        <v>43</v>
      </c>
      <c r="M45" s="5">
        <f ca="1">SUM(R40:U40)</f>
        <v>8648.1564432273408</v>
      </c>
      <c r="O45" s="17">
        <v>0.02</v>
      </c>
      <c r="P45" s="4">
        <v>224.17976618522849</v>
      </c>
      <c r="Q45" s="4">
        <v>203.40165977260546</v>
      </c>
      <c r="R45" s="18">
        <v>186.07340686970775</v>
      </c>
      <c r="S45" s="4">
        <v>171.39939983413009</v>
      </c>
      <c r="T45" s="4">
        <v>158.81132950926843</v>
      </c>
    </row>
    <row r="46" spans="2:21" x14ac:dyDescent="0.2">
      <c r="B46" s="3" t="s">
        <v>44</v>
      </c>
      <c r="M46" s="5">
        <f ca="1">M44+M45</f>
        <v>62308.084793951115</v>
      </c>
      <c r="O46" s="17">
        <v>2.5000000000000001E-2</v>
      </c>
      <c r="P46" s="4">
        <v>246.51709281616152</v>
      </c>
      <c r="Q46" s="4">
        <v>221.45861700522264</v>
      </c>
      <c r="R46" s="4">
        <v>200.94135964206748</v>
      </c>
      <c r="S46" s="4">
        <v>183.83058198068636</v>
      </c>
      <c r="T46" s="4">
        <v>169.34067601255984</v>
      </c>
    </row>
    <row r="47" spans="2:21" x14ac:dyDescent="0.2">
      <c r="B47" s="3" t="s">
        <v>4</v>
      </c>
      <c r="M47" s="5">
        <f>Main!G5</f>
        <v>2282.8000000000002</v>
      </c>
      <c r="O47" s="17">
        <v>0.03</v>
      </c>
      <c r="P47" s="4">
        <v>274.43875110482787</v>
      </c>
      <c r="Q47" s="4">
        <v>243.52823140064362</v>
      </c>
      <c r="R47" s="4">
        <v>218.78290296889924</v>
      </c>
      <c r="S47" s="4">
        <v>198.52197906298014</v>
      </c>
      <c r="T47" s="4">
        <v>181.62491359973319</v>
      </c>
    </row>
    <row r="48" spans="2:21" x14ac:dyDescent="0.2">
      <c r="B48" s="3" t="s">
        <v>5</v>
      </c>
      <c r="M48" s="5">
        <f>Main!G6</f>
        <v>1025.4000000000001</v>
      </c>
    </row>
    <row r="49" spans="2:13" x14ac:dyDescent="0.2">
      <c r="B49" s="3" t="s">
        <v>45</v>
      </c>
      <c r="M49" s="5">
        <f ca="1">M46-M47+M48</f>
        <v>61050.684793951114</v>
      </c>
    </row>
    <row r="50" spans="2:13" ht="15" x14ac:dyDescent="0.25">
      <c r="B50" s="12" t="s">
        <v>46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4">
        <f ca="1">M49/Main!G3</f>
        <v>186.07340686970775</v>
      </c>
    </row>
    <row r="51" spans="2:13" x14ac:dyDescent="0.2">
      <c r="B51" s="3" t="s">
        <v>47</v>
      </c>
      <c r="M51" s="6">
        <f ca="1">(M50/Main!G2)-1</f>
        <v>1.0225348117203659E-2</v>
      </c>
    </row>
    <row r="52" spans="2:13" x14ac:dyDescent="0.2">
      <c r="M52" s="3"/>
    </row>
    <row r="53" spans="2:13" x14ac:dyDescent="0.2">
      <c r="M53" s="3"/>
    </row>
    <row r="54" spans="2:13" x14ac:dyDescent="0.2">
      <c r="B54" s="3" t="s">
        <v>48</v>
      </c>
      <c r="M54" s="19">
        <v>20</v>
      </c>
    </row>
    <row r="55" spans="2:13" x14ac:dyDescent="0.2">
      <c r="B55" s="3" t="s">
        <v>41</v>
      </c>
      <c r="M55" s="5">
        <f>M54*(U30+U22)</f>
        <v>66747.240601600002</v>
      </c>
    </row>
    <row r="56" spans="2:13" x14ac:dyDescent="0.2">
      <c r="B56" s="3" t="s">
        <v>42</v>
      </c>
      <c r="M56" s="5">
        <f ca="1">M55/(1+discount)^((U1-valDate)/365)</f>
        <v>50648.391339847214</v>
      </c>
    </row>
    <row r="57" spans="2:13" x14ac:dyDescent="0.2">
      <c r="B57" s="3" t="s">
        <v>43</v>
      </c>
      <c r="M57" s="5">
        <f ca="1">SUM(R40:U40)</f>
        <v>8648.1564432273408</v>
      </c>
    </row>
    <row r="58" spans="2:13" x14ac:dyDescent="0.2">
      <c r="B58" s="3" t="s">
        <v>49</v>
      </c>
      <c r="M58" s="5">
        <f ca="1">M56+M57</f>
        <v>59296.547783074551</v>
      </c>
    </row>
    <row r="59" spans="2:13" x14ac:dyDescent="0.2">
      <c r="B59" s="3" t="s">
        <v>4</v>
      </c>
      <c r="M59" s="5">
        <f>Cash</f>
        <v>2282.8000000000002</v>
      </c>
    </row>
    <row r="60" spans="2:13" x14ac:dyDescent="0.2">
      <c r="B60" s="3" t="s">
        <v>5</v>
      </c>
      <c r="M60" s="5">
        <f>Debt</f>
        <v>1025.4000000000001</v>
      </c>
    </row>
    <row r="61" spans="2:13" x14ac:dyDescent="0.2">
      <c r="B61" s="3" t="s">
        <v>45</v>
      </c>
      <c r="M61" s="5">
        <f ca="1">M58-M59+M60</f>
        <v>58039.14778307455</v>
      </c>
    </row>
    <row r="62" spans="2:13" ht="15" x14ac:dyDescent="0.25">
      <c r="B62" s="12" t="s">
        <v>46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20">
        <f ca="1">M61/Shares</f>
        <v>176.8946899819401</v>
      </c>
    </row>
    <row r="63" spans="2:13" x14ac:dyDescent="0.2">
      <c r="B63" s="3" t="s">
        <v>47</v>
      </c>
      <c r="M63" s="6">
        <f ca="1">(M62/Price)-1</f>
        <v>-3.9607524936532301E-2</v>
      </c>
    </row>
  </sheetData>
  <hyperlinks>
    <hyperlink ref="A1" location="Main!A1" display="Main" xr:uid="{6E40EE66-CE68-4584-A48F-5C4DFD13C5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Main</vt:lpstr>
      <vt:lpstr>Model</vt:lpstr>
      <vt:lpstr>Cash</vt:lpstr>
      <vt:lpstr>Debt</vt:lpstr>
      <vt:lpstr>discount</vt:lpstr>
      <vt:lpstr>Price</vt:lpstr>
      <vt:lpstr>Shares</vt:lpstr>
      <vt:lpstr>tgr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Hammen</dc:creator>
  <cp:lastModifiedBy>Jayden Hammen</cp:lastModifiedBy>
  <dcterms:created xsi:type="dcterms:W3CDTF">2024-09-15T05:15:32Z</dcterms:created>
  <dcterms:modified xsi:type="dcterms:W3CDTF">2024-12-30T23:54:04Z</dcterms:modified>
</cp:coreProperties>
</file>