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de\Dropbox\Jayden\Stocks\"/>
    </mc:Choice>
  </mc:AlternateContent>
  <xr:revisionPtr revIDLastSave="0" documentId="13_ncr:1_{E11744DE-2CF5-4CCC-B05B-43BA31DEDFC9}" xr6:coauthVersionLast="47" xr6:coauthVersionMax="47" xr10:uidLastSave="{00000000-0000-0000-0000-000000000000}"/>
  <bookViews>
    <workbookView xWindow="-120" yWindow="-120" windowWidth="29040" windowHeight="15720" activeTab="1" xr2:uid="{B03DD8CA-0459-4A2B-9030-7166D0A325A4}"/>
  </bookViews>
  <sheets>
    <sheet name="Main" sheetId="1" r:id="rId1"/>
    <sheet name="Model" sheetId="2" r:id="rId2"/>
  </sheets>
  <definedNames>
    <definedName name="Cash">Main!$G$5</definedName>
    <definedName name="d">Model!$O$37</definedName>
    <definedName name="Debt">Main!$G$6</definedName>
    <definedName name="g">Model!$O$38</definedName>
    <definedName name="Price">Main!$G$2</definedName>
    <definedName name="Shares">Main!$G$3</definedName>
    <definedName name="v">Model!$O$35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2" l="1"/>
  <c r="O47" i="2"/>
  <c r="O35" i="2"/>
  <c r="O36" i="2" s="1"/>
  <c r="S30" i="2"/>
  <c r="Q30" i="2"/>
  <c r="P30" i="2"/>
  <c r="P31" i="2" s="1"/>
  <c r="O31" i="2"/>
  <c r="O32" i="2" s="1"/>
  <c r="O30" i="2"/>
  <c r="Q26" i="2"/>
  <c r="S3" i="2"/>
  <c r="S9" i="2" s="1"/>
  <c r="P25" i="2"/>
  <c r="Q25" i="2"/>
  <c r="P24" i="2"/>
  <c r="Q24" i="2"/>
  <c r="U1" i="2"/>
  <c r="V1" i="2" s="1"/>
  <c r="W1" i="2" s="1"/>
  <c r="T1" i="2"/>
  <c r="S1" i="2"/>
  <c r="U2" i="2"/>
  <c r="V2" i="2" s="1"/>
  <c r="W2" i="2" s="1"/>
  <c r="T2" i="2"/>
  <c r="S2" i="2"/>
  <c r="R20" i="2"/>
  <c r="R19" i="2"/>
  <c r="R18" i="2"/>
  <c r="R17" i="2"/>
  <c r="R16" i="2"/>
  <c r="R15" i="2"/>
  <c r="P28" i="2"/>
  <c r="O28" i="2"/>
  <c r="Q28" i="2"/>
  <c r="P23" i="2"/>
  <c r="O23" i="2"/>
  <c r="Q23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20" i="2"/>
  <c r="D19" i="2"/>
  <c r="D18" i="2"/>
  <c r="D17" i="2"/>
  <c r="D16" i="2"/>
  <c r="C20" i="2"/>
  <c r="C19" i="2"/>
  <c r="C18" i="2"/>
  <c r="C17" i="2"/>
  <c r="C16" i="2"/>
  <c r="D15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G7" i="1"/>
  <c r="G6" i="1"/>
  <c r="G4" i="1"/>
  <c r="S27" i="2" l="1"/>
  <c r="S24" i="2"/>
  <c r="P32" i="2"/>
  <c r="Q31" i="2"/>
  <c r="Q32" i="2" s="1"/>
  <c r="S31" i="2"/>
  <c r="S32" i="2" s="1"/>
  <c r="S8" i="2"/>
  <c r="S10" i="2"/>
  <c r="S11" i="2" s="1"/>
  <c r="S22" i="2"/>
  <c r="S5" i="2"/>
  <c r="S6" i="2" s="1"/>
  <c r="T3" i="2"/>
  <c r="S4" i="2"/>
  <c r="S7" i="2" l="1"/>
  <c r="T24" i="2"/>
  <c r="T27" i="2"/>
  <c r="T26" i="2"/>
  <c r="S26" i="2"/>
  <c r="S33" i="2" s="1"/>
  <c r="S40" i="2" s="1"/>
  <c r="T10" i="2"/>
  <c r="T8" i="2"/>
  <c r="U3" i="2"/>
  <c r="T5" i="2"/>
  <c r="T4" i="2" s="1"/>
  <c r="T9" i="2"/>
  <c r="T22" i="2"/>
  <c r="S12" i="2"/>
  <c r="S13" i="2" s="1"/>
  <c r="T11" i="2" l="1"/>
  <c r="T30" i="2"/>
  <c r="U27" i="2"/>
  <c r="U24" i="2"/>
  <c r="U26" i="2" s="1"/>
  <c r="T12" i="2"/>
  <c r="T13" i="2" s="1"/>
  <c r="T6" i="2"/>
  <c r="T7" i="2" s="1"/>
  <c r="V3" i="2"/>
  <c r="U5" i="2"/>
  <c r="U4" i="2" s="1"/>
  <c r="U22" i="2"/>
  <c r="U9" i="2"/>
  <c r="U30" i="2" s="1"/>
  <c r="U10" i="2"/>
  <c r="U8" i="2"/>
  <c r="T31" i="2" l="1"/>
  <c r="T32" i="2" s="1"/>
  <c r="T33" i="2" s="1"/>
  <c r="T40" i="2" s="1"/>
  <c r="U31" i="2"/>
  <c r="U32" i="2"/>
  <c r="U33" i="2" s="1"/>
  <c r="U40" i="2" s="1"/>
  <c r="V27" i="2"/>
  <c r="V24" i="2"/>
  <c r="U11" i="2"/>
  <c r="U12" i="2" s="1"/>
  <c r="U13" i="2" s="1"/>
  <c r="W3" i="2"/>
  <c r="V22" i="2"/>
  <c r="V5" i="2"/>
  <c r="V9" i="2"/>
  <c r="V30" i="2" s="1"/>
  <c r="V8" i="2"/>
  <c r="V10" i="2"/>
  <c r="V4" i="2"/>
  <c r="U6" i="2"/>
  <c r="U7" i="2" s="1"/>
  <c r="V31" i="2" l="1"/>
  <c r="V32" i="2" s="1"/>
  <c r="V26" i="2"/>
  <c r="W27" i="2"/>
  <c r="W24" i="2"/>
  <c r="W26" i="2" s="1"/>
  <c r="V11" i="2"/>
  <c r="V12" i="2" s="1"/>
  <c r="V13" i="2" s="1"/>
  <c r="V6" i="2"/>
  <c r="V7" i="2" s="1"/>
  <c r="W22" i="2"/>
  <c r="W9" i="2"/>
  <c r="W30" i="2" s="1"/>
  <c r="W31" i="2" s="1"/>
  <c r="W32" i="2" s="1"/>
  <c r="W5" i="2"/>
  <c r="W10" i="2"/>
  <c r="W8" i="2"/>
  <c r="V33" i="2" l="1"/>
  <c r="V40" i="2" s="1"/>
  <c r="W33" i="2"/>
  <c r="W11" i="2"/>
  <c r="W12" i="2" s="1"/>
  <c r="W13" i="2" s="1"/>
  <c r="W6" i="2"/>
  <c r="W7" i="2" s="1"/>
  <c r="W4" i="2"/>
  <c r="O42" i="2" l="1"/>
  <c r="O43" i="2" s="1"/>
  <c r="O44" i="2" s="1"/>
  <c r="W40" i="2"/>
  <c r="O45" i="2" s="1"/>
  <c r="O46" i="2" s="1"/>
  <c r="O49" i="2" s="1"/>
  <c r="O50" i="2" s="1"/>
  <c r="O51" i="2" s="1"/>
</calcChain>
</file>

<file path=xl/sharedStrings.xml><?xml version="1.0" encoding="utf-8"?>
<sst xmlns="http://schemas.openxmlformats.org/spreadsheetml/2006/main" count="55" uniqueCount="49">
  <si>
    <t>Broadcom Inc.</t>
  </si>
  <si>
    <t>Price</t>
  </si>
  <si>
    <t>Shares</t>
  </si>
  <si>
    <t>MC</t>
  </si>
  <si>
    <t>Cash</t>
  </si>
  <si>
    <t>Debt</t>
  </si>
  <si>
    <t>EV</t>
  </si>
  <si>
    <t>Q3 24</t>
  </si>
  <si>
    <t>Main</t>
  </si>
  <si>
    <t>Other Income</t>
  </si>
  <si>
    <t>Net Income</t>
  </si>
  <si>
    <t>Revenue</t>
  </si>
  <si>
    <t>COGS</t>
  </si>
  <si>
    <t>Gross Profit</t>
  </si>
  <si>
    <t>OpEx</t>
  </si>
  <si>
    <t>SG&amp;A</t>
  </si>
  <si>
    <t>R&amp;D</t>
  </si>
  <si>
    <t>EBIT</t>
  </si>
  <si>
    <t>EBT</t>
  </si>
  <si>
    <t>Taxes</t>
  </si>
  <si>
    <t>Revenue Growth y/y</t>
  </si>
  <si>
    <t>Gross Margin</t>
  </si>
  <si>
    <t>Operating Margin</t>
  </si>
  <si>
    <t>Tax Rate</t>
  </si>
  <si>
    <t>Other Income % of rev</t>
  </si>
  <si>
    <t>R&amp;D % of rev</t>
  </si>
  <si>
    <t>D&amp;A</t>
  </si>
  <si>
    <t>% of Revenue</t>
  </si>
  <si>
    <t>Working Capital</t>
  </si>
  <si>
    <t>CIWC</t>
  </si>
  <si>
    <t>CapEx</t>
  </si>
  <si>
    <t>AVG</t>
  </si>
  <si>
    <t>Operating Profit</t>
  </si>
  <si>
    <t>Operating Taxes</t>
  </si>
  <si>
    <t>NOPAT</t>
  </si>
  <si>
    <t>UFCF</t>
  </si>
  <si>
    <t>Valuation Date</t>
  </si>
  <si>
    <t>Stub %</t>
  </si>
  <si>
    <t>Discount Rate</t>
  </si>
  <si>
    <t>TGR</t>
  </si>
  <si>
    <t>PV of UFCF</t>
  </si>
  <si>
    <t>Final FCF</t>
  </si>
  <si>
    <t>Terminal Value</t>
  </si>
  <si>
    <t>PV of Terminal Value</t>
  </si>
  <si>
    <t>Sum of Stage 1 CF</t>
  </si>
  <si>
    <t>Enterprise Value</t>
  </si>
  <si>
    <t>Equity Value</t>
  </si>
  <si>
    <t>Share Price</t>
  </si>
  <si>
    <t>Implied 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</si>
</sst>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3" tint="0.499984740745262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0" fontId="3" fillId="0" borderId="0" xfId="3" applyFont="1"/>
    <xf numFmtId="0" fontId="4" fillId="0" borderId="0" xfId="0" applyFont="1"/>
    <xf numFmtId="14" fontId="4" fillId="0" borderId="0" xfId="0" applyNumberFormat="1" applyFont="1"/>
    <xf numFmtId="164" fontId="4" fillId="0" borderId="0" xfId="1" applyNumberFormat="1" applyFont="1"/>
    <xf numFmtId="9" fontId="4" fillId="0" borderId="0" xfId="2" applyFont="1"/>
    <xf numFmtId="165" fontId="4" fillId="0" borderId="0" xfId="2" applyNumberFormat="1" applyFont="1"/>
    <xf numFmtId="0" fontId="4" fillId="0" borderId="1" xfId="0" applyFont="1" applyBorder="1"/>
    <xf numFmtId="9" fontId="5" fillId="0" borderId="0" xfId="0" applyNumberFormat="1" applyFont="1"/>
    <xf numFmtId="43" fontId="4" fillId="0" borderId="0" xfId="1" applyFont="1"/>
    <xf numFmtId="0" fontId="6" fillId="0" borderId="0" xfId="0" applyFont="1"/>
    <xf numFmtId="164" fontId="6" fillId="0" borderId="0" xfId="0" applyNumberFormat="1" applyFont="1"/>
    <xf numFmtId="164" fontId="6" fillId="0" borderId="0" xfId="1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192E-658A-4539-A5BD-EEF6D7DCE3A6}">
  <dimension ref="A1:H7"/>
  <sheetViews>
    <sheetView zoomScale="130" zoomScaleNormal="130" workbookViewId="0">
      <selection activeCell="G3" sqref="G3"/>
    </sheetView>
  </sheetViews>
  <sheetFormatPr defaultRowHeight="15" x14ac:dyDescent="0.25"/>
  <cols>
    <col min="7" max="7" width="12.28515625" bestFit="1" customWidth="1"/>
    <col min="8" max="8" width="10" bestFit="1" customWidth="1"/>
  </cols>
  <sheetData>
    <row r="1" spans="1:8" x14ac:dyDescent="0.25">
      <c r="A1" t="s">
        <v>0</v>
      </c>
    </row>
    <row r="2" spans="1:8" x14ac:dyDescent="0.25">
      <c r="F2" t="s">
        <v>1</v>
      </c>
      <c r="G2">
        <v>174.84</v>
      </c>
      <c r="H2" s="2">
        <v>45560</v>
      </c>
    </row>
    <row r="3" spans="1:8" x14ac:dyDescent="0.25">
      <c r="F3" t="s">
        <v>2</v>
      </c>
      <c r="G3" s="1">
        <v>4670.576</v>
      </c>
      <c r="H3" t="s">
        <v>7</v>
      </c>
    </row>
    <row r="4" spans="1:8" x14ac:dyDescent="0.25">
      <c r="F4" t="s">
        <v>3</v>
      </c>
      <c r="G4" s="1">
        <f>G2*G3</f>
        <v>816603.50783999998</v>
      </c>
    </row>
    <row r="5" spans="1:8" x14ac:dyDescent="0.25">
      <c r="F5" t="s">
        <v>4</v>
      </c>
      <c r="G5" s="1">
        <v>9952</v>
      </c>
      <c r="H5" t="s">
        <v>7</v>
      </c>
    </row>
    <row r="6" spans="1:8" x14ac:dyDescent="0.25">
      <c r="F6" t="s">
        <v>5</v>
      </c>
      <c r="G6" s="1">
        <f>3161+66798</f>
        <v>69959</v>
      </c>
      <c r="H6" t="s">
        <v>7</v>
      </c>
    </row>
    <row r="7" spans="1:8" x14ac:dyDescent="0.25">
      <c r="F7" t="s">
        <v>6</v>
      </c>
      <c r="G7" s="1">
        <f>G4-G5+G6</f>
        <v>876610.50783999998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35A8-0242-4E2A-AFF2-B8242C5E1C5A}">
  <dimension ref="A1:W51"/>
  <sheetViews>
    <sheetView tabSelected="1" zoomScale="130" zoomScaleNormal="130" workbookViewId="0">
      <selection activeCell="Z15" sqref="Z15"/>
    </sheetView>
  </sheetViews>
  <sheetFormatPr defaultRowHeight="14.25" x14ac:dyDescent="0.2"/>
  <cols>
    <col min="1" max="1" width="9.140625" style="4"/>
    <col min="2" max="2" width="23.5703125" style="4" bestFit="1" customWidth="1"/>
    <col min="3" max="14" width="11.85546875" style="4" hidden="1" customWidth="1"/>
    <col min="15" max="17" width="11.85546875" style="4" bestFit="1" customWidth="1"/>
    <col min="18" max="18" width="9.140625" style="4"/>
    <col min="19" max="23" width="11.85546875" style="4" bestFit="1" customWidth="1"/>
    <col min="24" max="16384" width="9.140625" style="4"/>
  </cols>
  <sheetData>
    <row r="1" spans="1:23" x14ac:dyDescent="0.2">
      <c r="A1" s="3" t="s">
        <v>8</v>
      </c>
      <c r="C1" s="5">
        <v>40115</v>
      </c>
      <c r="D1" s="5">
        <f>EOMONTH(C1,12)</f>
        <v>40482</v>
      </c>
      <c r="E1" s="5">
        <f t="shared" ref="E1:Q1" si="0">EOMONTH(D1,12)</f>
        <v>40847</v>
      </c>
      <c r="F1" s="5">
        <f t="shared" si="0"/>
        <v>41213</v>
      </c>
      <c r="G1" s="5">
        <f t="shared" si="0"/>
        <v>41578</v>
      </c>
      <c r="H1" s="5">
        <f t="shared" si="0"/>
        <v>41943</v>
      </c>
      <c r="I1" s="5">
        <f t="shared" si="0"/>
        <v>42308</v>
      </c>
      <c r="J1" s="5">
        <f t="shared" si="0"/>
        <v>42674</v>
      </c>
      <c r="K1" s="5">
        <f t="shared" si="0"/>
        <v>43039</v>
      </c>
      <c r="L1" s="5">
        <f t="shared" si="0"/>
        <v>43404</v>
      </c>
      <c r="M1" s="5">
        <f t="shared" si="0"/>
        <v>43769</v>
      </c>
      <c r="N1" s="5">
        <f t="shared" si="0"/>
        <v>44135</v>
      </c>
      <c r="O1" s="5">
        <f t="shared" si="0"/>
        <v>44500</v>
      </c>
      <c r="P1" s="5">
        <f t="shared" si="0"/>
        <v>44865</v>
      </c>
      <c r="Q1" s="5">
        <f t="shared" si="0"/>
        <v>45230</v>
      </c>
      <c r="S1" s="5">
        <f>EOMONTH(Q1,12)</f>
        <v>45596</v>
      </c>
      <c r="T1" s="5">
        <f>EOMONTH(S1,12)</f>
        <v>45961</v>
      </c>
      <c r="U1" s="5">
        <f t="shared" ref="U1:W1" si="1">EOMONTH(T1,12)</f>
        <v>46326</v>
      </c>
      <c r="V1" s="5">
        <f t="shared" si="1"/>
        <v>46691</v>
      </c>
      <c r="W1" s="5">
        <f t="shared" si="1"/>
        <v>47057</v>
      </c>
    </row>
    <row r="2" spans="1:23" x14ac:dyDescent="0.2">
      <c r="C2" s="4">
        <v>2009</v>
      </c>
      <c r="D2" s="4">
        <f>C2+1</f>
        <v>2010</v>
      </c>
      <c r="E2" s="4">
        <f t="shared" ref="E2:Q2" si="2">D2+1</f>
        <v>2011</v>
      </c>
      <c r="F2" s="4">
        <f t="shared" si="2"/>
        <v>2012</v>
      </c>
      <c r="G2" s="4">
        <f t="shared" si="2"/>
        <v>2013</v>
      </c>
      <c r="H2" s="4">
        <f t="shared" si="2"/>
        <v>2014</v>
      </c>
      <c r="I2" s="4">
        <f t="shared" si="2"/>
        <v>2015</v>
      </c>
      <c r="J2" s="4">
        <f t="shared" si="2"/>
        <v>2016</v>
      </c>
      <c r="K2" s="4">
        <f t="shared" si="2"/>
        <v>2017</v>
      </c>
      <c r="L2" s="4">
        <f t="shared" si="2"/>
        <v>2018</v>
      </c>
      <c r="M2" s="4">
        <f t="shared" si="2"/>
        <v>2019</v>
      </c>
      <c r="N2" s="4">
        <f t="shared" si="2"/>
        <v>2020</v>
      </c>
      <c r="O2" s="9">
        <f t="shared" si="2"/>
        <v>2021</v>
      </c>
      <c r="P2" s="9">
        <f t="shared" si="2"/>
        <v>2022</v>
      </c>
      <c r="Q2" s="9">
        <f t="shared" si="2"/>
        <v>2023</v>
      </c>
      <c r="R2" s="9"/>
      <c r="S2" s="9">
        <f>Q2+1</f>
        <v>2024</v>
      </c>
      <c r="T2" s="9">
        <f>S2+1</f>
        <v>2025</v>
      </c>
      <c r="U2" s="9">
        <f t="shared" ref="U2:W2" si="3">T2+1</f>
        <v>2026</v>
      </c>
      <c r="V2" s="9">
        <f t="shared" si="3"/>
        <v>2027</v>
      </c>
      <c r="W2" s="9">
        <f t="shared" si="3"/>
        <v>2028</v>
      </c>
    </row>
    <row r="3" spans="1:23" x14ac:dyDescent="0.2">
      <c r="B3" s="6" t="s">
        <v>11</v>
      </c>
      <c r="C3" s="6">
        <v>1484</v>
      </c>
      <c r="D3" s="6">
        <v>2093</v>
      </c>
      <c r="E3" s="6">
        <v>2336</v>
      </c>
      <c r="F3" s="6">
        <v>2364</v>
      </c>
      <c r="G3" s="6">
        <v>2520</v>
      </c>
      <c r="H3" s="6">
        <v>4269</v>
      </c>
      <c r="I3" s="6">
        <v>6824</v>
      </c>
      <c r="J3" s="6">
        <v>13240</v>
      </c>
      <c r="K3" s="6">
        <v>17636</v>
      </c>
      <c r="L3" s="6">
        <v>20848</v>
      </c>
      <c r="M3" s="6">
        <v>22597</v>
      </c>
      <c r="N3" s="6">
        <v>23888</v>
      </c>
      <c r="O3" s="6">
        <v>27450</v>
      </c>
      <c r="P3" s="6">
        <v>33203</v>
      </c>
      <c r="Q3" s="6">
        <v>35819</v>
      </c>
      <c r="S3" s="6">
        <f>Q3*(1+S15)</f>
        <v>41191.85</v>
      </c>
      <c r="T3" s="6">
        <f>S3*(1+T15)</f>
        <v>47370.627499999995</v>
      </c>
      <c r="U3" s="6">
        <f t="shared" ref="U3:W3" si="4">T3*(1+U15)</f>
        <v>54476.221624999991</v>
      </c>
      <c r="V3" s="6">
        <f t="shared" si="4"/>
        <v>62647.654868749982</v>
      </c>
      <c r="W3" s="6">
        <f t="shared" si="4"/>
        <v>72044.803099062468</v>
      </c>
    </row>
    <row r="4" spans="1:23" x14ac:dyDescent="0.2">
      <c r="B4" s="6" t="s">
        <v>12</v>
      </c>
      <c r="C4" s="6">
        <v>924</v>
      </c>
      <c r="D4" s="6">
        <v>1127</v>
      </c>
      <c r="E4" s="6">
        <v>1189</v>
      </c>
      <c r="F4" s="6">
        <v>1222</v>
      </c>
      <c r="G4" s="6">
        <v>1322</v>
      </c>
      <c r="H4" s="6">
        <v>2392</v>
      </c>
      <c r="I4" s="6">
        <v>3271</v>
      </c>
      <c r="J4" s="6">
        <v>7300</v>
      </c>
      <c r="K4" s="6">
        <v>9127</v>
      </c>
      <c r="L4" s="6">
        <v>10115</v>
      </c>
      <c r="M4" s="6">
        <v>10114</v>
      </c>
      <c r="N4" s="6">
        <v>10372</v>
      </c>
      <c r="O4" s="6">
        <v>10606</v>
      </c>
      <c r="P4" s="6">
        <v>11108</v>
      </c>
      <c r="Q4" s="6">
        <v>11129</v>
      </c>
      <c r="S4" s="6">
        <f>S3-S5</f>
        <v>14005.228999999999</v>
      </c>
      <c r="T4" s="6">
        <f t="shared" ref="T4:W4" si="5">T3-T5</f>
        <v>16106.013349999997</v>
      </c>
      <c r="U4" s="6">
        <f t="shared" si="5"/>
        <v>18521.915352499993</v>
      </c>
      <c r="V4" s="6">
        <f t="shared" si="5"/>
        <v>21300.202655374989</v>
      </c>
      <c r="W4" s="6">
        <f t="shared" si="5"/>
        <v>24495.233053681237</v>
      </c>
    </row>
    <row r="5" spans="1:23" x14ac:dyDescent="0.2">
      <c r="B5" s="6" t="s">
        <v>13</v>
      </c>
      <c r="C5" s="6">
        <v>560</v>
      </c>
      <c r="D5" s="6">
        <v>966</v>
      </c>
      <c r="E5" s="6">
        <v>1147</v>
      </c>
      <c r="F5" s="6">
        <v>1142</v>
      </c>
      <c r="G5" s="6">
        <v>1198</v>
      </c>
      <c r="H5" s="6">
        <v>1877</v>
      </c>
      <c r="I5" s="6">
        <v>3553</v>
      </c>
      <c r="J5" s="6">
        <v>5940</v>
      </c>
      <c r="K5" s="6">
        <v>8509</v>
      </c>
      <c r="L5" s="6">
        <v>10733</v>
      </c>
      <c r="M5" s="6">
        <v>12483</v>
      </c>
      <c r="N5" s="6">
        <v>13516</v>
      </c>
      <c r="O5" s="6">
        <v>16844</v>
      </c>
      <c r="P5" s="6">
        <v>22095</v>
      </c>
      <c r="Q5" s="6">
        <v>24690</v>
      </c>
      <c r="S5" s="6">
        <f>S3*S16</f>
        <v>27186.620999999999</v>
      </c>
      <c r="T5" s="6">
        <f t="shared" ref="T5:W5" si="6">T3*T16</f>
        <v>31264.614149999998</v>
      </c>
      <c r="U5" s="6">
        <f t="shared" si="6"/>
        <v>35954.306272499998</v>
      </c>
      <c r="V5" s="6">
        <f t="shared" si="6"/>
        <v>41347.452213374992</v>
      </c>
      <c r="W5" s="6">
        <f t="shared" si="6"/>
        <v>47549.570045381231</v>
      </c>
    </row>
    <row r="6" spans="1:23" x14ac:dyDescent="0.2">
      <c r="B6" s="6" t="s">
        <v>14</v>
      </c>
      <c r="C6" s="6">
        <v>512</v>
      </c>
      <c r="D6" s="6">
        <v>500</v>
      </c>
      <c r="E6" s="6">
        <v>563</v>
      </c>
      <c r="F6" s="6">
        <v>560</v>
      </c>
      <c r="G6" s="6">
        <v>646</v>
      </c>
      <c r="H6" s="6">
        <v>1439</v>
      </c>
      <c r="I6" s="6">
        <v>1921</v>
      </c>
      <c r="J6" s="6">
        <v>6349</v>
      </c>
      <c r="K6" s="6">
        <v>6138</v>
      </c>
      <c r="L6" s="6">
        <v>5598</v>
      </c>
      <c r="M6" s="6">
        <v>9039</v>
      </c>
      <c r="N6" s="6">
        <v>9502</v>
      </c>
      <c r="O6" s="6">
        <v>8325</v>
      </c>
      <c r="P6" s="6">
        <v>7870</v>
      </c>
      <c r="Q6" s="6">
        <v>8483</v>
      </c>
      <c r="S6" s="6">
        <f>S5-S9</f>
        <v>10709.880999999998</v>
      </c>
      <c r="T6" s="6">
        <f t="shared" ref="T6:W6" si="7">T5-T9</f>
        <v>12316.363149999997</v>
      </c>
      <c r="U6" s="6">
        <f t="shared" si="7"/>
        <v>14163.817622499999</v>
      </c>
      <c r="V6" s="6">
        <f t="shared" si="7"/>
        <v>16288.390265874998</v>
      </c>
      <c r="W6" s="6">
        <f t="shared" si="7"/>
        <v>18731.648805756242</v>
      </c>
    </row>
    <row r="7" spans="1:23" x14ac:dyDescent="0.2">
      <c r="B7" s="6" t="s">
        <v>15</v>
      </c>
      <c r="C7" s="6">
        <v>165</v>
      </c>
      <c r="D7" s="6">
        <v>196</v>
      </c>
      <c r="E7" s="6">
        <v>220</v>
      </c>
      <c r="F7" s="6">
        <v>199</v>
      </c>
      <c r="G7" s="6">
        <v>222</v>
      </c>
      <c r="H7" s="6">
        <v>407</v>
      </c>
      <c r="I7" s="6">
        <v>486</v>
      </c>
      <c r="J7" s="6">
        <v>806</v>
      </c>
      <c r="K7" s="6">
        <v>789</v>
      </c>
      <c r="L7" s="6">
        <v>1056</v>
      </c>
      <c r="M7" s="6">
        <v>1709</v>
      </c>
      <c r="N7" s="6">
        <v>1935</v>
      </c>
      <c r="O7" s="6">
        <v>1347</v>
      </c>
      <c r="P7" s="6">
        <v>1382</v>
      </c>
      <c r="Q7" s="6">
        <v>1592</v>
      </c>
      <c r="S7" s="6">
        <f>S6-S8</f>
        <v>4119.1849999999977</v>
      </c>
      <c r="T7" s="6">
        <f t="shared" ref="T7:W7" si="8">T6-T8</f>
        <v>4737.0627499999982</v>
      </c>
      <c r="U7" s="6">
        <f t="shared" si="8"/>
        <v>5447.6221624999998</v>
      </c>
      <c r="V7" s="6">
        <f t="shared" si="8"/>
        <v>6264.7654868749996</v>
      </c>
      <c r="W7" s="6">
        <f t="shared" si="8"/>
        <v>7204.4803099062465</v>
      </c>
    </row>
    <row r="8" spans="1:23" x14ac:dyDescent="0.2">
      <c r="B8" s="6" t="s">
        <v>16</v>
      </c>
      <c r="C8" s="6">
        <v>245</v>
      </c>
      <c r="D8" s="6">
        <v>280</v>
      </c>
      <c r="E8" s="6">
        <v>317</v>
      </c>
      <c r="F8" s="6">
        <v>335</v>
      </c>
      <c r="G8" s="6">
        <v>398</v>
      </c>
      <c r="H8" s="6">
        <v>695</v>
      </c>
      <c r="I8" s="6">
        <v>1049</v>
      </c>
      <c r="J8" s="6">
        <v>2674</v>
      </c>
      <c r="K8" s="6">
        <v>3302</v>
      </c>
      <c r="L8" s="6">
        <v>3768</v>
      </c>
      <c r="M8" s="6">
        <v>4696</v>
      </c>
      <c r="N8" s="6">
        <v>4968</v>
      </c>
      <c r="O8" s="6">
        <v>4854</v>
      </c>
      <c r="P8" s="6">
        <v>4919</v>
      </c>
      <c r="Q8" s="6">
        <v>5253</v>
      </c>
      <c r="S8" s="6">
        <f>S3*S20</f>
        <v>6590.6959999999999</v>
      </c>
      <c r="T8" s="6">
        <f t="shared" ref="T8:W8" si="9">T3*T20</f>
        <v>7579.3003999999992</v>
      </c>
      <c r="U8" s="6">
        <f t="shared" si="9"/>
        <v>8716.195459999999</v>
      </c>
      <c r="V8" s="6">
        <f t="shared" si="9"/>
        <v>10023.624778999998</v>
      </c>
      <c r="W8" s="6">
        <f t="shared" si="9"/>
        <v>11527.168495849995</v>
      </c>
    </row>
    <row r="9" spans="1:23" x14ac:dyDescent="0.2">
      <c r="B9" s="6" t="s">
        <v>17</v>
      </c>
      <c r="C9" s="6">
        <v>48</v>
      </c>
      <c r="D9" s="6">
        <v>466</v>
      </c>
      <c r="E9" s="6">
        <v>584</v>
      </c>
      <c r="F9" s="6">
        <v>582</v>
      </c>
      <c r="G9" s="6">
        <v>552</v>
      </c>
      <c r="H9" s="6">
        <v>438</v>
      </c>
      <c r="I9" s="6">
        <v>1632</v>
      </c>
      <c r="J9" s="6">
        <v>-409</v>
      </c>
      <c r="K9" s="6">
        <v>2371</v>
      </c>
      <c r="L9" s="6">
        <v>5135</v>
      </c>
      <c r="M9" s="6">
        <v>3444</v>
      </c>
      <c r="N9" s="6">
        <v>4014</v>
      </c>
      <c r="O9" s="6">
        <v>8519</v>
      </c>
      <c r="P9" s="6">
        <v>14225</v>
      </c>
      <c r="Q9" s="6">
        <v>16207</v>
      </c>
      <c r="S9" s="6">
        <f>S3*S17</f>
        <v>16476.740000000002</v>
      </c>
      <c r="T9" s="6">
        <f t="shared" ref="T9:W9" si="10">T3*T17</f>
        <v>18948.251</v>
      </c>
      <c r="U9" s="6">
        <f t="shared" si="10"/>
        <v>21790.488649999999</v>
      </c>
      <c r="V9" s="6">
        <f t="shared" si="10"/>
        <v>25059.061947499995</v>
      </c>
      <c r="W9" s="6">
        <f t="shared" si="10"/>
        <v>28817.92123962499</v>
      </c>
    </row>
    <row r="10" spans="1:23" x14ac:dyDescent="0.2">
      <c r="B10" s="6" t="s">
        <v>9</v>
      </c>
      <c r="C10" s="6">
        <v>-84</v>
      </c>
      <c r="D10" s="6">
        <v>-60</v>
      </c>
      <c r="E10" s="6">
        <v>-23</v>
      </c>
      <c r="F10" s="6">
        <v>3</v>
      </c>
      <c r="G10" s="6">
        <v>16</v>
      </c>
      <c r="H10" s="6">
        <v>-96</v>
      </c>
      <c r="I10" s="6">
        <v>-165</v>
      </c>
      <c r="J10" s="6">
        <v>-698</v>
      </c>
      <c r="K10" s="6">
        <v>-546</v>
      </c>
      <c r="L10" s="6">
        <v>-590</v>
      </c>
      <c r="M10" s="6">
        <v>-1218</v>
      </c>
      <c r="N10" s="6">
        <v>-1571</v>
      </c>
      <c r="O10" s="6">
        <v>-1754</v>
      </c>
      <c r="P10" s="6">
        <v>-1791</v>
      </c>
      <c r="Q10" s="6">
        <v>-1110</v>
      </c>
      <c r="S10" s="6">
        <f>S3*S19</f>
        <v>-2059.5925000000002</v>
      </c>
      <c r="T10" s="6">
        <f t="shared" ref="T10:W10" si="11">T3*T19</f>
        <v>-2368.531375</v>
      </c>
      <c r="U10" s="6">
        <f t="shared" si="11"/>
        <v>-2723.8110812499999</v>
      </c>
      <c r="V10" s="6">
        <f t="shared" si="11"/>
        <v>-3132.3827434374994</v>
      </c>
      <c r="W10" s="6">
        <f t="shared" si="11"/>
        <v>-3602.2401549531237</v>
      </c>
    </row>
    <row r="11" spans="1:23" x14ac:dyDescent="0.2">
      <c r="B11" s="6" t="s">
        <v>18</v>
      </c>
      <c r="C11" s="6">
        <v>-36</v>
      </c>
      <c r="D11" s="6">
        <v>406</v>
      </c>
      <c r="E11" s="6">
        <v>561</v>
      </c>
      <c r="F11" s="6">
        <v>585</v>
      </c>
      <c r="G11" s="6">
        <v>568</v>
      </c>
      <c r="H11" s="6">
        <v>342</v>
      </c>
      <c r="I11" s="6">
        <v>1467</v>
      </c>
      <c r="J11" s="6">
        <v>-1107</v>
      </c>
      <c r="K11" s="6">
        <v>1825</v>
      </c>
      <c r="L11" s="6">
        <v>4545</v>
      </c>
      <c r="M11" s="6">
        <v>2226</v>
      </c>
      <c r="N11" s="6">
        <v>2443</v>
      </c>
      <c r="O11" s="6">
        <v>6765</v>
      </c>
      <c r="P11" s="6">
        <v>12434</v>
      </c>
      <c r="Q11" s="6">
        <v>15097</v>
      </c>
      <c r="S11" s="6">
        <f>S9+S10</f>
        <v>14417.147500000001</v>
      </c>
      <c r="T11" s="6">
        <f t="shared" ref="T11:W11" si="12">T9+T10</f>
        <v>16579.719625000002</v>
      </c>
      <c r="U11" s="6">
        <f t="shared" si="12"/>
        <v>19066.677568749998</v>
      </c>
      <c r="V11" s="6">
        <f t="shared" si="12"/>
        <v>21926.679204062497</v>
      </c>
      <c r="W11" s="6">
        <f t="shared" si="12"/>
        <v>25215.681084671865</v>
      </c>
    </row>
    <row r="12" spans="1:23" x14ac:dyDescent="0.2">
      <c r="B12" s="6" t="s">
        <v>19</v>
      </c>
      <c r="C12" s="6">
        <v>8</v>
      </c>
      <c r="D12" s="6">
        <v>-9</v>
      </c>
      <c r="E12" s="6">
        <v>9</v>
      </c>
      <c r="F12" s="6">
        <v>22</v>
      </c>
      <c r="G12" s="6">
        <v>16</v>
      </c>
      <c r="H12" s="6">
        <v>33</v>
      </c>
      <c r="I12" s="6">
        <v>76</v>
      </c>
      <c r="J12" s="6">
        <v>642</v>
      </c>
      <c r="K12" s="6">
        <v>35</v>
      </c>
      <c r="L12" s="6">
        <v>-8084</v>
      </c>
      <c r="M12" s="6">
        <v>-510</v>
      </c>
      <c r="N12" s="6">
        <v>-518</v>
      </c>
      <c r="O12" s="6">
        <v>29</v>
      </c>
      <c r="P12" s="6">
        <v>939</v>
      </c>
      <c r="Q12" s="6">
        <v>1015</v>
      </c>
      <c r="S12" s="6">
        <f>S11*S18</f>
        <v>1009.2003250000001</v>
      </c>
      <c r="T12" s="6">
        <f t="shared" ref="T12:W12" si="13">T11*T18</f>
        <v>1160.5803737500003</v>
      </c>
      <c r="U12" s="6">
        <f t="shared" si="13"/>
        <v>1334.6674298124999</v>
      </c>
      <c r="V12" s="6">
        <f t="shared" si="13"/>
        <v>1534.8675442843748</v>
      </c>
      <c r="W12" s="6">
        <f t="shared" si="13"/>
        <v>1765.0976759270307</v>
      </c>
    </row>
    <row r="13" spans="1:23" x14ac:dyDescent="0.2">
      <c r="B13" s="6" t="s">
        <v>10</v>
      </c>
      <c r="C13" s="6">
        <v>-44</v>
      </c>
      <c r="D13" s="6">
        <v>415</v>
      </c>
      <c r="E13" s="6">
        <v>552</v>
      </c>
      <c r="F13" s="6">
        <v>563</v>
      </c>
      <c r="G13" s="6">
        <v>552</v>
      </c>
      <c r="H13" s="6">
        <v>263</v>
      </c>
      <c r="I13" s="6">
        <v>1364</v>
      </c>
      <c r="J13" s="6">
        <v>-1861</v>
      </c>
      <c r="K13" s="6">
        <v>1784</v>
      </c>
      <c r="L13" s="6">
        <v>12610</v>
      </c>
      <c r="M13" s="6">
        <v>2724</v>
      </c>
      <c r="N13" s="6">
        <v>2960</v>
      </c>
      <c r="O13" s="6">
        <v>6736</v>
      </c>
      <c r="P13" s="6">
        <v>11495</v>
      </c>
      <c r="Q13" s="6">
        <v>14082</v>
      </c>
      <c r="S13" s="6">
        <f>S11-S12</f>
        <v>13407.947175000001</v>
      </c>
      <c r="T13" s="6">
        <f t="shared" ref="T13:W13" si="14">T11-T12</f>
        <v>15419.139251250001</v>
      </c>
      <c r="U13" s="6">
        <f t="shared" si="14"/>
        <v>17732.010138937498</v>
      </c>
      <c r="V13" s="6">
        <f t="shared" si="14"/>
        <v>20391.811659778123</v>
      </c>
      <c r="W13" s="6">
        <f t="shared" si="14"/>
        <v>23450.583408744835</v>
      </c>
    </row>
    <row r="14" spans="1:23" x14ac:dyDescent="0.2">
      <c r="R14" s="4" t="s">
        <v>31</v>
      </c>
    </row>
    <row r="15" spans="1:23" x14ac:dyDescent="0.2">
      <c r="B15" s="4" t="s">
        <v>20</v>
      </c>
      <c r="D15" s="7">
        <f>(D3/C3)-1</f>
        <v>0.41037735849056611</v>
      </c>
      <c r="E15" s="7">
        <f t="shared" ref="E15:Q15" si="15">(E3/D3)-1</f>
        <v>0.11610129001433345</v>
      </c>
      <c r="F15" s="7">
        <f t="shared" si="15"/>
        <v>1.1986301369863117E-2</v>
      </c>
      <c r="G15" s="7">
        <f t="shared" si="15"/>
        <v>6.5989847715736127E-2</v>
      </c>
      <c r="H15" s="7">
        <f t="shared" si="15"/>
        <v>0.69404761904761902</v>
      </c>
      <c r="I15" s="7">
        <f t="shared" si="15"/>
        <v>0.59850081986413683</v>
      </c>
      <c r="J15" s="7">
        <f t="shared" si="15"/>
        <v>0.94021101992966005</v>
      </c>
      <c r="K15" s="7">
        <f t="shared" si="15"/>
        <v>0.33202416918429001</v>
      </c>
      <c r="L15" s="7">
        <f t="shared" si="15"/>
        <v>0.182127466545702</v>
      </c>
      <c r="M15" s="7">
        <f t="shared" si="15"/>
        <v>8.3892939370683095E-2</v>
      </c>
      <c r="N15" s="7">
        <f t="shared" si="15"/>
        <v>5.7131477629773775E-2</v>
      </c>
      <c r="O15" s="7">
        <f t="shared" si="15"/>
        <v>0.14911252511721362</v>
      </c>
      <c r="P15" s="7">
        <f t="shared" si="15"/>
        <v>0.20958105646630232</v>
      </c>
      <c r="Q15" s="7">
        <f t="shared" si="15"/>
        <v>7.8788061319760239E-2</v>
      </c>
      <c r="R15" s="10">
        <f>AVERAGE(O15:Q15)</f>
        <v>0.14582721430109205</v>
      </c>
      <c r="S15" s="7">
        <v>0.15</v>
      </c>
      <c r="T15" s="7">
        <v>0.15</v>
      </c>
      <c r="U15" s="7">
        <v>0.15</v>
      </c>
      <c r="V15" s="7">
        <v>0.15</v>
      </c>
      <c r="W15" s="7">
        <v>0.15</v>
      </c>
    </row>
    <row r="16" spans="1:23" x14ac:dyDescent="0.2">
      <c r="B16" s="4" t="s">
        <v>21</v>
      </c>
      <c r="C16" s="7">
        <f>C5/C3</f>
        <v>0.37735849056603776</v>
      </c>
      <c r="D16" s="7">
        <f>D5/D3</f>
        <v>0.46153846153846156</v>
      </c>
      <c r="E16" s="7">
        <f t="shared" ref="E16:Q16" si="16">E5/E3</f>
        <v>0.49101027397260272</v>
      </c>
      <c r="F16" s="7">
        <f t="shared" si="16"/>
        <v>0.48307952622673433</v>
      </c>
      <c r="G16" s="7">
        <f t="shared" si="16"/>
        <v>0.47539682539682537</v>
      </c>
      <c r="H16" s="7">
        <f t="shared" si="16"/>
        <v>0.43968142422112905</v>
      </c>
      <c r="I16" s="7">
        <f t="shared" si="16"/>
        <v>0.52066236811254396</v>
      </c>
      <c r="J16" s="7">
        <f t="shared" si="16"/>
        <v>0.44864048338368578</v>
      </c>
      <c r="K16" s="7">
        <f t="shared" si="16"/>
        <v>0.48247902018598321</v>
      </c>
      <c r="L16" s="7">
        <f t="shared" si="16"/>
        <v>0.51482156561780501</v>
      </c>
      <c r="M16" s="7">
        <f t="shared" si="16"/>
        <v>0.55241846262778249</v>
      </c>
      <c r="N16" s="7">
        <f t="shared" si="16"/>
        <v>0.5658070997990623</v>
      </c>
      <c r="O16" s="7">
        <f t="shared" si="16"/>
        <v>0.61362477231329693</v>
      </c>
      <c r="P16" s="7">
        <f t="shared" si="16"/>
        <v>0.66545191699545225</v>
      </c>
      <c r="Q16" s="7">
        <f t="shared" si="16"/>
        <v>0.68929897540411511</v>
      </c>
      <c r="R16" s="10">
        <f t="shared" ref="R16:R20" si="17">AVERAGE(O16:Q16)</f>
        <v>0.65612522157095476</v>
      </c>
      <c r="S16" s="7">
        <v>0.66</v>
      </c>
      <c r="T16" s="7">
        <v>0.66</v>
      </c>
      <c r="U16" s="7">
        <v>0.66</v>
      </c>
      <c r="V16" s="7">
        <v>0.66</v>
      </c>
      <c r="W16" s="7">
        <v>0.66</v>
      </c>
    </row>
    <row r="17" spans="1:23" x14ac:dyDescent="0.2">
      <c r="B17" s="4" t="s">
        <v>22</v>
      </c>
      <c r="C17" s="7">
        <f>C9/C3</f>
        <v>3.2345013477088951E-2</v>
      </c>
      <c r="D17" s="7">
        <f>D9/D3</f>
        <v>0.22264691829909222</v>
      </c>
      <c r="E17" s="7">
        <f t="shared" ref="E17:Q17" si="18">E9/E3</f>
        <v>0.25</v>
      </c>
      <c r="F17" s="7">
        <f t="shared" si="18"/>
        <v>0.24619289340101522</v>
      </c>
      <c r="G17" s="7">
        <f t="shared" si="18"/>
        <v>0.21904761904761905</v>
      </c>
      <c r="H17" s="7">
        <f t="shared" si="18"/>
        <v>0.10260014054813774</v>
      </c>
      <c r="I17" s="7">
        <f t="shared" si="18"/>
        <v>0.2391559202813599</v>
      </c>
      <c r="J17" s="7">
        <f t="shared" si="18"/>
        <v>-3.0891238670694866E-2</v>
      </c>
      <c r="K17" s="7">
        <f t="shared" si="18"/>
        <v>0.13444091630755273</v>
      </c>
      <c r="L17" s="7">
        <f t="shared" si="18"/>
        <v>0.24630660015349193</v>
      </c>
      <c r="M17" s="7">
        <f t="shared" si="18"/>
        <v>0.15240961189538435</v>
      </c>
      <c r="N17" s="7">
        <f t="shared" si="18"/>
        <v>0.16803415941058272</v>
      </c>
      <c r="O17" s="7">
        <f t="shared" si="18"/>
        <v>0.31034608378870676</v>
      </c>
      <c r="P17" s="7">
        <f t="shared" si="18"/>
        <v>0.42842514230641809</v>
      </c>
      <c r="Q17" s="7">
        <f t="shared" si="18"/>
        <v>0.45246935983695802</v>
      </c>
      <c r="R17" s="10">
        <f t="shared" si="17"/>
        <v>0.39708019531069433</v>
      </c>
      <c r="S17" s="7">
        <v>0.4</v>
      </c>
      <c r="T17" s="7">
        <v>0.4</v>
      </c>
      <c r="U17" s="7">
        <v>0.4</v>
      </c>
      <c r="V17" s="7">
        <v>0.4</v>
      </c>
      <c r="W17" s="7">
        <v>0.4</v>
      </c>
    </row>
    <row r="18" spans="1:23" x14ac:dyDescent="0.2">
      <c r="B18" s="4" t="s">
        <v>23</v>
      </c>
      <c r="C18" s="7">
        <f>C12/C11</f>
        <v>-0.22222222222222221</v>
      </c>
      <c r="D18" s="7">
        <f>D12/D11</f>
        <v>-2.2167487684729065E-2</v>
      </c>
      <c r="E18" s="7">
        <f t="shared" ref="E18:Q18" si="19">E12/E11</f>
        <v>1.6042780748663103E-2</v>
      </c>
      <c r="F18" s="7">
        <f t="shared" si="19"/>
        <v>3.7606837606837605E-2</v>
      </c>
      <c r="G18" s="7">
        <f t="shared" si="19"/>
        <v>2.8169014084507043E-2</v>
      </c>
      <c r="H18" s="7">
        <f t="shared" si="19"/>
        <v>9.6491228070175433E-2</v>
      </c>
      <c r="I18" s="7">
        <f t="shared" si="19"/>
        <v>5.1806407634628494E-2</v>
      </c>
      <c r="J18" s="7">
        <f t="shared" si="19"/>
        <v>-0.57994579945799463</v>
      </c>
      <c r="K18" s="7">
        <f t="shared" si="19"/>
        <v>1.9178082191780823E-2</v>
      </c>
      <c r="L18" s="7">
        <f t="shared" si="19"/>
        <v>-1.7786578657865786</v>
      </c>
      <c r="M18" s="7">
        <f t="shared" si="19"/>
        <v>-0.22911051212938005</v>
      </c>
      <c r="N18" s="7">
        <f t="shared" si="19"/>
        <v>-0.21203438395415472</v>
      </c>
      <c r="O18" s="7">
        <f t="shared" si="19"/>
        <v>4.286770140428677E-3</v>
      </c>
      <c r="P18" s="7">
        <f t="shared" si="19"/>
        <v>7.5518738941611707E-2</v>
      </c>
      <c r="Q18" s="7">
        <f t="shared" si="19"/>
        <v>6.7231900377558454E-2</v>
      </c>
      <c r="R18" s="10">
        <f t="shared" si="17"/>
        <v>4.9012469819866282E-2</v>
      </c>
      <c r="S18" s="7">
        <v>7.0000000000000007E-2</v>
      </c>
      <c r="T18" s="7">
        <v>7.0000000000000007E-2</v>
      </c>
      <c r="U18" s="7">
        <v>7.0000000000000007E-2</v>
      </c>
      <c r="V18" s="7">
        <v>7.0000000000000007E-2</v>
      </c>
      <c r="W18" s="7">
        <v>7.0000000000000007E-2</v>
      </c>
    </row>
    <row r="19" spans="1:23" x14ac:dyDescent="0.2">
      <c r="B19" s="4" t="s">
        <v>24</v>
      </c>
      <c r="C19" s="7">
        <f>C10/C3</f>
        <v>-5.6603773584905662E-2</v>
      </c>
      <c r="D19" s="7">
        <f>D10/D3</f>
        <v>-2.866698518872432E-2</v>
      </c>
      <c r="E19" s="7">
        <f t="shared" ref="E19:Q19" si="20">E10/E3</f>
        <v>-9.8458904109589036E-3</v>
      </c>
      <c r="F19" s="7">
        <f t="shared" si="20"/>
        <v>1.2690355329949238E-3</v>
      </c>
      <c r="G19" s="7">
        <f t="shared" si="20"/>
        <v>6.3492063492063492E-3</v>
      </c>
      <c r="H19" s="7">
        <f t="shared" si="20"/>
        <v>-2.2487702037947997E-2</v>
      </c>
      <c r="I19" s="7">
        <f t="shared" si="20"/>
        <v>-2.4179366940211021E-2</v>
      </c>
      <c r="J19" s="7">
        <f t="shared" si="20"/>
        <v>-5.2719033232628401E-2</v>
      </c>
      <c r="K19" s="7">
        <f t="shared" si="20"/>
        <v>-3.0959401224767522E-2</v>
      </c>
      <c r="L19" s="7">
        <f t="shared" si="20"/>
        <v>-2.8300076745970838E-2</v>
      </c>
      <c r="M19" s="7">
        <f t="shared" si="20"/>
        <v>-5.3900960304465194E-2</v>
      </c>
      <c r="N19" s="7">
        <f t="shared" si="20"/>
        <v>-6.5765237776289356E-2</v>
      </c>
      <c r="O19" s="7">
        <f t="shared" si="20"/>
        <v>-6.3897996357012751E-2</v>
      </c>
      <c r="P19" s="7">
        <f t="shared" si="20"/>
        <v>-5.3940908954010179E-2</v>
      </c>
      <c r="Q19" s="7">
        <f t="shared" si="20"/>
        <v>-3.0989139841983305E-2</v>
      </c>
      <c r="R19" s="10">
        <f t="shared" si="17"/>
        <v>-4.9609348384335415E-2</v>
      </c>
      <c r="S19" s="7">
        <v>-0.05</v>
      </c>
      <c r="T19" s="7">
        <v>-0.05</v>
      </c>
      <c r="U19" s="7">
        <v>-0.05</v>
      </c>
      <c r="V19" s="7">
        <v>-0.05</v>
      </c>
      <c r="W19" s="7">
        <v>-0.05</v>
      </c>
    </row>
    <row r="20" spans="1:23" x14ac:dyDescent="0.2">
      <c r="B20" s="4" t="s">
        <v>25</v>
      </c>
      <c r="C20" s="7">
        <f>C8/C3</f>
        <v>0.1650943396226415</v>
      </c>
      <c r="D20" s="7">
        <f>D8/D3</f>
        <v>0.13377926421404682</v>
      </c>
      <c r="E20" s="7">
        <f t="shared" ref="E20:Q20" si="21">E8/E3</f>
        <v>0.13570205479452055</v>
      </c>
      <c r="F20" s="7">
        <f t="shared" si="21"/>
        <v>0.14170896785109982</v>
      </c>
      <c r="G20" s="7">
        <f t="shared" si="21"/>
        <v>0.15793650793650793</v>
      </c>
      <c r="H20" s="7">
        <f t="shared" si="21"/>
        <v>0.16280159287889434</v>
      </c>
      <c r="I20" s="7">
        <f t="shared" si="21"/>
        <v>0.1537221570926143</v>
      </c>
      <c r="J20" s="7">
        <f t="shared" si="21"/>
        <v>0.20196374622356494</v>
      </c>
      <c r="K20" s="7">
        <f t="shared" si="21"/>
        <v>0.18723066454978454</v>
      </c>
      <c r="L20" s="7">
        <f t="shared" si="21"/>
        <v>0.18073676132003069</v>
      </c>
      <c r="M20" s="7">
        <f t="shared" si="21"/>
        <v>0.20781519670752754</v>
      </c>
      <c r="N20" s="7">
        <f t="shared" si="21"/>
        <v>0.20797052913596786</v>
      </c>
      <c r="O20" s="7">
        <f t="shared" si="21"/>
        <v>0.17683060109289617</v>
      </c>
      <c r="P20" s="7">
        <f t="shared" si="21"/>
        <v>0.14814926362075717</v>
      </c>
      <c r="Q20" s="7">
        <f t="shared" si="21"/>
        <v>0.14665401044138585</v>
      </c>
      <c r="R20" s="10">
        <f t="shared" si="17"/>
        <v>0.15721129171834639</v>
      </c>
      <c r="S20" s="7">
        <v>0.16</v>
      </c>
      <c r="T20" s="7">
        <v>0.16</v>
      </c>
      <c r="U20" s="7">
        <v>0.16</v>
      </c>
      <c r="V20" s="7">
        <v>0.16</v>
      </c>
      <c r="W20" s="7">
        <v>0.16</v>
      </c>
    </row>
    <row r="22" spans="1:23" s="6" customFormat="1" x14ac:dyDescent="0.2">
      <c r="A22" s="4"/>
      <c r="B22" s="4" t="s">
        <v>26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6">
        <v>539</v>
      </c>
      <c r="P22" s="6">
        <v>529</v>
      </c>
      <c r="Q22" s="6">
        <v>502</v>
      </c>
      <c r="S22" s="6">
        <f>S3*S23</f>
        <v>576.68589999999995</v>
      </c>
      <c r="T22" s="6">
        <f t="shared" ref="T22:W22" si="22">T3*T23</f>
        <v>663.18878499999994</v>
      </c>
      <c r="U22" s="6">
        <f t="shared" si="22"/>
        <v>762.66710274999991</v>
      </c>
      <c r="V22" s="6">
        <f t="shared" si="22"/>
        <v>877.0671681624998</v>
      </c>
      <c r="W22" s="6">
        <f t="shared" si="22"/>
        <v>1008.6272433868746</v>
      </c>
    </row>
    <row r="23" spans="1:23" s="8" customFormat="1" x14ac:dyDescent="0.2">
      <c r="A23" s="4"/>
      <c r="B23" s="4" t="s">
        <v>27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8">
        <f t="shared" ref="O23:P23" si="23">O22/O3</f>
        <v>1.9635701275045537E-2</v>
      </c>
      <c r="P23" s="8">
        <f t="shared" si="23"/>
        <v>1.5932295274523386E-2</v>
      </c>
      <c r="Q23" s="8">
        <f>Q22/Q3</f>
        <v>1.4014908288896955E-2</v>
      </c>
      <c r="S23" s="8">
        <v>1.4E-2</v>
      </c>
      <c r="T23" s="8">
        <v>1.4E-2</v>
      </c>
      <c r="U23" s="8">
        <v>1.4E-2</v>
      </c>
      <c r="V23" s="8">
        <v>1.4E-2</v>
      </c>
      <c r="W23" s="8">
        <v>1.4E-2</v>
      </c>
    </row>
    <row r="24" spans="1:23" s="6" customFormat="1" x14ac:dyDescent="0.2">
      <c r="A24" s="4"/>
      <c r="B24" s="4" t="s">
        <v>28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P24" s="6">
        <f>2958+1925+1205-998-1202-4412</f>
        <v>-524</v>
      </c>
      <c r="Q24" s="6">
        <f>3154+1898+1606-1210-935-3652</f>
        <v>861</v>
      </c>
      <c r="S24" s="6">
        <f>S3*S25</f>
        <v>988.60439999999994</v>
      </c>
      <c r="T24" s="6">
        <f t="shared" ref="T24:W24" si="24">T3*T25</f>
        <v>1136.8950599999998</v>
      </c>
      <c r="U24" s="6">
        <f t="shared" si="24"/>
        <v>1307.4293189999999</v>
      </c>
      <c r="V24" s="6">
        <f t="shared" si="24"/>
        <v>1503.5437168499996</v>
      </c>
      <c r="W24" s="6">
        <f t="shared" si="24"/>
        <v>1729.0752743774992</v>
      </c>
    </row>
    <row r="25" spans="1:23" s="8" customFormat="1" x14ac:dyDescent="0.2">
      <c r="A25" s="4"/>
      <c r="B25" s="4" t="s">
        <v>27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P25" s="8">
        <f>P24/P3</f>
        <v>-1.5781706472306718E-2</v>
      </c>
      <c r="Q25" s="8">
        <f>Q24/Q3</f>
        <v>2.40375219855384E-2</v>
      </c>
      <c r="S25" s="8">
        <v>2.4E-2</v>
      </c>
      <c r="T25" s="8">
        <v>2.4E-2</v>
      </c>
      <c r="U25" s="8">
        <v>2.4E-2</v>
      </c>
      <c r="V25" s="8">
        <v>2.4E-2</v>
      </c>
      <c r="W25" s="8">
        <v>2.4E-2</v>
      </c>
    </row>
    <row r="26" spans="1:23" s="6" customFormat="1" x14ac:dyDescent="0.2">
      <c r="A26" s="4"/>
      <c r="B26" s="4" t="s">
        <v>29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Q26" s="6">
        <f>P24-Q24</f>
        <v>-1385</v>
      </c>
      <c r="S26" s="6">
        <f>Q24-S24</f>
        <v>-127.60439999999994</v>
      </c>
      <c r="T26" s="6">
        <f t="shared" ref="T26:W26" si="25">S24-T24</f>
        <v>-148.29065999999989</v>
      </c>
      <c r="U26" s="6">
        <f t="shared" si="25"/>
        <v>-170.53425900000002</v>
      </c>
      <c r="V26" s="6">
        <f t="shared" si="25"/>
        <v>-196.1143978499997</v>
      </c>
      <c r="W26" s="6">
        <f t="shared" si="25"/>
        <v>-225.53155752749967</v>
      </c>
    </row>
    <row r="27" spans="1:23" s="6" customFormat="1" x14ac:dyDescent="0.2">
      <c r="A27" s="4"/>
      <c r="B27" s="4" t="s">
        <v>30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6">
        <v>443</v>
      </c>
      <c r="P27" s="6">
        <v>424</v>
      </c>
      <c r="Q27" s="6">
        <v>452</v>
      </c>
      <c r="S27" s="6">
        <f>S3*S28</f>
        <v>535.4940499999999</v>
      </c>
      <c r="T27" s="6">
        <f t="shared" ref="T27:W27" si="26">T3*T28</f>
        <v>615.81815749999987</v>
      </c>
      <c r="U27" s="6">
        <f t="shared" si="26"/>
        <v>708.19088112499981</v>
      </c>
      <c r="V27" s="6">
        <f t="shared" si="26"/>
        <v>814.41951329374967</v>
      </c>
      <c r="W27" s="6">
        <f t="shared" si="26"/>
        <v>936.58244028781201</v>
      </c>
    </row>
    <row r="28" spans="1:23" s="8" customFormat="1" x14ac:dyDescent="0.2">
      <c r="A28" s="4"/>
      <c r="B28" s="4" t="s">
        <v>27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8">
        <f t="shared" ref="O28:P28" si="27">O27/O3</f>
        <v>1.6138433515482695E-2</v>
      </c>
      <c r="P28" s="8">
        <f t="shared" si="27"/>
        <v>1.2769930427973376E-2</v>
      </c>
      <c r="Q28" s="8">
        <f>Q27/Q3</f>
        <v>1.2619001088807615E-2</v>
      </c>
      <c r="S28" s="8">
        <v>1.2999999999999999E-2</v>
      </c>
      <c r="T28" s="8">
        <v>1.2999999999999999E-2</v>
      </c>
      <c r="U28" s="8">
        <v>1.2999999999999999E-2</v>
      </c>
      <c r="V28" s="8">
        <v>1.2999999999999999E-2</v>
      </c>
      <c r="W28" s="8">
        <v>1.2999999999999999E-2</v>
      </c>
    </row>
    <row r="30" spans="1:23" x14ac:dyDescent="0.2">
      <c r="B30" s="4" t="s">
        <v>32</v>
      </c>
      <c r="O30" s="6">
        <f>O9</f>
        <v>8519</v>
      </c>
      <c r="P30" s="6">
        <f t="shared" ref="P30:W30" si="28">P9</f>
        <v>14225</v>
      </c>
      <c r="Q30" s="6">
        <f t="shared" si="28"/>
        <v>16207</v>
      </c>
      <c r="R30" s="6"/>
      <c r="S30" s="6">
        <f t="shared" si="28"/>
        <v>16476.740000000002</v>
      </c>
      <c r="T30" s="6">
        <f t="shared" si="28"/>
        <v>18948.251</v>
      </c>
      <c r="U30" s="6">
        <f t="shared" si="28"/>
        <v>21790.488649999999</v>
      </c>
      <c r="V30" s="6">
        <f t="shared" si="28"/>
        <v>25059.061947499995</v>
      </c>
      <c r="W30" s="6">
        <f t="shared" si="28"/>
        <v>28817.92123962499</v>
      </c>
    </row>
    <row r="31" spans="1:23" x14ac:dyDescent="0.2">
      <c r="B31" s="4" t="s">
        <v>33</v>
      </c>
      <c r="O31" s="6">
        <f>O30*O18</f>
        <v>36.518994826311896</v>
      </c>
      <c r="P31" s="6">
        <f t="shared" ref="P31:W31" si="29">P30*P18</f>
        <v>1074.2540614444265</v>
      </c>
      <c r="Q31" s="6">
        <f t="shared" si="29"/>
        <v>1089.6274094190899</v>
      </c>
      <c r="R31" s="6"/>
      <c r="S31" s="6">
        <f t="shared" si="29"/>
        <v>1153.3718000000001</v>
      </c>
      <c r="T31" s="6">
        <f t="shared" si="29"/>
        <v>1326.3775700000001</v>
      </c>
      <c r="U31" s="6">
        <f t="shared" si="29"/>
        <v>1525.3342055000001</v>
      </c>
      <c r="V31" s="6">
        <f t="shared" si="29"/>
        <v>1754.1343363249998</v>
      </c>
      <c r="W31" s="6">
        <f t="shared" si="29"/>
        <v>2017.2544867737495</v>
      </c>
    </row>
    <row r="32" spans="1:23" x14ac:dyDescent="0.2">
      <c r="B32" s="4" t="s">
        <v>34</v>
      </c>
      <c r="O32" s="6">
        <f>O30-O31</f>
        <v>8482.4810051736877</v>
      </c>
      <c r="P32" s="6">
        <f t="shared" ref="P32:W32" si="30">P30-P31</f>
        <v>13150.745938555574</v>
      </c>
      <c r="Q32" s="6">
        <f t="shared" si="30"/>
        <v>15117.37259058091</v>
      </c>
      <c r="R32" s="6"/>
      <c r="S32" s="6">
        <f t="shared" si="30"/>
        <v>15323.368200000001</v>
      </c>
      <c r="T32" s="6">
        <f t="shared" si="30"/>
        <v>17621.87343</v>
      </c>
      <c r="U32" s="6">
        <f t="shared" si="30"/>
        <v>20265.1544445</v>
      </c>
      <c r="V32" s="6">
        <f t="shared" si="30"/>
        <v>23304.927611174993</v>
      </c>
      <c r="W32" s="6">
        <f t="shared" si="30"/>
        <v>26800.666752851241</v>
      </c>
    </row>
    <row r="33" spans="2:23" ht="15" x14ac:dyDescent="0.25">
      <c r="B33" s="12" t="s">
        <v>35</v>
      </c>
      <c r="S33" s="13">
        <f>S32+S22+S26-S27</f>
        <v>15236.955650000002</v>
      </c>
      <c r="T33" s="13">
        <f t="shared" ref="T33:W33" si="31">T32+T22+T26-T27</f>
        <v>17520.953397500001</v>
      </c>
      <c r="U33" s="13">
        <f t="shared" si="31"/>
        <v>20149.096407125002</v>
      </c>
      <c r="V33" s="13">
        <f t="shared" si="31"/>
        <v>23171.460868193742</v>
      </c>
      <c r="W33" s="13">
        <f t="shared" si="31"/>
        <v>26647.179998422806</v>
      </c>
    </row>
    <row r="35" spans="2:23" x14ac:dyDescent="0.2">
      <c r="B35" s="4" t="s">
        <v>36</v>
      </c>
      <c r="O35" s="5">
        <f ca="1">TODAY()</f>
        <v>45560</v>
      </c>
    </row>
    <row r="36" spans="2:23" x14ac:dyDescent="0.2">
      <c r="B36" s="4" t="s">
        <v>37</v>
      </c>
      <c r="O36" s="7">
        <f ca="1">(S1-v)/365</f>
        <v>9.8630136986301367E-2</v>
      </c>
    </row>
    <row r="37" spans="2:23" x14ac:dyDescent="0.2">
      <c r="B37" s="4" t="s">
        <v>38</v>
      </c>
      <c r="O37" s="7">
        <v>0.08</v>
      </c>
    </row>
    <row r="38" spans="2:23" x14ac:dyDescent="0.2">
      <c r="B38" s="4" t="s">
        <v>39</v>
      </c>
      <c r="O38" s="7">
        <v>0.02</v>
      </c>
    </row>
    <row r="40" spans="2:23" ht="15" x14ac:dyDescent="0.25">
      <c r="B40" s="12" t="s">
        <v>40</v>
      </c>
      <c r="S40" s="14">
        <f ca="1">O36*S33/(1+d)^((S1-v)/365)</f>
        <v>1491.4587630949927</v>
      </c>
      <c r="T40" s="14">
        <f ca="1">T33/(1+d)^((T1-v)/365)</f>
        <v>16100.426825299699</v>
      </c>
      <c r="U40" s="14">
        <f ca="1">U33/(1+d)^((U1-v)/365)</f>
        <v>17143.973008420977</v>
      </c>
      <c r="V40" s="14">
        <f ca="1">V33/(1+d)^((V1-v)/365)</f>
        <v>18255.156444151959</v>
      </c>
      <c r="W40" s="14">
        <f ca="1">W33/(1+d)^((W1-v)/365)</f>
        <v>19434.262840010852</v>
      </c>
    </row>
    <row r="42" spans="2:23" x14ac:dyDescent="0.2">
      <c r="B42" s="4" t="s">
        <v>41</v>
      </c>
      <c r="O42" s="6">
        <f>W33*(1+d)</f>
        <v>28778.954398296632</v>
      </c>
    </row>
    <row r="43" spans="2:23" x14ac:dyDescent="0.2">
      <c r="B43" s="4" t="s">
        <v>42</v>
      </c>
      <c r="O43" s="6">
        <f>O42/(d-g)</f>
        <v>479649.23997161054</v>
      </c>
    </row>
    <row r="44" spans="2:23" x14ac:dyDescent="0.2">
      <c r="B44" s="4" t="s">
        <v>43</v>
      </c>
      <c r="O44" s="6">
        <f ca="1">O43/(1+d)^((W1-v)/365)</f>
        <v>349816.73112019536</v>
      </c>
    </row>
    <row r="45" spans="2:23" x14ac:dyDescent="0.2">
      <c r="B45" s="4" t="s">
        <v>44</v>
      </c>
      <c r="O45" s="6">
        <f ca="1">SUM(S40:W40)</f>
        <v>72425.27788097848</v>
      </c>
    </row>
    <row r="46" spans="2:23" x14ac:dyDescent="0.2">
      <c r="B46" s="4" t="s">
        <v>45</v>
      </c>
      <c r="O46" s="6">
        <f ca="1">O44+O45</f>
        <v>422242.00900117384</v>
      </c>
    </row>
    <row r="47" spans="2:23" x14ac:dyDescent="0.2">
      <c r="B47" s="4" t="s">
        <v>4</v>
      </c>
      <c r="O47" s="6">
        <f>Cash</f>
        <v>9952</v>
      </c>
    </row>
    <row r="48" spans="2:23" x14ac:dyDescent="0.2">
      <c r="B48" s="4" t="s">
        <v>5</v>
      </c>
      <c r="O48" s="6">
        <f>Debt</f>
        <v>69959</v>
      </c>
    </row>
    <row r="49" spans="2:15" x14ac:dyDescent="0.2">
      <c r="B49" s="4" t="s">
        <v>46</v>
      </c>
      <c r="O49" s="6">
        <f ca="1">O46-O47+O48</f>
        <v>482249.00900117384</v>
      </c>
    </row>
    <row r="50" spans="2:15" x14ac:dyDescent="0.2">
      <c r="B50" s="4" t="s">
        <v>47</v>
      </c>
      <c r="O50" s="11">
        <f ca="1">O49/Shares</f>
        <v>103.25257719843844</v>
      </c>
    </row>
    <row r="51" spans="2:15" x14ac:dyDescent="0.2">
      <c r="B51" s="4" t="s">
        <v>48</v>
      </c>
      <c r="O51" s="7">
        <f ca="1">(O50/Price)-1</f>
        <v>-0.40944533746031542</v>
      </c>
    </row>
  </sheetData>
  <hyperlinks>
    <hyperlink ref="A1" location="Main!A1" display="Main" xr:uid="{3EDACFD0-63F3-4BC5-955D-F27C1AB006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Main</vt:lpstr>
      <vt:lpstr>Model</vt:lpstr>
      <vt:lpstr>Cash</vt:lpstr>
      <vt:lpstr>d</vt:lpstr>
      <vt:lpstr>Debt</vt:lpstr>
      <vt:lpstr>g</vt:lpstr>
      <vt:lpstr>Price</vt:lpstr>
      <vt:lpstr>Shares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Hammen</dc:creator>
  <cp:lastModifiedBy>Jayden Hammen</cp:lastModifiedBy>
  <dcterms:created xsi:type="dcterms:W3CDTF">2024-09-25T17:59:49Z</dcterms:created>
  <dcterms:modified xsi:type="dcterms:W3CDTF">2024-09-25T21:19:10Z</dcterms:modified>
</cp:coreProperties>
</file>