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ayde\Dropbox\Jayden\Stocks\"/>
    </mc:Choice>
  </mc:AlternateContent>
  <xr:revisionPtr revIDLastSave="0" documentId="13_ncr:1_{E1D49EDB-5205-4DC2-96FE-2F5E1DAF2D07}" xr6:coauthVersionLast="47" xr6:coauthVersionMax="47" xr10:uidLastSave="{00000000-0000-0000-0000-000000000000}"/>
  <bookViews>
    <workbookView xWindow="-120" yWindow="-120" windowWidth="29040" windowHeight="15720" activeTab="1" xr2:uid="{2884E89D-5B18-4F6E-9EE3-84B9A75CC3AC}"/>
  </bookViews>
  <sheets>
    <sheet name="Main" sheetId="1" r:id="rId1"/>
    <sheet name="Model" sheetId="2" r:id="rId2"/>
  </sheets>
  <definedNames>
    <definedName name="Cash">Main!$G$5</definedName>
    <definedName name="d">Model!$Q$37</definedName>
    <definedName name="Debt">Main!$G$6</definedName>
    <definedName name="Price">Main!$G$2</definedName>
    <definedName name="Shares">Main!$G$3</definedName>
    <definedName name="t">Model!$Q$38</definedName>
    <definedName name="v">Model!$Q$35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8" i="2" l="1"/>
  <c r="Q47" i="2"/>
  <c r="Q43" i="2"/>
  <c r="Q42" i="2"/>
  <c r="Q35" i="2"/>
  <c r="Q36" i="2" s="1"/>
  <c r="Y33" i="2"/>
  <c r="X33" i="2"/>
  <c r="W33" i="2"/>
  <c r="V33" i="2"/>
  <c r="U33" i="2"/>
  <c r="Y30" i="2"/>
  <c r="Y31" i="2" s="1"/>
  <c r="X30" i="2"/>
  <c r="W30" i="2"/>
  <c r="V30" i="2"/>
  <c r="U30" i="2"/>
  <c r="U31" i="2" s="1"/>
  <c r="S30" i="2"/>
  <c r="R30" i="2"/>
  <c r="Q32" i="2"/>
  <c r="Q31" i="2"/>
  <c r="Q30" i="2"/>
  <c r="Y26" i="2"/>
  <c r="X26" i="2"/>
  <c r="W26" i="2"/>
  <c r="V26" i="2"/>
  <c r="U26" i="2"/>
  <c r="S26" i="2"/>
  <c r="Y27" i="2"/>
  <c r="X27" i="2"/>
  <c r="W27" i="2"/>
  <c r="V27" i="2"/>
  <c r="U27" i="2"/>
  <c r="Y24" i="2"/>
  <c r="X24" i="2"/>
  <c r="W24" i="2"/>
  <c r="V24" i="2"/>
  <c r="U24" i="2"/>
  <c r="Y22" i="2"/>
  <c r="X22" i="2"/>
  <c r="W22" i="2"/>
  <c r="V22" i="2"/>
  <c r="U22" i="2"/>
  <c r="Y10" i="2"/>
  <c r="X10" i="2"/>
  <c r="W10" i="2"/>
  <c r="V10" i="2"/>
  <c r="Y9" i="2"/>
  <c r="Y11" i="2" s="1"/>
  <c r="X9" i="2"/>
  <c r="X11" i="2" s="1"/>
  <c r="W9" i="2"/>
  <c r="W11" i="2" s="1"/>
  <c r="V9" i="2"/>
  <c r="V11" i="2" s="1"/>
  <c r="Y8" i="2"/>
  <c r="X8" i="2"/>
  <c r="W8" i="2"/>
  <c r="V8" i="2"/>
  <c r="Y6" i="2"/>
  <c r="Y7" i="2" s="1"/>
  <c r="X6" i="2"/>
  <c r="X7" i="2" s="1"/>
  <c r="W6" i="2"/>
  <c r="W7" i="2" s="1"/>
  <c r="V6" i="2"/>
  <c r="V7" i="2" s="1"/>
  <c r="Y5" i="2"/>
  <c r="X5" i="2"/>
  <c r="W5" i="2"/>
  <c r="V5" i="2"/>
  <c r="Y4" i="2"/>
  <c r="X4" i="2"/>
  <c r="W4" i="2"/>
  <c r="V4" i="2"/>
  <c r="U11" i="2"/>
  <c r="U12" i="2" s="1"/>
  <c r="U13" i="2" s="1"/>
  <c r="U10" i="2"/>
  <c r="U8" i="2"/>
  <c r="U6" i="2"/>
  <c r="U7" i="2" s="1"/>
  <c r="U9" i="2"/>
  <c r="U4" i="2"/>
  <c r="U5" i="2"/>
  <c r="U3" i="2"/>
  <c r="V3" i="2" s="1"/>
  <c r="W3" i="2" s="1"/>
  <c r="X3" i="2" s="1"/>
  <c r="Y3" i="2" s="1"/>
  <c r="R25" i="2"/>
  <c r="S25" i="2"/>
  <c r="R24" i="2"/>
  <c r="S24" i="2"/>
  <c r="R28" i="2"/>
  <c r="Q28" i="2"/>
  <c r="S28" i="2"/>
  <c r="R23" i="2"/>
  <c r="Q23" i="2"/>
  <c r="S23" i="2"/>
  <c r="T20" i="2"/>
  <c r="T19" i="2"/>
  <c r="T18" i="2"/>
  <c r="T17" i="2"/>
  <c r="T16" i="2"/>
  <c r="T15" i="2"/>
  <c r="W1" i="2"/>
  <c r="X1" i="2" s="1"/>
  <c r="Y1" i="2" s="1"/>
  <c r="V1" i="2"/>
  <c r="U1" i="2"/>
  <c r="W2" i="2"/>
  <c r="X2" i="2" s="1"/>
  <c r="Y2" i="2" s="1"/>
  <c r="V2" i="2"/>
  <c r="U2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20" i="2"/>
  <c r="D19" i="2"/>
  <c r="D18" i="2"/>
  <c r="D17" i="2"/>
  <c r="D16" i="2"/>
  <c r="C20" i="2"/>
  <c r="C19" i="2"/>
  <c r="C18" i="2"/>
  <c r="C17" i="2"/>
  <c r="C16" i="2"/>
  <c r="D15" i="2"/>
  <c r="D1" i="2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F2" i="2"/>
  <c r="G2" i="2" s="1"/>
  <c r="H2" i="2" s="1"/>
  <c r="I2" i="2" s="1"/>
  <c r="J2" i="2" s="1"/>
  <c r="K2" i="2" s="1"/>
  <c r="L2" i="2" s="1"/>
  <c r="M2" i="2" s="1"/>
  <c r="N2" i="2" s="1"/>
  <c r="O2" i="2" s="1"/>
  <c r="P2" i="2" s="1"/>
  <c r="Q2" i="2" s="1"/>
  <c r="R2" i="2" s="1"/>
  <c r="S2" i="2" s="1"/>
  <c r="E2" i="2"/>
  <c r="D2" i="2"/>
  <c r="G7" i="1"/>
  <c r="G6" i="1"/>
  <c r="G4" i="1"/>
  <c r="Q44" i="2" l="1"/>
  <c r="X40" i="2"/>
  <c r="Y40" i="2"/>
  <c r="U40" i="2"/>
  <c r="V40" i="2"/>
  <c r="W40" i="2"/>
  <c r="S32" i="2"/>
  <c r="S31" i="2"/>
  <c r="Y32" i="2"/>
  <c r="V31" i="2"/>
  <c r="V32" i="2" s="1"/>
  <c r="R31" i="2"/>
  <c r="R32" i="2" s="1"/>
  <c r="U32" i="2"/>
  <c r="W31" i="2"/>
  <c r="W32" i="2" s="1"/>
  <c r="X31" i="2"/>
  <c r="X32" i="2" s="1"/>
  <c r="V12" i="2"/>
  <c r="V13" i="2" s="1"/>
  <c r="W12" i="2"/>
  <c r="W13" i="2" s="1"/>
  <c r="X12" i="2"/>
  <c r="X13" i="2" s="1"/>
  <c r="Y12" i="2"/>
  <c r="Y13" i="2" s="1"/>
  <c r="Q45" i="2" l="1"/>
  <c r="Q46" i="2" s="1"/>
  <c r="Q49" i="2" s="1"/>
  <c r="Q50" i="2" s="1"/>
  <c r="Q51" i="2" s="1"/>
</calcChain>
</file>

<file path=xl/sharedStrings.xml><?xml version="1.0" encoding="utf-8"?>
<sst xmlns="http://schemas.openxmlformats.org/spreadsheetml/2006/main" count="52" uniqueCount="48">
  <si>
    <t>Caterpillar Inc.</t>
  </si>
  <si>
    <t>Price</t>
  </si>
  <si>
    <t>Shares</t>
  </si>
  <si>
    <t>MC</t>
  </si>
  <si>
    <t>Cash</t>
  </si>
  <si>
    <t>Debt</t>
  </si>
  <si>
    <t>EV</t>
  </si>
  <si>
    <t>Main</t>
  </si>
  <si>
    <t>Other Income</t>
  </si>
  <si>
    <t>Net Income</t>
  </si>
  <si>
    <t>Revenue</t>
  </si>
  <si>
    <t>COGS</t>
  </si>
  <si>
    <t>Gross Profit</t>
  </si>
  <si>
    <t>OpEx</t>
  </si>
  <si>
    <t>SG&amp;A</t>
  </si>
  <si>
    <t>R&amp;D</t>
  </si>
  <si>
    <t>EBIT</t>
  </si>
  <si>
    <t>EBT</t>
  </si>
  <si>
    <t>Taxes</t>
  </si>
  <si>
    <t>Revenue Growth y/y</t>
  </si>
  <si>
    <t>Gross Margin</t>
  </si>
  <si>
    <t>Operating Margin</t>
  </si>
  <si>
    <t>Tax Rate</t>
  </si>
  <si>
    <t>Other Income % of Revenue</t>
  </si>
  <si>
    <t>R&amp;D % of Revenue</t>
  </si>
  <si>
    <t>AVG</t>
  </si>
  <si>
    <t>D&amp;A</t>
  </si>
  <si>
    <t>% of Revenue</t>
  </si>
  <si>
    <t>Working Capital</t>
  </si>
  <si>
    <t>CIWC</t>
  </si>
  <si>
    <t>CapEx</t>
  </si>
  <si>
    <t>Operating Income</t>
  </si>
  <si>
    <t>Operating Taxes</t>
  </si>
  <si>
    <t>NOPAT</t>
  </si>
  <si>
    <t>UFCF</t>
  </si>
  <si>
    <t>Valuation Date</t>
  </si>
  <si>
    <t>Stub %</t>
  </si>
  <si>
    <t>Discount Rate</t>
  </si>
  <si>
    <t>TGR</t>
  </si>
  <si>
    <t>PV of UFCF</t>
  </si>
  <si>
    <t>Final Year FCF</t>
  </si>
  <si>
    <t>Terminal Value</t>
  </si>
  <si>
    <t>PV of Terminal Value</t>
  </si>
  <si>
    <t>Sum of Stage 1 CF</t>
  </si>
  <si>
    <t>Enterprise Value</t>
  </si>
  <si>
    <t>Equity Value</t>
  </si>
  <si>
    <t>Share Price</t>
  </si>
  <si>
    <t>Implied Upside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</si>
</sst>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6" formatCode="0.0%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u/>
      <sz val="11"/>
      <color theme="10"/>
      <name val="Arial Nova"/>
      <family val="2"/>
    </font>
    <font>
      <sz val="11"/>
      <color theme="1"/>
      <name val="Arial Nova"/>
      <family val="2"/>
    </font>
    <font>
      <sz val="11"/>
      <color theme="3" tint="0.249977111117893"/>
      <name val="Arial Nova"/>
      <family val="2"/>
    </font>
    <font>
      <b/>
      <sz val="11"/>
      <color theme="1"/>
      <name val="Arial Nov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164" fontId="0" fillId="0" borderId="0" xfId="1" applyNumberFormat="1" applyFont="1"/>
    <xf numFmtId="0" fontId="3" fillId="0" borderId="0" xfId="3" applyFont="1"/>
    <xf numFmtId="0" fontId="4" fillId="0" borderId="0" xfId="0" applyFont="1"/>
    <xf numFmtId="164" fontId="4" fillId="0" borderId="0" xfId="1" applyNumberFormat="1" applyFont="1"/>
    <xf numFmtId="14" fontId="4" fillId="0" borderId="0" xfId="0" applyNumberFormat="1" applyFont="1"/>
    <xf numFmtId="9" fontId="4" fillId="0" borderId="0" xfId="2" applyFont="1"/>
    <xf numFmtId="9" fontId="5" fillId="0" borderId="0" xfId="0" applyNumberFormat="1" applyFont="1"/>
    <xf numFmtId="166" fontId="4" fillId="0" borderId="0" xfId="2" applyNumberFormat="1" applyFont="1"/>
    <xf numFmtId="164" fontId="4" fillId="0" borderId="0" xfId="0" applyNumberFormat="1" applyFont="1"/>
    <xf numFmtId="164" fontId="6" fillId="0" borderId="0" xfId="0" applyNumberFormat="1" applyFont="1"/>
    <xf numFmtId="0" fontId="6" fillId="0" borderId="0" xfId="0" applyFont="1"/>
    <xf numFmtId="164" fontId="6" fillId="0" borderId="0" xfId="1" applyNumberFormat="1" applyFont="1"/>
    <xf numFmtId="43" fontId="6" fillId="0" borderId="0" xfId="1" applyFont="1"/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AE8AB6-5386-4B95-B498-F3623D051574}">
  <dimension ref="A1:G7"/>
  <sheetViews>
    <sheetView zoomScale="130" zoomScaleNormal="130" workbookViewId="0">
      <selection activeCell="G7" sqref="G7"/>
    </sheetView>
  </sheetViews>
  <sheetFormatPr defaultRowHeight="15" x14ac:dyDescent="0.25"/>
  <cols>
    <col min="7" max="7" width="12.28515625" bestFit="1" customWidth="1"/>
  </cols>
  <sheetData>
    <row r="1" spans="1:7" x14ac:dyDescent="0.25">
      <c r="A1" t="s">
        <v>0</v>
      </c>
    </row>
    <row r="2" spans="1:7" x14ac:dyDescent="0.25">
      <c r="F2" t="s">
        <v>1</v>
      </c>
      <c r="G2">
        <v>353.69</v>
      </c>
    </row>
    <row r="3" spans="1:7" x14ac:dyDescent="0.25">
      <c r="F3" t="s">
        <v>2</v>
      </c>
      <c r="G3" s="1">
        <v>484.89800000000002</v>
      </c>
    </row>
    <row r="4" spans="1:7" x14ac:dyDescent="0.25">
      <c r="F4" t="s">
        <v>3</v>
      </c>
      <c r="G4" s="1">
        <f>G2*G3</f>
        <v>171503.57362000001</v>
      </c>
    </row>
    <row r="5" spans="1:7" x14ac:dyDescent="0.25">
      <c r="F5" t="s">
        <v>4</v>
      </c>
      <c r="G5" s="1">
        <v>4341</v>
      </c>
    </row>
    <row r="6" spans="1:7" x14ac:dyDescent="0.25">
      <c r="F6" t="s">
        <v>5</v>
      </c>
      <c r="G6" s="1">
        <f>5298+8537+15299</f>
        <v>29134</v>
      </c>
    </row>
    <row r="7" spans="1:7" x14ac:dyDescent="0.25">
      <c r="F7" t="s">
        <v>6</v>
      </c>
      <c r="G7" s="1">
        <f>G4-G5+G6</f>
        <v>196296.57362000001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AED5B-EB69-42DB-9A65-BD74D85FB76E}">
  <dimension ref="A1:Y51"/>
  <sheetViews>
    <sheetView tabSelected="1" topLeftCell="A24" zoomScale="130" zoomScaleNormal="130" workbookViewId="0">
      <selection activeCell="V50" sqref="V50"/>
    </sheetView>
  </sheetViews>
  <sheetFormatPr defaultRowHeight="14.25" x14ac:dyDescent="0.2"/>
  <cols>
    <col min="1" max="1" width="9.140625" style="3"/>
    <col min="2" max="2" width="27.85546875" style="3" bestFit="1" customWidth="1"/>
    <col min="3" max="16" width="11.85546875" style="3" hidden="1" customWidth="1"/>
    <col min="17" max="19" width="11.85546875" style="3" bestFit="1" customWidth="1"/>
    <col min="20" max="20" width="9.140625" style="3"/>
    <col min="21" max="25" width="11.85546875" style="3" bestFit="1" customWidth="1"/>
    <col min="26" max="16384" width="9.140625" style="3"/>
  </cols>
  <sheetData>
    <row r="1" spans="1:25" x14ac:dyDescent="0.2">
      <c r="A1" s="2" t="s">
        <v>7</v>
      </c>
      <c r="C1" s="5">
        <v>39447</v>
      </c>
      <c r="D1" s="5">
        <f>EOMONTH(C1,12)</f>
        <v>39813</v>
      </c>
      <c r="E1" s="5">
        <f t="shared" ref="E1:S1" si="0">EOMONTH(D1,12)</f>
        <v>40178</v>
      </c>
      <c r="F1" s="5">
        <f t="shared" si="0"/>
        <v>40543</v>
      </c>
      <c r="G1" s="5">
        <f t="shared" si="0"/>
        <v>40908</v>
      </c>
      <c r="H1" s="5">
        <f t="shared" si="0"/>
        <v>41274</v>
      </c>
      <c r="I1" s="5">
        <f t="shared" si="0"/>
        <v>41639</v>
      </c>
      <c r="J1" s="5">
        <f t="shared" si="0"/>
        <v>42004</v>
      </c>
      <c r="K1" s="5">
        <f t="shared" si="0"/>
        <v>42369</v>
      </c>
      <c r="L1" s="5">
        <f t="shared" si="0"/>
        <v>42735</v>
      </c>
      <c r="M1" s="5">
        <f t="shared" si="0"/>
        <v>43100</v>
      </c>
      <c r="N1" s="5">
        <f t="shared" si="0"/>
        <v>43465</v>
      </c>
      <c r="O1" s="5">
        <f t="shared" si="0"/>
        <v>43830</v>
      </c>
      <c r="P1" s="5">
        <f t="shared" si="0"/>
        <v>44196</v>
      </c>
      <c r="Q1" s="5">
        <f t="shared" si="0"/>
        <v>44561</v>
      </c>
      <c r="R1" s="5">
        <f t="shared" si="0"/>
        <v>44926</v>
      </c>
      <c r="S1" s="5">
        <f t="shared" si="0"/>
        <v>45291</v>
      </c>
      <c r="U1" s="5">
        <f>EOMONTH(S1,12)</f>
        <v>45657</v>
      </c>
      <c r="V1" s="5">
        <f>EOMONTH(U1,12)</f>
        <v>46022</v>
      </c>
      <c r="W1" s="5">
        <f t="shared" ref="W1:Y1" si="1">EOMONTH(V1,12)</f>
        <v>46387</v>
      </c>
      <c r="X1" s="5">
        <f t="shared" si="1"/>
        <v>46752</v>
      </c>
      <c r="Y1" s="5">
        <f t="shared" si="1"/>
        <v>47118</v>
      </c>
    </row>
    <row r="2" spans="1:25" x14ac:dyDescent="0.2">
      <c r="C2" s="3">
        <v>2007</v>
      </c>
      <c r="D2" s="3">
        <f>C2+1</f>
        <v>2008</v>
      </c>
      <c r="E2" s="3">
        <f t="shared" ref="E2:S2" si="2">D2+1</f>
        <v>2009</v>
      </c>
      <c r="F2" s="3">
        <f t="shared" si="2"/>
        <v>2010</v>
      </c>
      <c r="G2" s="3">
        <f t="shared" si="2"/>
        <v>2011</v>
      </c>
      <c r="H2" s="3">
        <f t="shared" si="2"/>
        <v>2012</v>
      </c>
      <c r="I2" s="3">
        <f t="shared" si="2"/>
        <v>2013</v>
      </c>
      <c r="J2" s="3">
        <f t="shared" si="2"/>
        <v>2014</v>
      </c>
      <c r="K2" s="3">
        <f t="shared" si="2"/>
        <v>2015</v>
      </c>
      <c r="L2" s="3">
        <f t="shared" si="2"/>
        <v>2016</v>
      </c>
      <c r="M2" s="3">
        <f t="shared" si="2"/>
        <v>2017</v>
      </c>
      <c r="N2" s="3">
        <f t="shared" si="2"/>
        <v>2018</v>
      </c>
      <c r="O2" s="3">
        <f t="shared" si="2"/>
        <v>2019</v>
      </c>
      <c r="P2" s="3">
        <f t="shared" si="2"/>
        <v>2020</v>
      </c>
      <c r="Q2" s="3">
        <f t="shared" si="2"/>
        <v>2021</v>
      </c>
      <c r="R2" s="3">
        <f t="shared" si="2"/>
        <v>2022</v>
      </c>
      <c r="S2" s="3">
        <f t="shared" si="2"/>
        <v>2023</v>
      </c>
      <c r="U2" s="3">
        <f>S2+1</f>
        <v>2024</v>
      </c>
      <c r="V2" s="3">
        <f>U2+1</f>
        <v>2025</v>
      </c>
      <c r="W2" s="3">
        <f t="shared" ref="W2:Y2" si="3">V2+1</f>
        <v>2026</v>
      </c>
      <c r="X2" s="3">
        <f t="shared" si="3"/>
        <v>2027</v>
      </c>
      <c r="Y2" s="3">
        <f t="shared" si="3"/>
        <v>2028</v>
      </c>
    </row>
    <row r="3" spans="1:25" x14ac:dyDescent="0.2">
      <c r="B3" s="4" t="s">
        <v>10</v>
      </c>
      <c r="C3" s="4">
        <v>44958</v>
      </c>
      <c r="D3" s="4">
        <v>51324</v>
      </c>
      <c r="E3" s="4">
        <v>32396</v>
      </c>
      <c r="F3" s="4">
        <v>42588</v>
      </c>
      <c r="G3" s="4">
        <v>60138</v>
      </c>
      <c r="H3" s="4">
        <v>65875</v>
      </c>
      <c r="I3" s="4">
        <v>55656</v>
      </c>
      <c r="J3" s="4">
        <v>55184</v>
      </c>
      <c r="K3" s="4">
        <v>47011</v>
      </c>
      <c r="L3" s="4">
        <v>38537</v>
      </c>
      <c r="M3" s="4">
        <v>45462</v>
      </c>
      <c r="N3" s="4">
        <v>54722</v>
      </c>
      <c r="O3" s="4">
        <v>53800</v>
      </c>
      <c r="P3" s="4">
        <v>41748</v>
      </c>
      <c r="Q3" s="4">
        <v>50971</v>
      </c>
      <c r="R3" s="4">
        <v>59427</v>
      </c>
      <c r="S3" s="4">
        <v>67060</v>
      </c>
      <c r="U3" s="4">
        <f>S3*(1+U15)</f>
        <v>75777.799999999988</v>
      </c>
      <c r="V3" s="4">
        <f>U3*(1+V15)</f>
        <v>84871.135999999999</v>
      </c>
      <c r="W3" s="4">
        <f t="shared" ref="W3:Y3" si="4">V3*(1+W15)</f>
        <v>94206.960960000011</v>
      </c>
      <c r="X3" s="4">
        <f t="shared" si="4"/>
        <v>103627.65705600003</v>
      </c>
      <c r="Y3" s="4">
        <f t="shared" si="4"/>
        <v>112954.14619104004</v>
      </c>
    </row>
    <row r="4" spans="1:25" x14ac:dyDescent="0.2">
      <c r="B4" s="4" t="s">
        <v>11</v>
      </c>
      <c r="C4" s="4">
        <v>33758</v>
      </c>
      <c r="D4" s="4">
        <v>39568</v>
      </c>
      <c r="E4" s="4">
        <v>24931</v>
      </c>
      <c r="F4" s="4">
        <v>31281</v>
      </c>
      <c r="G4" s="4">
        <v>44404</v>
      </c>
      <c r="H4" s="4">
        <v>47852</v>
      </c>
      <c r="I4" s="4">
        <v>41454</v>
      </c>
      <c r="J4" s="4">
        <v>41342</v>
      </c>
      <c r="K4" s="4">
        <v>34133</v>
      </c>
      <c r="L4" s="4">
        <v>28044</v>
      </c>
      <c r="M4" s="4">
        <v>31906</v>
      </c>
      <c r="N4" s="4">
        <v>36997</v>
      </c>
      <c r="O4" s="4">
        <v>36630</v>
      </c>
      <c r="P4" s="4">
        <v>29082</v>
      </c>
      <c r="Q4" s="4">
        <v>35513</v>
      </c>
      <c r="R4" s="4">
        <v>41350</v>
      </c>
      <c r="S4" s="4">
        <v>42767</v>
      </c>
      <c r="U4" s="4">
        <f>U3-U5</f>
        <v>51528.903999999995</v>
      </c>
      <c r="V4" s="4">
        <f t="shared" ref="V4:Y4" si="5">V3-V5</f>
        <v>57712.372479999998</v>
      </c>
      <c r="W4" s="4">
        <f t="shared" si="5"/>
        <v>64060.733452800006</v>
      </c>
      <c r="X4" s="4">
        <f t="shared" si="5"/>
        <v>70466.806798080012</v>
      </c>
      <c r="Y4" s="4">
        <f t="shared" si="5"/>
        <v>76808.819409907228</v>
      </c>
    </row>
    <row r="5" spans="1:25" x14ac:dyDescent="0.2">
      <c r="B5" s="4" t="s">
        <v>12</v>
      </c>
      <c r="C5" s="4">
        <v>11200</v>
      </c>
      <c r="D5" s="4">
        <v>11756</v>
      </c>
      <c r="E5" s="4">
        <v>7465</v>
      </c>
      <c r="F5" s="4">
        <v>11307</v>
      </c>
      <c r="G5" s="4">
        <v>15734</v>
      </c>
      <c r="H5" s="4">
        <v>18023</v>
      </c>
      <c r="I5" s="4">
        <v>14202</v>
      </c>
      <c r="J5" s="4">
        <v>13842</v>
      </c>
      <c r="K5" s="4">
        <v>12878</v>
      </c>
      <c r="L5" s="4">
        <v>10493</v>
      </c>
      <c r="M5" s="4">
        <v>13556</v>
      </c>
      <c r="N5" s="4">
        <v>17725</v>
      </c>
      <c r="O5" s="4">
        <v>17170</v>
      </c>
      <c r="P5" s="4">
        <v>12666</v>
      </c>
      <c r="Q5" s="4">
        <v>15458</v>
      </c>
      <c r="R5" s="4">
        <v>18077</v>
      </c>
      <c r="S5" s="4">
        <v>24293</v>
      </c>
      <c r="U5" s="4">
        <f>U3*U16</f>
        <v>24248.895999999997</v>
      </c>
      <c r="V5" s="4">
        <f t="shared" ref="V5:Y5" si="6">V3*V16</f>
        <v>27158.76352</v>
      </c>
      <c r="W5" s="4">
        <f t="shared" si="6"/>
        <v>30146.227507200005</v>
      </c>
      <c r="X5" s="4">
        <f t="shared" si="6"/>
        <v>33160.850257920007</v>
      </c>
      <c r="Y5" s="4">
        <f t="shared" si="6"/>
        <v>36145.326781132811</v>
      </c>
    </row>
    <row r="6" spans="1:25" x14ac:dyDescent="0.2">
      <c r="B6" s="4" t="s">
        <v>13</v>
      </c>
      <c r="C6" s="4">
        <v>6279</v>
      </c>
      <c r="D6" s="4">
        <v>7308</v>
      </c>
      <c r="E6" s="4">
        <v>6888</v>
      </c>
      <c r="F6" s="4">
        <v>7344</v>
      </c>
      <c r="G6" s="4">
        <v>8581</v>
      </c>
      <c r="H6" s="4">
        <v>9450</v>
      </c>
      <c r="I6" s="4">
        <v>8574</v>
      </c>
      <c r="J6" s="4">
        <v>10528</v>
      </c>
      <c r="K6" s="4">
        <v>9093</v>
      </c>
      <c r="L6" s="4">
        <v>9331</v>
      </c>
      <c r="M6" s="4">
        <v>9096</v>
      </c>
      <c r="N6" s="4">
        <v>5946</v>
      </c>
      <c r="O6" s="4">
        <v>8880</v>
      </c>
      <c r="P6" s="4">
        <v>8113</v>
      </c>
      <c r="Q6" s="4">
        <v>8580</v>
      </c>
      <c r="R6" s="4">
        <v>10173</v>
      </c>
      <c r="S6" s="4">
        <v>11327</v>
      </c>
      <c r="U6" s="4">
        <f>U5-U9</f>
        <v>12882.225999999999</v>
      </c>
      <c r="V6" s="4">
        <f t="shared" ref="V6:Y6" si="7">V5-V9</f>
        <v>14428.093120000001</v>
      </c>
      <c r="W6" s="4">
        <f t="shared" si="7"/>
        <v>16015.183363200003</v>
      </c>
      <c r="X6" s="4">
        <f t="shared" si="7"/>
        <v>17616.701699520003</v>
      </c>
      <c r="Y6" s="4">
        <f t="shared" si="7"/>
        <v>19202.204852476807</v>
      </c>
    </row>
    <row r="7" spans="1:25" x14ac:dyDescent="0.2">
      <c r="B7" s="4" t="s">
        <v>14</v>
      </c>
      <c r="C7" s="4">
        <v>4875</v>
      </c>
      <c r="D7" s="4">
        <v>5580</v>
      </c>
      <c r="E7" s="4">
        <v>5467</v>
      </c>
      <c r="F7" s="4">
        <v>4248</v>
      </c>
      <c r="G7" s="4">
        <v>5203</v>
      </c>
      <c r="H7" s="4">
        <v>5919</v>
      </c>
      <c r="I7" s="4">
        <v>5547</v>
      </c>
      <c r="J7" s="4">
        <v>6529</v>
      </c>
      <c r="K7" s="4">
        <v>4951</v>
      </c>
      <c r="L7" s="4">
        <v>4383</v>
      </c>
      <c r="M7" s="4">
        <v>4999</v>
      </c>
      <c r="N7" s="4">
        <v>5478</v>
      </c>
      <c r="O7" s="4">
        <v>5162</v>
      </c>
      <c r="P7" s="4">
        <v>4642</v>
      </c>
      <c r="Q7" s="4">
        <v>5365</v>
      </c>
      <c r="R7" s="4">
        <v>5651</v>
      </c>
      <c r="S7" s="4">
        <v>6371</v>
      </c>
      <c r="U7" s="4">
        <f>U6-U8</f>
        <v>10608.892</v>
      </c>
      <c r="V7" s="4">
        <f t="shared" ref="V7:Y7" si="8">V6-V8</f>
        <v>11881.959040000002</v>
      </c>
      <c r="W7" s="4">
        <f t="shared" si="8"/>
        <v>13188.974534400004</v>
      </c>
      <c r="X7" s="4">
        <f t="shared" si="8"/>
        <v>14507.871987840002</v>
      </c>
      <c r="Y7" s="4">
        <f t="shared" si="8"/>
        <v>15813.580466745607</v>
      </c>
    </row>
    <row r="8" spans="1:25" x14ac:dyDescent="0.2">
      <c r="B8" s="4" t="s">
        <v>15</v>
      </c>
      <c r="C8" s="4">
        <v>1404</v>
      </c>
      <c r="D8" s="4">
        <v>1728</v>
      </c>
      <c r="E8" s="4">
        <v>1421</v>
      </c>
      <c r="F8" s="4">
        <v>1905</v>
      </c>
      <c r="G8" s="4">
        <v>2297</v>
      </c>
      <c r="H8" s="4">
        <v>2466</v>
      </c>
      <c r="I8" s="4">
        <v>2046</v>
      </c>
      <c r="J8" s="4">
        <v>2380</v>
      </c>
      <c r="K8" s="4">
        <v>2119</v>
      </c>
      <c r="L8" s="4">
        <v>1853</v>
      </c>
      <c r="M8" s="4">
        <v>1842</v>
      </c>
      <c r="N8" s="4">
        <v>1850</v>
      </c>
      <c r="O8" s="4">
        <v>1693</v>
      </c>
      <c r="P8" s="4">
        <v>1415</v>
      </c>
      <c r="Q8" s="4">
        <v>1686</v>
      </c>
      <c r="R8" s="4">
        <v>1814</v>
      </c>
      <c r="S8" s="4">
        <v>2108</v>
      </c>
      <c r="U8" s="4">
        <f>U3*U20</f>
        <v>2273.3339999999994</v>
      </c>
      <c r="V8" s="4">
        <f t="shared" ref="V8:Y8" si="9">V3*V20</f>
        <v>2546.1340799999998</v>
      </c>
      <c r="W8" s="4">
        <f t="shared" si="9"/>
        <v>2826.2088288000004</v>
      </c>
      <c r="X8" s="4">
        <f t="shared" si="9"/>
        <v>3108.8297116800009</v>
      </c>
      <c r="Y8" s="4">
        <f t="shared" si="9"/>
        <v>3388.6243857312011</v>
      </c>
    </row>
    <row r="9" spans="1:25" x14ac:dyDescent="0.2">
      <c r="B9" s="4" t="s">
        <v>16</v>
      </c>
      <c r="C9" s="4">
        <v>4921</v>
      </c>
      <c r="D9" s="4">
        <v>4448</v>
      </c>
      <c r="E9" s="4">
        <v>577</v>
      </c>
      <c r="F9" s="4">
        <v>3963</v>
      </c>
      <c r="G9" s="4">
        <v>7153</v>
      </c>
      <c r="H9" s="4">
        <v>8573</v>
      </c>
      <c r="I9" s="4">
        <v>5628</v>
      </c>
      <c r="J9" s="4">
        <v>3314</v>
      </c>
      <c r="K9" s="4">
        <v>3785</v>
      </c>
      <c r="L9" s="4">
        <v>1162</v>
      </c>
      <c r="M9" s="4">
        <v>4460</v>
      </c>
      <c r="N9" s="4">
        <v>8293</v>
      </c>
      <c r="O9" s="4">
        <v>8290</v>
      </c>
      <c r="P9" s="4">
        <v>4553</v>
      </c>
      <c r="Q9" s="4">
        <v>6878</v>
      </c>
      <c r="R9" s="4">
        <v>7904</v>
      </c>
      <c r="S9" s="4">
        <v>12966</v>
      </c>
      <c r="U9" s="4">
        <f>U3*U17</f>
        <v>11366.669999999998</v>
      </c>
      <c r="V9" s="4">
        <f t="shared" ref="V9:Y9" si="10">V3*V17</f>
        <v>12730.670399999999</v>
      </c>
      <c r="W9" s="4">
        <f t="shared" si="10"/>
        <v>14131.044144000001</v>
      </c>
      <c r="X9" s="4">
        <f t="shared" si="10"/>
        <v>15544.148558400004</v>
      </c>
      <c r="Y9" s="4">
        <f t="shared" si="10"/>
        <v>16943.121928656004</v>
      </c>
    </row>
    <row r="10" spans="1:25" x14ac:dyDescent="0.2">
      <c r="B10" s="4" t="s">
        <v>8</v>
      </c>
      <c r="C10" s="4">
        <v>69</v>
      </c>
      <c r="D10" s="4">
        <v>53</v>
      </c>
      <c r="E10" s="4">
        <v>-8</v>
      </c>
      <c r="F10" s="4">
        <v>-213</v>
      </c>
      <c r="G10" s="4">
        <v>-428</v>
      </c>
      <c r="H10" s="4">
        <v>-337</v>
      </c>
      <c r="I10" s="4">
        <v>-500</v>
      </c>
      <c r="J10" s="4">
        <v>-162</v>
      </c>
      <c r="K10" s="4">
        <v>-346</v>
      </c>
      <c r="L10" s="4">
        <v>-1023</v>
      </c>
      <c r="M10" s="4">
        <v>-378</v>
      </c>
      <c r="N10" s="4">
        <v>-1193</v>
      </c>
      <c r="O10" s="4">
        <v>-478</v>
      </c>
      <c r="P10" s="4">
        <v>-558</v>
      </c>
      <c r="Q10" s="4">
        <v>1326</v>
      </c>
      <c r="R10" s="4">
        <v>848</v>
      </c>
      <c r="S10" s="4">
        <v>84</v>
      </c>
      <c r="U10" s="4">
        <f>U3*U19</f>
        <v>757.77799999999991</v>
      </c>
      <c r="V10" s="4">
        <f t="shared" ref="V10:Y10" si="11">V3*V19</f>
        <v>848.71136000000001</v>
      </c>
      <c r="W10" s="4">
        <f t="shared" si="11"/>
        <v>942.06960960000015</v>
      </c>
      <c r="X10" s="4">
        <f t="shared" si="11"/>
        <v>1036.2765705600002</v>
      </c>
      <c r="Y10" s="4">
        <f t="shared" si="11"/>
        <v>1129.5414619104004</v>
      </c>
    </row>
    <row r="11" spans="1:25" x14ac:dyDescent="0.2">
      <c r="B11" s="4" t="s">
        <v>17</v>
      </c>
      <c r="C11" s="4">
        <v>4990</v>
      </c>
      <c r="D11" s="4">
        <v>4501</v>
      </c>
      <c r="E11" s="4">
        <v>569</v>
      </c>
      <c r="F11" s="4">
        <v>3750</v>
      </c>
      <c r="G11" s="4">
        <v>6725</v>
      </c>
      <c r="H11" s="4">
        <v>8236</v>
      </c>
      <c r="I11" s="4">
        <v>5128</v>
      </c>
      <c r="J11" s="4">
        <v>3152</v>
      </c>
      <c r="K11" s="4">
        <v>3439</v>
      </c>
      <c r="L11" s="4">
        <v>139</v>
      </c>
      <c r="M11" s="4">
        <v>4082</v>
      </c>
      <c r="N11" s="4">
        <v>7822</v>
      </c>
      <c r="O11" s="4">
        <v>7812</v>
      </c>
      <c r="P11" s="4">
        <v>3995</v>
      </c>
      <c r="Q11" s="4">
        <v>8204</v>
      </c>
      <c r="R11" s="4">
        <v>8752</v>
      </c>
      <c r="S11" s="4">
        <v>13050</v>
      </c>
      <c r="U11" s="4">
        <f>U9+U10</f>
        <v>12124.447999999999</v>
      </c>
      <c r="V11" s="4">
        <f t="shared" ref="V11:Y11" si="12">V9+V10</f>
        <v>13579.381759999998</v>
      </c>
      <c r="W11" s="4">
        <f t="shared" si="12"/>
        <v>15073.113753600002</v>
      </c>
      <c r="X11" s="4">
        <f t="shared" si="12"/>
        <v>16580.425128960003</v>
      </c>
      <c r="Y11" s="4">
        <f t="shared" si="12"/>
        <v>18072.663390566406</v>
      </c>
    </row>
    <row r="12" spans="1:25" x14ac:dyDescent="0.2">
      <c r="B12" s="4" t="s">
        <v>18</v>
      </c>
      <c r="C12" s="4">
        <v>1485</v>
      </c>
      <c r="D12" s="4">
        <v>953</v>
      </c>
      <c r="E12" s="4">
        <v>-270</v>
      </c>
      <c r="F12" s="4">
        <v>968</v>
      </c>
      <c r="G12" s="4">
        <v>1720</v>
      </c>
      <c r="H12" s="4">
        <v>2528</v>
      </c>
      <c r="I12" s="4">
        <v>1319</v>
      </c>
      <c r="J12" s="4">
        <v>692</v>
      </c>
      <c r="K12" s="4">
        <v>916</v>
      </c>
      <c r="L12" s="4">
        <v>192</v>
      </c>
      <c r="M12" s="4">
        <v>3339</v>
      </c>
      <c r="N12" s="4">
        <v>1698</v>
      </c>
      <c r="O12" s="4">
        <v>1746</v>
      </c>
      <c r="P12" s="4">
        <v>1006</v>
      </c>
      <c r="Q12" s="4">
        <v>1742</v>
      </c>
      <c r="R12" s="4">
        <v>2067</v>
      </c>
      <c r="S12" s="4">
        <v>2781</v>
      </c>
      <c r="U12" s="4">
        <f>U11*U18</f>
        <v>2546.1340799999998</v>
      </c>
      <c r="V12" s="4">
        <f t="shared" ref="V12:Y12" si="13">V11*V18</f>
        <v>2851.6701695999996</v>
      </c>
      <c r="W12" s="4">
        <f t="shared" si="13"/>
        <v>3165.3538882560006</v>
      </c>
      <c r="X12" s="4">
        <f t="shared" si="13"/>
        <v>3481.8892770816005</v>
      </c>
      <c r="Y12" s="4">
        <f t="shared" si="13"/>
        <v>3795.2593120189449</v>
      </c>
    </row>
    <row r="13" spans="1:25" x14ac:dyDescent="0.2">
      <c r="B13" s="4" t="s">
        <v>9</v>
      </c>
      <c r="C13" s="4">
        <v>3578</v>
      </c>
      <c r="D13" s="4">
        <v>3585</v>
      </c>
      <c r="E13" s="4">
        <v>827</v>
      </c>
      <c r="F13" s="4">
        <v>2758</v>
      </c>
      <c r="G13" s="4">
        <v>4981</v>
      </c>
      <c r="H13" s="4">
        <v>5722</v>
      </c>
      <c r="I13" s="4">
        <v>3803</v>
      </c>
      <c r="J13" s="4">
        <v>2468</v>
      </c>
      <c r="K13" s="4">
        <v>2523</v>
      </c>
      <c r="L13" s="4">
        <v>-59</v>
      </c>
      <c r="M13" s="4">
        <v>759</v>
      </c>
      <c r="N13" s="4">
        <v>6148</v>
      </c>
      <c r="O13" s="4">
        <v>6094</v>
      </c>
      <c r="P13" s="4">
        <v>3003</v>
      </c>
      <c r="Q13" s="4">
        <v>6493</v>
      </c>
      <c r="R13" s="4">
        <v>6704</v>
      </c>
      <c r="S13" s="4">
        <v>10332</v>
      </c>
      <c r="U13" s="4">
        <f>U11-U12</f>
        <v>9578.3139199999987</v>
      </c>
      <c r="V13" s="4">
        <f t="shared" ref="V13:Y13" si="14">V11-V12</f>
        <v>10727.711590399998</v>
      </c>
      <c r="W13" s="4">
        <f t="shared" si="14"/>
        <v>11907.759865344002</v>
      </c>
      <c r="X13" s="4">
        <f t="shared" si="14"/>
        <v>13098.535851878403</v>
      </c>
      <c r="Y13" s="4">
        <f t="shared" si="14"/>
        <v>14277.404078547461</v>
      </c>
    </row>
    <row r="14" spans="1:25" x14ac:dyDescent="0.2">
      <c r="T14" s="3" t="s">
        <v>25</v>
      </c>
    </row>
    <row r="15" spans="1:25" x14ac:dyDescent="0.2">
      <c r="B15" s="3" t="s">
        <v>19</v>
      </c>
      <c r="C15" s="6"/>
      <c r="D15" s="6">
        <f>(D3/C3)-1</f>
        <v>0.14159882557053249</v>
      </c>
      <c r="E15" s="6">
        <f t="shared" ref="E15:S15" si="15">(E3/D3)-1</f>
        <v>-0.36879432624113473</v>
      </c>
      <c r="F15" s="6">
        <f t="shared" si="15"/>
        <v>0.31460674157303381</v>
      </c>
      <c r="G15" s="6">
        <f t="shared" si="15"/>
        <v>0.41208791208791218</v>
      </c>
      <c r="H15" s="6">
        <f t="shared" si="15"/>
        <v>9.5397252984801728E-2</v>
      </c>
      <c r="I15" s="6">
        <f t="shared" si="15"/>
        <v>-0.15512713472485773</v>
      </c>
      <c r="J15" s="6">
        <f t="shared" si="15"/>
        <v>-8.4806669541469537E-3</v>
      </c>
      <c r="K15" s="6">
        <f t="shared" si="15"/>
        <v>-0.14810452305015942</v>
      </c>
      <c r="L15" s="6">
        <f t="shared" si="15"/>
        <v>-0.18025568483971832</v>
      </c>
      <c r="M15" s="6">
        <f t="shared" si="15"/>
        <v>0.17969743363520774</v>
      </c>
      <c r="N15" s="6">
        <f t="shared" si="15"/>
        <v>0.20368659539835465</v>
      </c>
      <c r="O15" s="6">
        <f t="shared" si="15"/>
        <v>-1.6848799385987379E-2</v>
      </c>
      <c r="P15" s="6">
        <f t="shared" si="15"/>
        <v>-0.22401486988847585</v>
      </c>
      <c r="Q15" s="6">
        <f t="shared" si="15"/>
        <v>0.2209207626712657</v>
      </c>
      <c r="R15" s="6">
        <f t="shared" si="15"/>
        <v>0.16589825587098539</v>
      </c>
      <c r="S15" s="6">
        <f t="shared" si="15"/>
        <v>0.12844330018341821</v>
      </c>
      <c r="T15" s="7">
        <f>AVERAGE(Q15:S15)</f>
        <v>0.17175410624188978</v>
      </c>
      <c r="U15" s="6">
        <v>0.13</v>
      </c>
      <c r="V15" s="6">
        <v>0.12</v>
      </c>
      <c r="W15" s="6">
        <v>0.11</v>
      </c>
      <c r="X15" s="6">
        <v>0.1</v>
      </c>
      <c r="Y15" s="6">
        <v>0.09</v>
      </c>
    </row>
    <row r="16" spans="1:25" x14ac:dyDescent="0.2">
      <c r="B16" s="3" t="s">
        <v>20</v>
      </c>
      <c r="C16" s="6">
        <f>C5/C3</f>
        <v>0.24912140219760665</v>
      </c>
      <c r="D16" s="6">
        <f t="shared" ref="D16:S16" si="16">D5/D3</f>
        <v>0.22905463330995246</v>
      </c>
      <c r="E16" s="6">
        <f t="shared" si="16"/>
        <v>0.23042968267687369</v>
      </c>
      <c r="F16" s="6">
        <f t="shared" si="16"/>
        <v>0.26549732318963087</v>
      </c>
      <c r="G16" s="6">
        <f t="shared" si="16"/>
        <v>0.26163158069772857</v>
      </c>
      <c r="H16" s="6">
        <f t="shared" si="16"/>
        <v>0.27359392789373815</v>
      </c>
      <c r="I16" s="6">
        <f t="shared" si="16"/>
        <v>0.25517464424320829</v>
      </c>
      <c r="J16" s="6">
        <f t="shared" si="16"/>
        <v>0.25083357494926067</v>
      </c>
      <c r="K16" s="6">
        <f t="shared" si="16"/>
        <v>0.27393588734551488</v>
      </c>
      <c r="L16" s="6">
        <f t="shared" si="16"/>
        <v>0.27228377922516023</v>
      </c>
      <c r="M16" s="6">
        <f t="shared" si="16"/>
        <v>0.2981830979719326</v>
      </c>
      <c r="N16" s="6">
        <f t="shared" si="16"/>
        <v>0.32390994481195862</v>
      </c>
      <c r="O16" s="6">
        <f t="shared" si="16"/>
        <v>0.31914498141263942</v>
      </c>
      <c r="P16" s="6">
        <f t="shared" si="16"/>
        <v>0.30339177924691002</v>
      </c>
      <c r="Q16" s="6">
        <f t="shared" si="16"/>
        <v>0.30327048713974614</v>
      </c>
      <c r="R16" s="6">
        <f t="shared" si="16"/>
        <v>0.30418833190300704</v>
      </c>
      <c r="S16" s="6">
        <f t="shared" si="16"/>
        <v>0.36225767968983003</v>
      </c>
      <c r="T16" s="7">
        <f t="shared" ref="T16:T20" si="17">AVERAGE(Q16:S16)</f>
        <v>0.32323883291086108</v>
      </c>
      <c r="U16" s="6">
        <v>0.32</v>
      </c>
      <c r="V16" s="6">
        <v>0.32</v>
      </c>
      <c r="W16" s="6">
        <v>0.32</v>
      </c>
      <c r="X16" s="6">
        <v>0.32</v>
      </c>
      <c r="Y16" s="6">
        <v>0.32</v>
      </c>
    </row>
    <row r="17" spans="1:25" x14ac:dyDescent="0.2">
      <c r="B17" s="3" t="s">
        <v>21</v>
      </c>
      <c r="C17" s="6">
        <f>C9/C3</f>
        <v>0.10945771609057342</v>
      </c>
      <c r="D17" s="6">
        <f t="shared" ref="D17:S17" si="18">D9/D3</f>
        <v>8.6665107941703692E-2</v>
      </c>
      <c r="E17" s="6">
        <f t="shared" si="18"/>
        <v>1.781084084454871E-2</v>
      </c>
      <c r="F17" s="6">
        <f t="shared" si="18"/>
        <v>9.3054381515919979E-2</v>
      </c>
      <c r="G17" s="6">
        <f t="shared" si="18"/>
        <v>0.11894309754231933</v>
      </c>
      <c r="H17" s="6">
        <f t="shared" si="18"/>
        <v>0.13014041745730551</v>
      </c>
      <c r="I17" s="6">
        <f t="shared" si="18"/>
        <v>0.10112117291936179</v>
      </c>
      <c r="J17" s="6">
        <f t="shared" si="18"/>
        <v>6.0053638735865465E-2</v>
      </c>
      <c r="K17" s="6">
        <f t="shared" si="18"/>
        <v>8.0513071408819206E-2</v>
      </c>
      <c r="L17" s="6">
        <f t="shared" si="18"/>
        <v>3.0152840127669514E-2</v>
      </c>
      <c r="M17" s="6">
        <f t="shared" si="18"/>
        <v>9.8103910958602783E-2</v>
      </c>
      <c r="N17" s="6">
        <f t="shared" si="18"/>
        <v>0.15154782354446109</v>
      </c>
      <c r="O17" s="6">
        <f t="shared" si="18"/>
        <v>0.15408921933085501</v>
      </c>
      <c r="P17" s="6">
        <f t="shared" si="18"/>
        <v>0.10905911660438823</v>
      </c>
      <c r="Q17" s="6">
        <f t="shared" si="18"/>
        <v>0.13493947538796572</v>
      </c>
      <c r="R17" s="6">
        <f t="shared" si="18"/>
        <v>0.13300351691991855</v>
      </c>
      <c r="S17" s="6">
        <f t="shared" si="18"/>
        <v>0.19334923948702654</v>
      </c>
      <c r="T17" s="7">
        <f t="shared" si="17"/>
        <v>0.15376407726497027</v>
      </c>
      <c r="U17" s="6">
        <v>0.15</v>
      </c>
      <c r="V17" s="6">
        <v>0.15</v>
      </c>
      <c r="W17" s="6">
        <v>0.15</v>
      </c>
      <c r="X17" s="6">
        <v>0.15</v>
      </c>
      <c r="Y17" s="6">
        <v>0.15</v>
      </c>
    </row>
    <row r="18" spans="1:25" x14ac:dyDescent="0.2">
      <c r="B18" s="3" t="s">
        <v>22</v>
      </c>
      <c r="C18" s="6">
        <f>C12/C11</f>
        <v>0.29759519038076154</v>
      </c>
      <c r="D18" s="6">
        <f t="shared" ref="D18:S18" si="19">D12/D11</f>
        <v>0.21173072650522107</v>
      </c>
      <c r="E18" s="6">
        <f t="shared" si="19"/>
        <v>-0.47451669595782076</v>
      </c>
      <c r="F18" s="6">
        <f t="shared" si="19"/>
        <v>0.25813333333333333</v>
      </c>
      <c r="G18" s="6">
        <f t="shared" si="19"/>
        <v>0.25576208178438664</v>
      </c>
      <c r="H18" s="6">
        <f t="shared" si="19"/>
        <v>0.30694511898980087</v>
      </c>
      <c r="I18" s="6">
        <f t="shared" si="19"/>
        <v>0.25721528861154447</v>
      </c>
      <c r="J18" s="6">
        <f t="shared" si="19"/>
        <v>0.21954314720812182</v>
      </c>
      <c r="K18" s="6">
        <f t="shared" si="19"/>
        <v>0.26635649898226227</v>
      </c>
      <c r="L18" s="6">
        <f t="shared" si="19"/>
        <v>1.3812949640287771</v>
      </c>
      <c r="M18" s="6">
        <f t="shared" si="19"/>
        <v>0.81798138167564916</v>
      </c>
      <c r="N18" s="6">
        <f t="shared" si="19"/>
        <v>0.21708003068268986</v>
      </c>
      <c r="O18" s="6">
        <f t="shared" si="19"/>
        <v>0.22350230414746544</v>
      </c>
      <c r="P18" s="6">
        <f t="shared" si="19"/>
        <v>0.25181476846057571</v>
      </c>
      <c r="Q18" s="6">
        <f t="shared" si="19"/>
        <v>0.21233544612384203</v>
      </c>
      <c r="R18" s="6">
        <f t="shared" si="19"/>
        <v>0.23617458866544791</v>
      </c>
      <c r="S18" s="6">
        <f t="shared" si="19"/>
        <v>0.21310344827586206</v>
      </c>
      <c r="T18" s="7">
        <f t="shared" si="17"/>
        <v>0.22053782768838401</v>
      </c>
      <c r="U18" s="6">
        <v>0.21</v>
      </c>
      <c r="V18" s="6">
        <v>0.21</v>
      </c>
      <c r="W18" s="6">
        <v>0.21</v>
      </c>
      <c r="X18" s="6">
        <v>0.21</v>
      </c>
      <c r="Y18" s="6">
        <v>0.21</v>
      </c>
    </row>
    <row r="19" spans="1:25" x14ac:dyDescent="0.2">
      <c r="B19" s="3" t="s">
        <v>23</v>
      </c>
      <c r="C19" s="6">
        <f>C10/C3</f>
        <v>1.5347657813959696E-3</v>
      </c>
      <c r="D19" s="6">
        <f t="shared" ref="D19:S19" si="20">D10/D3</f>
        <v>1.032655287974437E-3</v>
      </c>
      <c r="E19" s="6">
        <f t="shared" si="20"/>
        <v>-2.4694406716878629E-4</v>
      </c>
      <c r="F19" s="6">
        <f t="shared" si="20"/>
        <v>-5.0014088475626934E-3</v>
      </c>
      <c r="G19" s="6">
        <f t="shared" si="20"/>
        <v>-7.116964315407895E-3</v>
      </c>
      <c r="H19" s="6">
        <f t="shared" si="20"/>
        <v>-5.1157495256166979E-3</v>
      </c>
      <c r="I19" s="6">
        <f t="shared" si="20"/>
        <v>-8.9837573666810399E-3</v>
      </c>
      <c r="J19" s="6">
        <f t="shared" si="20"/>
        <v>-2.9356335169614381E-3</v>
      </c>
      <c r="K19" s="6">
        <f t="shared" si="20"/>
        <v>-7.3599795792474105E-3</v>
      </c>
      <c r="L19" s="6">
        <f t="shared" si="20"/>
        <v>-2.6545916911020578E-2</v>
      </c>
      <c r="M19" s="6">
        <f t="shared" si="20"/>
        <v>-8.3146363996304609E-3</v>
      </c>
      <c r="N19" s="6">
        <f t="shared" si="20"/>
        <v>-2.1801103760827455E-2</v>
      </c>
      <c r="O19" s="6">
        <f t="shared" si="20"/>
        <v>-8.8847583643122674E-3</v>
      </c>
      <c r="P19" s="6">
        <f t="shared" si="20"/>
        <v>-1.3365909744179363E-2</v>
      </c>
      <c r="Q19" s="6">
        <f t="shared" si="20"/>
        <v>2.6014792725275158E-2</v>
      </c>
      <c r="R19" s="6">
        <f t="shared" si="20"/>
        <v>1.4269608090598549E-2</v>
      </c>
      <c r="S19" s="6">
        <f t="shared" si="20"/>
        <v>1.2526096033402922E-3</v>
      </c>
      <c r="T19" s="7">
        <f t="shared" si="17"/>
        <v>1.3845670139737998E-2</v>
      </c>
      <c r="U19" s="6">
        <v>0.01</v>
      </c>
      <c r="V19" s="6">
        <v>0.01</v>
      </c>
      <c r="W19" s="6">
        <v>0.01</v>
      </c>
      <c r="X19" s="6">
        <v>0.01</v>
      </c>
      <c r="Y19" s="6">
        <v>0.01</v>
      </c>
    </row>
    <row r="20" spans="1:25" x14ac:dyDescent="0.2">
      <c r="B20" s="3" t="s">
        <v>24</v>
      </c>
      <c r="C20" s="6">
        <f>C8/C3</f>
        <v>3.1229147204057121E-2</v>
      </c>
      <c r="D20" s="6">
        <f t="shared" ref="D20:S20" si="21">D8/D3</f>
        <v>3.3668459200374097E-2</v>
      </c>
      <c r="E20" s="6">
        <f t="shared" si="21"/>
        <v>4.3863439930855661E-2</v>
      </c>
      <c r="F20" s="6">
        <f t="shared" si="21"/>
        <v>4.4730910115525498E-2</v>
      </c>
      <c r="G20" s="6">
        <f t="shared" si="21"/>
        <v>3.8195483720775553E-2</v>
      </c>
      <c r="H20" s="6">
        <f t="shared" si="21"/>
        <v>3.7434535104364328E-2</v>
      </c>
      <c r="I20" s="6">
        <f t="shared" si="21"/>
        <v>3.6761535144458818E-2</v>
      </c>
      <c r="J20" s="6">
        <f t="shared" si="21"/>
        <v>4.3128443026964336E-2</v>
      </c>
      <c r="K20" s="6">
        <f t="shared" si="21"/>
        <v>4.5074557018570119E-2</v>
      </c>
      <c r="L20" s="6">
        <f t="shared" si="21"/>
        <v>4.8083659859355941E-2</v>
      </c>
      <c r="M20" s="6">
        <f t="shared" si="21"/>
        <v>4.0517355153754785E-2</v>
      </c>
      <c r="N20" s="6">
        <f t="shared" si="21"/>
        <v>3.3807243887284823E-2</v>
      </c>
      <c r="O20" s="6">
        <f t="shared" si="21"/>
        <v>3.1468401486988845E-2</v>
      </c>
      <c r="P20" s="6">
        <f t="shared" si="21"/>
        <v>3.3893839225831175E-2</v>
      </c>
      <c r="Q20" s="6">
        <f t="shared" si="21"/>
        <v>3.3077632379196011E-2</v>
      </c>
      <c r="R20" s="6">
        <f t="shared" si="21"/>
        <v>3.0524845608898312E-2</v>
      </c>
      <c r="S20" s="6">
        <f t="shared" si="21"/>
        <v>3.143453623620638E-2</v>
      </c>
      <c r="T20" s="7">
        <f t="shared" si="17"/>
        <v>3.1679004741433564E-2</v>
      </c>
      <c r="U20" s="6">
        <v>0.03</v>
      </c>
      <c r="V20" s="6">
        <v>0.03</v>
      </c>
      <c r="W20" s="6">
        <v>0.03</v>
      </c>
      <c r="X20" s="6">
        <v>0.03</v>
      </c>
      <c r="Y20" s="6">
        <v>0.03</v>
      </c>
    </row>
    <row r="22" spans="1:25" s="4" customFormat="1" x14ac:dyDescent="0.2">
      <c r="A22" s="3"/>
      <c r="B22" s="3" t="s">
        <v>26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4">
        <v>2352</v>
      </c>
      <c r="R22" s="4">
        <v>2219</v>
      </c>
      <c r="S22" s="4">
        <v>2144</v>
      </c>
      <c r="U22" s="4">
        <f>U23*U3</f>
        <v>2424.8895999999995</v>
      </c>
      <c r="V22" s="4">
        <f t="shared" ref="V22:Y22" si="22">V23*V3</f>
        <v>2715.8763520000002</v>
      </c>
      <c r="W22" s="4">
        <f t="shared" si="22"/>
        <v>3014.6227507200006</v>
      </c>
      <c r="X22" s="4">
        <f t="shared" si="22"/>
        <v>3316.085025792001</v>
      </c>
      <c r="Y22" s="4">
        <f t="shared" si="22"/>
        <v>3614.5326781132812</v>
      </c>
    </row>
    <row r="23" spans="1:25" s="6" customFormat="1" x14ac:dyDescent="0.2">
      <c r="A23" s="3"/>
      <c r="B23" s="3" t="s">
        <v>27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8">
        <f t="shared" ref="Q23:R23" si="23">Q22/Q3</f>
        <v>4.6143885738949598E-2</v>
      </c>
      <c r="R23" s="8">
        <f t="shared" si="23"/>
        <v>3.7339929661601629E-2</v>
      </c>
      <c r="S23" s="8">
        <f>S22/S3</f>
        <v>3.1971368923352221E-2</v>
      </c>
      <c r="U23" s="8">
        <v>3.2000000000000001E-2</v>
      </c>
      <c r="V23" s="8">
        <v>3.2000000000000001E-2</v>
      </c>
      <c r="W23" s="8">
        <v>3.2000000000000001E-2</v>
      </c>
      <c r="X23" s="8">
        <v>3.2000000000000001E-2</v>
      </c>
      <c r="Y23" s="8">
        <v>3.2000000000000001E-2</v>
      </c>
    </row>
    <row r="24" spans="1:25" s="4" customFormat="1" x14ac:dyDescent="0.2">
      <c r="A24" s="3"/>
      <c r="B24" s="3" t="s">
        <v>28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R24" s="4">
        <f>8856+2642+16270-8689-4080-2313-1860-2690</f>
        <v>8136</v>
      </c>
      <c r="S24" s="4">
        <f>9310+4586+16565-7906-4958-2757-1929-3123</f>
        <v>9788</v>
      </c>
      <c r="U24" s="4">
        <f>U25*U3</f>
        <v>10608.892</v>
      </c>
      <c r="V24" s="4">
        <f t="shared" ref="V24:Y24" si="24">V25*V3</f>
        <v>11881.959040000002</v>
      </c>
      <c r="W24" s="4">
        <f t="shared" si="24"/>
        <v>13188.974534400002</v>
      </c>
      <c r="X24" s="4">
        <f t="shared" si="24"/>
        <v>14507.871987840004</v>
      </c>
      <c r="Y24" s="4">
        <f t="shared" si="24"/>
        <v>15813.580466745607</v>
      </c>
    </row>
    <row r="25" spans="1:25" s="6" customFormat="1" x14ac:dyDescent="0.2">
      <c r="A25" s="3"/>
      <c r="B25" s="3" t="s">
        <v>27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R25" s="8">
        <f t="shared" ref="R25" si="25">R24/R3</f>
        <v>0.13690746630319553</v>
      </c>
      <c r="S25" s="8">
        <f>S24/S3</f>
        <v>0.14595884282731883</v>
      </c>
      <c r="U25" s="8">
        <v>0.14000000000000001</v>
      </c>
      <c r="V25" s="8">
        <v>0.14000000000000001</v>
      </c>
      <c r="W25" s="8">
        <v>0.14000000000000001</v>
      </c>
      <c r="X25" s="8">
        <v>0.14000000000000001</v>
      </c>
      <c r="Y25" s="8">
        <v>0.14000000000000001</v>
      </c>
    </row>
    <row r="26" spans="1:25" x14ac:dyDescent="0.2">
      <c r="B26" s="3" t="s">
        <v>29</v>
      </c>
      <c r="S26" s="9">
        <f>R24-S24</f>
        <v>-1652</v>
      </c>
      <c r="U26" s="9">
        <f>S24-U24</f>
        <v>-820.89199999999983</v>
      </c>
      <c r="V26" s="9">
        <f t="shared" ref="V26:Y26" si="26">U24-V24</f>
        <v>-1273.0670400000017</v>
      </c>
      <c r="W26" s="9">
        <f t="shared" si="26"/>
        <v>-1307.0154944000005</v>
      </c>
      <c r="X26" s="9">
        <f t="shared" si="26"/>
        <v>-1318.8974534400022</v>
      </c>
      <c r="Y26" s="9">
        <f t="shared" si="26"/>
        <v>-1305.7084789056025</v>
      </c>
    </row>
    <row r="27" spans="1:25" s="4" customFormat="1" x14ac:dyDescent="0.2">
      <c r="A27" s="3"/>
      <c r="B27" s="3" t="s">
        <v>30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4">
        <v>1093</v>
      </c>
      <c r="R27" s="4">
        <v>1296</v>
      </c>
      <c r="S27" s="4">
        <v>1597</v>
      </c>
      <c r="U27" s="4">
        <f>U28*U3</f>
        <v>1818.6671999999999</v>
      </c>
      <c r="V27" s="4">
        <f t="shared" ref="V27:Y27" si="27">V28*V3</f>
        <v>2036.9072639999999</v>
      </c>
      <c r="W27" s="4">
        <f t="shared" si="27"/>
        <v>2260.9670630400005</v>
      </c>
      <c r="X27" s="4">
        <f t="shared" si="27"/>
        <v>2487.0637693440008</v>
      </c>
      <c r="Y27" s="4">
        <f t="shared" si="27"/>
        <v>2710.899508584961</v>
      </c>
    </row>
    <row r="28" spans="1:25" s="6" customFormat="1" x14ac:dyDescent="0.2">
      <c r="A28" s="3"/>
      <c r="B28" s="3" t="s">
        <v>27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8">
        <f t="shared" ref="Q28:R28" si="28">Q27/Q3</f>
        <v>2.1443565949265268E-2</v>
      </c>
      <c r="R28" s="8">
        <f t="shared" si="28"/>
        <v>2.1808268968650613E-2</v>
      </c>
      <c r="S28" s="8">
        <f>S27/S3</f>
        <v>2.3814494482552937E-2</v>
      </c>
      <c r="U28" s="8">
        <v>2.4E-2</v>
      </c>
      <c r="V28" s="8">
        <v>2.4E-2</v>
      </c>
      <c r="W28" s="8">
        <v>2.4E-2</v>
      </c>
      <c r="X28" s="8">
        <v>2.4E-2</v>
      </c>
      <c r="Y28" s="8">
        <v>2.4E-2</v>
      </c>
    </row>
    <row r="30" spans="1:25" x14ac:dyDescent="0.2">
      <c r="B30" s="3" t="s">
        <v>31</v>
      </c>
      <c r="Q30" s="4">
        <f>Q9</f>
        <v>6878</v>
      </c>
      <c r="R30" s="4">
        <f t="shared" ref="R30:Y30" si="29">R9</f>
        <v>7904</v>
      </c>
      <c r="S30" s="4">
        <f t="shared" si="29"/>
        <v>12966</v>
      </c>
      <c r="T30" s="4"/>
      <c r="U30" s="4">
        <f t="shared" si="29"/>
        <v>11366.669999999998</v>
      </c>
      <c r="V30" s="4">
        <f t="shared" si="29"/>
        <v>12730.670399999999</v>
      </c>
      <c r="W30" s="4">
        <f t="shared" si="29"/>
        <v>14131.044144000001</v>
      </c>
      <c r="X30" s="4">
        <f t="shared" si="29"/>
        <v>15544.148558400004</v>
      </c>
      <c r="Y30" s="4">
        <f t="shared" si="29"/>
        <v>16943.121928656004</v>
      </c>
    </row>
    <row r="31" spans="1:25" x14ac:dyDescent="0.2">
      <c r="B31" s="3" t="s">
        <v>32</v>
      </c>
      <c r="Q31" s="4">
        <f>Q30*Q18</f>
        <v>1460.4431984397854</v>
      </c>
      <c r="R31" s="4">
        <f t="shared" ref="R31:Y31" si="30">R30*R18</f>
        <v>1866.7239488117002</v>
      </c>
      <c r="S31" s="4">
        <f t="shared" si="30"/>
        <v>2763.0993103448272</v>
      </c>
      <c r="T31" s="4"/>
      <c r="U31" s="4">
        <f t="shared" si="30"/>
        <v>2387.0006999999996</v>
      </c>
      <c r="V31" s="4">
        <f t="shared" si="30"/>
        <v>2673.4407839999999</v>
      </c>
      <c r="W31" s="4">
        <f t="shared" si="30"/>
        <v>2967.51927024</v>
      </c>
      <c r="X31" s="4">
        <f t="shared" si="30"/>
        <v>3264.2711972640009</v>
      </c>
      <c r="Y31" s="4">
        <f t="shared" si="30"/>
        <v>3558.0556050177606</v>
      </c>
    </row>
    <row r="32" spans="1:25" x14ac:dyDescent="0.2">
      <c r="B32" s="3" t="s">
        <v>33</v>
      </c>
      <c r="Q32" s="4">
        <f>Q30-Q31</f>
        <v>5417.5568015602148</v>
      </c>
      <c r="R32" s="4">
        <f t="shared" ref="R32:Y32" si="31">R30-R31</f>
        <v>6037.2760511882998</v>
      </c>
      <c r="S32" s="4">
        <f t="shared" si="31"/>
        <v>10202.900689655173</v>
      </c>
      <c r="T32" s="4"/>
      <c r="U32" s="4">
        <f t="shared" si="31"/>
        <v>8979.6692999999977</v>
      </c>
      <c r="V32" s="4">
        <f t="shared" si="31"/>
        <v>10057.229615999999</v>
      </c>
      <c r="W32" s="4">
        <f t="shared" si="31"/>
        <v>11163.524873760001</v>
      </c>
      <c r="X32" s="4">
        <f t="shared" si="31"/>
        <v>12279.877361136003</v>
      </c>
      <c r="Y32" s="4">
        <f t="shared" si="31"/>
        <v>13385.066323638244</v>
      </c>
    </row>
    <row r="33" spans="2:25" x14ac:dyDescent="0.2">
      <c r="B33" s="11" t="s">
        <v>34</v>
      </c>
      <c r="U33" s="10">
        <f>U32+U22+U26-U27</f>
        <v>8764.9996999999967</v>
      </c>
      <c r="V33" s="10">
        <f t="shared" ref="V33:Y33" si="32">V32+V22+V26-V27</f>
        <v>9463.1316639999986</v>
      </c>
      <c r="W33" s="10">
        <f t="shared" si="32"/>
        <v>10610.165067040001</v>
      </c>
      <c r="X33" s="10">
        <f t="shared" si="32"/>
        <v>11790.001164144001</v>
      </c>
      <c r="Y33" s="10">
        <f t="shared" si="32"/>
        <v>12982.991014260962</v>
      </c>
    </row>
    <row r="35" spans="2:25" x14ac:dyDescent="0.2">
      <c r="B35" s="3" t="s">
        <v>35</v>
      </c>
      <c r="Q35" s="5">
        <f ca="1">TODAY()</f>
        <v>45556</v>
      </c>
    </row>
    <row r="36" spans="2:25" x14ac:dyDescent="0.2">
      <c r="B36" s="3" t="s">
        <v>36</v>
      </c>
      <c r="Q36" s="6">
        <f ca="1">(U1-v)/365</f>
        <v>0.27671232876712326</v>
      </c>
    </row>
    <row r="37" spans="2:25" x14ac:dyDescent="0.2">
      <c r="B37" s="3" t="s">
        <v>37</v>
      </c>
      <c r="Q37" s="6">
        <v>0.08</v>
      </c>
    </row>
    <row r="38" spans="2:25" x14ac:dyDescent="0.2">
      <c r="B38" s="3" t="s">
        <v>38</v>
      </c>
      <c r="Q38" s="6">
        <v>0.02</v>
      </c>
    </row>
    <row r="40" spans="2:25" x14ac:dyDescent="0.2">
      <c r="B40" s="11" t="s">
        <v>39</v>
      </c>
      <c r="U40" s="12">
        <f ca="1">U33/(1+d)^((U1-v)/365)</f>
        <v>8580.3131905522096</v>
      </c>
      <c r="V40" s="12">
        <f ca="1">V33/(1+d)^((V1-v)/365)</f>
        <v>8577.5322959235964</v>
      </c>
      <c r="W40" s="12">
        <f ca="1">W33/(1+d)^((W1-v)/365)</f>
        <v>8904.8347448504283</v>
      </c>
      <c r="X40" s="12">
        <f ca="1">X33/(1+d)^((X1-v)/365)</f>
        <v>9162.0744461258328</v>
      </c>
      <c r="Y40" s="12">
        <f ca="1">Y33/(1+d)^((Y1-v)/365)</f>
        <v>9339.8391609082646</v>
      </c>
    </row>
    <row r="42" spans="2:25" x14ac:dyDescent="0.2">
      <c r="B42" s="3" t="s">
        <v>40</v>
      </c>
      <c r="Q42" s="4">
        <f>Y33*(1+d)</f>
        <v>14021.630295401841</v>
      </c>
    </row>
    <row r="43" spans="2:25" x14ac:dyDescent="0.2">
      <c r="B43" s="3" t="s">
        <v>41</v>
      </c>
      <c r="Q43" s="4">
        <f>Q42/(d-t)</f>
        <v>233693.83825669737</v>
      </c>
    </row>
    <row r="44" spans="2:25" x14ac:dyDescent="0.2">
      <c r="B44" s="3" t="s">
        <v>42</v>
      </c>
      <c r="Q44" s="4">
        <f ca="1">Q43/(1+d)^((Y1-v)/365)</f>
        <v>168117.10489634881</v>
      </c>
    </row>
    <row r="45" spans="2:25" x14ac:dyDescent="0.2">
      <c r="B45" s="3" t="s">
        <v>43</v>
      </c>
      <c r="Q45" s="4">
        <f ca="1">SUM(U40:Y40)</f>
        <v>44564.593838360335</v>
      </c>
    </row>
    <row r="46" spans="2:25" x14ac:dyDescent="0.2">
      <c r="B46" s="3" t="s">
        <v>44</v>
      </c>
      <c r="Q46" s="4">
        <f ca="1">Q44+Q45</f>
        <v>212681.69873470915</v>
      </c>
    </row>
    <row r="47" spans="2:25" x14ac:dyDescent="0.2">
      <c r="B47" s="3" t="s">
        <v>4</v>
      </c>
      <c r="Q47" s="4">
        <f>Cash</f>
        <v>4341</v>
      </c>
    </row>
    <row r="48" spans="2:25" x14ac:dyDescent="0.2">
      <c r="B48" s="3" t="s">
        <v>5</v>
      </c>
      <c r="Q48" s="4">
        <f>Debt</f>
        <v>29134</v>
      </c>
    </row>
    <row r="49" spans="2:17" x14ac:dyDescent="0.2">
      <c r="B49" s="3" t="s">
        <v>45</v>
      </c>
      <c r="Q49" s="4">
        <f ca="1">Q46-Q47+Q48</f>
        <v>237474.69873470915</v>
      </c>
    </row>
    <row r="50" spans="2:17" x14ac:dyDescent="0.2">
      <c r="B50" s="11" t="s">
        <v>46</v>
      </c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3">
        <f ca="1">Q49/Shares</f>
        <v>489.74155128441265</v>
      </c>
    </row>
    <row r="51" spans="2:17" x14ac:dyDescent="0.2">
      <c r="B51" s="3" t="s">
        <v>47</v>
      </c>
      <c r="Q51" s="6">
        <f ca="1">(Q50/Price)-1</f>
        <v>0.38466326807207629</v>
      </c>
    </row>
  </sheetData>
  <hyperlinks>
    <hyperlink ref="A1" location="Main!A1" display="Main" xr:uid="{B9473B74-FCCB-4D3B-BA62-F5E697E4DDDD}"/>
  </hyperlink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7</vt:i4>
      </vt:variant>
    </vt:vector>
  </HeadingPairs>
  <TitlesOfParts>
    <vt:vector size="9" baseType="lpstr">
      <vt:lpstr>Main</vt:lpstr>
      <vt:lpstr>Model</vt:lpstr>
      <vt:lpstr>Cash</vt:lpstr>
      <vt:lpstr>d</vt:lpstr>
      <vt:lpstr>Debt</vt:lpstr>
      <vt:lpstr>Price</vt:lpstr>
      <vt:lpstr>Shares</vt:lpstr>
      <vt:lpstr>t</vt:lpstr>
      <vt:lpstr>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Jayden Hammen</dc:creator>
  <cp:lastModifiedBy>Jayden Hammen</cp:lastModifiedBy>
  <cp:lastPrinted>2024-09-19T02:40:26Z</cp:lastPrinted>
  <dcterms:created xsi:type="dcterms:W3CDTF">2024-09-19T02:33:56Z</dcterms:created>
  <dcterms:modified xsi:type="dcterms:W3CDTF">2024-09-21T17:28:56Z</dcterms:modified>
</cp:coreProperties>
</file>