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"/>
    </mc:Choice>
  </mc:AlternateContent>
  <xr:revisionPtr revIDLastSave="0" documentId="13_ncr:1_{3EA3A8BD-8834-45D7-B9D9-AA8D24044C8D}" xr6:coauthVersionLast="47" xr6:coauthVersionMax="47" xr10:uidLastSave="{00000000-0000-0000-0000-000000000000}"/>
  <bookViews>
    <workbookView xWindow="-120" yWindow="-120" windowWidth="29040" windowHeight="15720" activeTab="1" xr2:uid="{F74B0AC7-941F-4EF0-A4AC-4807AF27FD82}"/>
  </bookViews>
  <sheets>
    <sheet name="Main" sheetId="1" r:id="rId1"/>
    <sheet name="Model" sheetId="2" r:id="rId2"/>
  </sheets>
  <definedNames>
    <definedName name="Cash">Main!$G$5</definedName>
    <definedName name="d">Model!$P$37</definedName>
    <definedName name="Debt">Main!$G$6</definedName>
    <definedName name="g">Model!$P$38</definedName>
    <definedName name="Price">Main!$G$2</definedName>
    <definedName name="Shares">Main!$G$3</definedName>
    <definedName name="v">Model!$P$35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8" i="2" l="1"/>
  <c r="P47" i="2"/>
  <c r="P42" i="2"/>
  <c r="P43" i="2" s="1"/>
  <c r="P35" i="2"/>
  <c r="P36" i="2" s="1"/>
  <c r="T40" i="2" s="1"/>
  <c r="X33" i="2"/>
  <c r="W33" i="2"/>
  <c r="V33" i="2"/>
  <c r="U33" i="2"/>
  <c r="T33" i="2"/>
  <c r="X30" i="2"/>
  <c r="W30" i="2"/>
  <c r="V30" i="2"/>
  <c r="U30" i="2"/>
  <c r="U31" i="2" s="1"/>
  <c r="T30" i="2"/>
  <c r="R30" i="2"/>
  <c r="Q30" i="2"/>
  <c r="Q31" i="2" s="1"/>
  <c r="P31" i="2"/>
  <c r="P32" i="2" s="1"/>
  <c r="P30" i="2"/>
  <c r="X27" i="2"/>
  <c r="W27" i="2"/>
  <c r="V27" i="2"/>
  <c r="U27" i="2"/>
  <c r="T27" i="2"/>
  <c r="X26" i="2"/>
  <c r="W26" i="2"/>
  <c r="V26" i="2"/>
  <c r="U26" i="2"/>
  <c r="T26" i="2"/>
  <c r="X24" i="2"/>
  <c r="W24" i="2"/>
  <c r="V24" i="2"/>
  <c r="U24" i="2"/>
  <c r="T24" i="2"/>
  <c r="X22" i="2"/>
  <c r="W22" i="2"/>
  <c r="V22" i="2"/>
  <c r="U22" i="2"/>
  <c r="T22" i="2"/>
  <c r="T8" i="2"/>
  <c r="T3" i="2"/>
  <c r="U3" i="2" s="1"/>
  <c r="R26" i="2"/>
  <c r="Q25" i="2"/>
  <c r="R25" i="2"/>
  <c r="Q24" i="2"/>
  <c r="R24" i="2"/>
  <c r="Q28" i="2"/>
  <c r="P28" i="2"/>
  <c r="R28" i="2"/>
  <c r="Q23" i="2"/>
  <c r="P23" i="2"/>
  <c r="R23" i="2"/>
  <c r="V1" i="2"/>
  <c r="W1" i="2" s="1"/>
  <c r="X1" i="2" s="1"/>
  <c r="U1" i="2"/>
  <c r="T1" i="2"/>
  <c r="V2" i="2"/>
  <c r="W2" i="2" s="1"/>
  <c r="X2" i="2" s="1"/>
  <c r="U2" i="2"/>
  <c r="T2" i="2"/>
  <c r="S20" i="2"/>
  <c r="S19" i="2"/>
  <c r="S18" i="2"/>
  <c r="S17" i="2"/>
  <c r="S16" i="2"/>
  <c r="S15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20" i="2"/>
  <c r="D19" i="2"/>
  <c r="D18" i="2"/>
  <c r="D17" i="2"/>
  <c r="D16" i="2"/>
  <c r="C20" i="2"/>
  <c r="C19" i="2"/>
  <c r="C18" i="2"/>
  <c r="C17" i="2"/>
  <c r="C16" i="2"/>
  <c r="D15" i="2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D1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D2" i="2"/>
  <c r="H2" i="1"/>
  <c r="G7" i="1"/>
  <c r="G6" i="1"/>
  <c r="G4" i="1"/>
  <c r="P44" i="2" l="1"/>
  <c r="U40" i="2"/>
  <c r="W40" i="2"/>
  <c r="V40" i="2"/>
  <c r="X40" i="2"/>
  <c r="R32" i="2"/>
  <c r="U32" i="2"/>
  <c r="V31" i="2"/>
  <c r="V32" i="2" s="1"/>
  <c r="Q32" i="2"/>
  <c r="R31" i="2"/>
  <c r="T31" i="2"/>
  <c r="T32" i="2" s="1"/>
  <c r="W31" i="2"/>
  <c r="W32" i="2" s="1"/>
  <c r="X31" i="2"/>
  <c r="X32" i="2" s="1"/>
  <c r="T5" i="2"/>
  <c r="T9" i="2"/>
  <c r="U8" i="2"/>
  <c r="U5" i="2"/>
  <c r="U4" i="2" s="1"/>
  <c r="U10" i="2"/>
  <c r="V3" i="2"/>
  <c r="U9" i="2"/>
  <c r="T4" i="2"/>
  <c r="T10" i="2"/>
  <c r="T11" i="2" s="1"/>
  <c r="T12" i="2" s="1"/>
  <c r="T13" i="2" s="1"/>
  <c r="P45" i="2" l="1"/>
  <c r="P46" i="2" s="1"/>
  <c r="P49" i="2" s="1"/>
  <c r="P50" i="2" s="1"/>
  <c r="T6" i="2"/>
  <c r="T7" i="2" s="1"/>
  <c r="W3" i="2"/>
  <c r="V8" i="2"/>
  <c r="V5" i="2"/>
  <c r="V4" i="2" s="1"/>
  <c r="V10" i="2"/>
  <c r="V9" i="2"/>
  <c r="V11" i="2" s="1"/>
  <c r="U11" i="2"/>
  <c r="U12" i="2" s="1"/>
  <c r="U13" i="2" s="1"/>
  <c r="U6" i="2"/>
  <c r="U7" i="2" s="1"/>
  <c r="P51" i="2" l="1"/>
  <c r="S43" i="2"/>
  <c r="X3" i="2"/>
  <c r="W10" i="2"/>
  <c r="W8" i="2"/>
  <c r="W5" i="2"/>
  <c r="W9" i="2"/>
  <c r="V6" i="2"/>
  <c r="V7" i="2" s="1"/>
  <c r="V12" i="2"/>
  <c r="V13" i="2" s="1"/>
  <c r="X10" i="2" l="1"/>
  <c r="X8" i="2"/>
  <c r="X5" i="2"/>
  <c r="X9" i="2"/>
  <c r="X4" i="2"/>
  <c r="W6" i="2"/>
  <c r="W7" i="2" s="1"/>
  <c r="W11" i="2"/>
  <c r="W12" i="2" s="1"/>
  <c r="W13" i="2" s="1"/>
  <c r="W4" i="2"/>
  <c r="X6" i="2" l="1"/>
  <c r="X7" i="2" s="1"/>
  <c r="X11" i="2"/>
  <c r="X12" i="2" l="1"/>
  <c r="X13" i="2" s="1"/>
</calcChain>
</file>

<file path=xl/sharedStrings.xml><?xml version="1.0" encoding="utf-8"?>
<sst xmlns="http://schemas.openxmlformats.org/spreadsheetml/2006/main" count="56" uniqueCount="50">
  <si>
    <t>RTX Corp.</t>
  </si>
  <si>
    <t>Price</t>
  </si>
  <si>
    <t>Shares</t>
  </si>
  <si>
    <t>MC</t>
  </si>
  <si>
    <t>Cash</t>
  </si>
  <si>
    <t>Debt</t>
  </si>
  <si>
    <t>EV</t>
  </si>
  <si>
    <t>Q2 24</t>
  </si>
  <si>
    <t>Main</t>
  </si>
  <si>
    <t>Operating Revenue</t>
  </si>
  <si>
    <t>SG&amp;A Expense</t>
  </si>
  <si>
    <t>R&amp;D Expense</t>
  </si>
  <si>
    <t>Other Income</t>
  </si>
  <si>
    <t>Net Income</t>
  </si>
  <si>
    <t>Revenue</t>
  </si>
  <si>
    <t>COGS</t>
  </si>
  <si>
    <t>Gross Profit</t>
  </si>
  <si>
    <t>OpEx</t>
  </si>
  <si>
    <t>EBIT</t>
  </si>
  <si>
    <t>EBT</t>
  </si>
  <si>
    <t>Taxes</t>
  </si>
  <si>
    <t>Revenue Growth y/y</t>
  </si>
  <si>
    <t>Gross Margin</t>
  </si>
  <si>
    <t>Operating Margin</t>
  </si>
  <si>
    <t>Tax Rate</t>
  </si>
  <si>
    <t>Other Income % of Rev</t>
  </si>
  <si>
    <t>R&amp;D % of Rev</t>
  </si>
  <si>
    <t>D&amp;A</t>
  </si>
  <si>
    <t>% of Revenue</t>
  </si>
  <si>
    <t>Working Capital</t>
  </si>
  <si>
    <t>CIWC</t>
  </si>
  <si>
    <t>CapEx</t>
  </si>
  <si>
    <t>AVG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</si>
  <si>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</si>
  <si>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</si>
  <si>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</si>
  <si>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</si>
  <si>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</si>
  <si>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</si>
  <si>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</si>
  <si>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</si>
  <si>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FCF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</si>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</sst>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72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11"/>
      <color theme="3" tint="0.499984740745262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0" fontId="4" fillId="0" borderId="0" xfId="3" applyFont="1"/>
    <xf numFmtId="165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2" applyFont="1"/>
    <xf numFmtId="0" fontId="2" fillId="0" borderId="1" xfId="0" applyFont="1" applyBorder="1"/>
    <xf numFmtId="43" fontId="2" fillId="0" borderId="0" xfId="1" applyFont="1"/>
    <xf numFmtId="165" fontId="2" fillId="0" borderId="0" xfId="0" applyNumberFormat="1" applyFont="1"/>
    <xf numFmtId="172" fontId="5" fillId="0" borderId="0" xfId="0" applyNumberFormat="1" applyFont="1"/>
    <xf numFmtId="172" fontId="2" fillId="0" borderId="0" xfId="2" applyNumberFormat="1" applyFont="1"/>
    <xf numFmtId="0" fontId="6" fillId="0" borderId="0" xfId="0" applyFont="1"/>
    <xf numFmtId="165" fontId="6" fillId="0" borderId="0" xfId="0" applyNumberFormat="1" applyFont="1"/>
    <xf numFmtId="165" fontId="6" fillId="0" borderId="0" xfId="1" applyNumberFormat="1" applyFont="1"/>
    <xf numFmtId="43" fontId="6" fillId="0" borderId="0" xfId="1" applyFont="1"/>
    <xf numFmtId="172" fontId="2" fillId="0" borderId="1" xfId="2" applyNumberFormat="1" applyFont="1" applyBorder="1"/>
    <xf numFmtId="172" fontId="2" fillId="0" borderId="3" xfId="2" applyNumberFormat="1" applyFont="1" applyBorder="1"/>
    <xf numFmtId="43" fontId="7" fillId="0" borderId="0" xfId="0" applyNumberFormat="1" applyFont="1"/>
    <xf numFmtId="0" fontId="6" fillId="0" borderId="0" xfId="0" applyFont="1" applyAlignment="1">
      <alignment horizontal="center"/>
    </xf>
    <xf numFmtId="43" fontId="6" fillId="0" borderId="2" xfId="1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9A4F-5503-410B-AC6D-17977FDFE7C8}">
  <dimension ref="A1:H7"/>
  <sheetViews>
    <sheetView zoomScale="130" zoomScaleNormal="130" workbookViewId="0">
      <selection activeCell="G6" sqref="G6"/>
    </sheetView>
  </sheetViews>
  <sheetFormatPr defaultRowHeight="14.25" x14ac:dyDescent="0.2"/>
  <cols>
    <col min="1" max="6" width="9.140625" style="1"/>
    <col min="7" max="7" width="12.28515625" style="1" bestFit="1" customWidth="1"/>
    <col min="8" max="8" width="10.5703125" style="1" bestFit="1" customWidth="1"/>
    <col min="9" max="16384" width="9.140625" style="1"/>
  </cols>
  <sheetData>
    <row r="1" spans="1:8" x14ac:dyDescent="0.2">
      <c r="A1" s="1" t="s">
        <v>0</v>
      </c>
    </row>
    <row r="2" spans="1:8" x14ac:dyDescent="0.2">
      <c r="F2" s="1" t="s">
        <v>1</v>
      </c>
      <c r="G2" s="1">
        <v>120.27</v>
      </c>
      <c r="H2" s="2">
        <f ca="1">TODAY()</f>
        <v>45559</v>
      </c>
    </row>
    <row r="3" spans="1:8" x14ac:dyDescent="0.2">
      <c r="F3" s="1" t="s">
        <v>2</v>
      </c>
      <c r="G3" s="3">
        <v>1330.239</v>
      </c>
      <c r="H3" s="1" t="s">
        <v>7</v>
      </c>
    </row>
    <row r="4" spans="1:8" x14ac:dyDescent="0.2">
      <c r="F4" s="1" t="s">
        <v>3</v>
      </c>
      <c r="G4" s="3">
        <f>G2*G3</f>
        <v>159987.84453</v>
      </c>
    </row>
    <row r="5" spans="1:8" x14ac:dyDescent="0.2">
      <c r="F5" s="1" t="s">
        <v>4</v>
      </c>
      <c r="G5" s="3">
        <v>6011</v>
      </c>
      <c r="H5" s="1" t="s">
        <v>7</v>
      </c>
    </row>
    <row r="6" spans="1:8" x14ac:dyDescent="0.2">
      <c r="F6" s="1" t="s">
        <v>5</v>
      </c>
      <c r="G6" s="3">
        <f>1617+40303+1415</f>
        <v>43335</v>
      </c>
      <c r="H6" s="1" t="s">
        <v>7</v>
      </c>
    </row>
    <row r="7" spans="1:8" x14ac:dyDescent="0.2">
      <c r="F7" s="1" t="s">
        <v>6</v>
      </c>
      <c r="G7" s="3">
        <f>G4-G5+G6</f>
        <v>197311.84453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C11A-1859-4199-B596-57B3E562C665}">
  <dimension ref="A1:X51"/>
  <sheetViews>
    <sheetView tabSelected="1" topLeftCell="B28" zoomScale="140" zoomScaleNormal="140" workbookViewId="0">
      <selection activeCell="V46" sqref="V46"/>
    </sheetView>
  </sheetViews>
  <sheetFormatPr defaultRowHeight="14.25" x14ac:dyDescent="0.2"/>
  <cols>
    <col min="1" max="1" width="9.140625" style="1"/>
    <col min="2" max="2" width="23.5703125" style="1" bestFit="1" customWidth="1"/>
    <col min="3" max="15" width="12" style="1" hidden="1" customWidth="1"/>
    <col min="16" max="18" width="12" style="1" bestFit="1" customWidth="1"/>
    <col min="19" max="19" width="9.140625" style="1"/>
    <col min="20" max="24" width="12" style="1" bestFit="1" customWidth="1"/>
    <col min="25" max="16384" width="9.140625" style="1"/>
  </cols>
  <sheetData>
    <row r="1" spans="1:24" x14ac:dyDescent="0.2">
      <c r="A1" s="4" t="s">
        <v>8</v>
      </c>
      <c r="C1" s="2">
        <v>39813</v>
      </c>
      <c r="D1" s="2">
        <f>EOMONTH(C1,12)</f>
        <v>40178</v>
      </c>
      <c r="E1" s="2">
        <f t="shared" ref="E1:R1" si="0">EOMONTH(D1,12)</f>
        <v>40543</v>
      </c>
      <c r="F1" s="2">
        <f t="shared" si="0"/>
        <v>40908</v>
      </c>
      <c r="G1" s="2">
        <f t="shared" si="0"/>
        <v>41274</v>
      </c>
      <c r="H1" s="2">
        <f t="shared" si="0"/>
        <v>41639</v>
      </c>
      <c r="I1" s="2">
        <f t="shared" si="0"/>
        <v>42004</v>
      </c>
      <c r="J1" s="2">
        <f t="shared" si="0"/>
        <v>42369</v>
      </c>
      <c r="K1" s="2">
        <f t="shared" si="0"/>
        <v>42735</v>
      </c>
      <c r="L1" s="2">
        <f t="shared" si="0"/>
        <v>43100</v>
      </c>
      <c r="M1" s="2">
        <f t="shared" si="0"/>
        <v>43465</v>
      </c>
      <c r="N1" s="2">
        <f t="shared" si="0"/>
        <v>43830</v>
      </c>
      <c r="O1" s="2">
        <f t="shared" si="0"/>
        <v>44196</v>
      </c>
      <c r="P1" s="2">
        <f t="shared" si="0"/>
        <v>44561</v>
      </c>
      <c r="Q1" s="2">
        <f t="shared" si="0"/>
        <v>44926</v>
      </c>
      <c r="R1" s="2">
        <f t="shared" si="0"/>
        <v>45291</v>
      </c>
      <c r="T1" s="2">
        <f>EOMONTH(R1,12)</f>
        <v>45657</v>
      </c>
      <c r="U1" s="2">
        <f>EOMONTH(T1,12)</f>
        <v>46022</v>
      </c>
      <c r="V1" s="2">
        <f t="shared" ref="V1:X1" si="1">EOMONTH(U1,12)</f>
        <v>46387</v>
      </c>
      <c r="W1" s="2">
        <f t="shared" si="1"/>
        <v>46752</v>
      </c>
      <c r="X1" s="2">
        <f t="shared" si="1"/>
        <v>47118</v>
      </c>
    </row>
    <row r="2" spans="1:24" x14ac:dyDescent="0.2">
      <c r="C2" s="1">
        <v>2008</v>
      </c>
      <c r="D2" s="1">
        <f>C2+1</f>
        <v>2009</v>
      </c>
      <c r="E2" s="1">
        <f t="shared" ref="E2:R2" si="2">D2+1</f>
        <v>2010</v>
      </c>
      <c r="F2" s="1">
        <f t="shared" si="2"/>
        <v>2011</v>
      </c>
      <c r="G2" s="1">
        <f t="shared" si="2"/>
        <v>2012</v>
      </c>
      <c r="H2" s="1">
        <f t="shared" si="2"/>
        <v>2013</v>
      </c>
      <c r="I2" s="1">
        <f t="shared" si="2"/>
        <v>2014</v>
      </c>
      <c r="J2" s="1">
        <f t="shared" si="2"/>
        <v>2015</v>
      </c>
      <c r="K2" s="1">
        <f t="shared" si="2"/>
        <v>2016</v>
      </c>
      <c r="L2" s="1">
        <f t="shared" si="2"/>
        <v>2017</v>
      </c>
      <c r="M2" s="1">
        <f t="shared" si="2"/>
        <v>2018</v>
      </c>
      <c r="N2" s="1">
        <f t="shared" si="2"/>
        <v>2019</v>
      </c>
      <c r="O2" s="1">
        <f t="shared" si="2"/>
        <v>2020</v>
      </c>
      <c r="P2" s="8">
        <f t="shared" si="2"/>
        <v>2021</v>
      </c>
      <c r="Q2" s="8">
        <f t="shared" si="2"/>
        <v>2022</v>
      </c>
      <c r="R2" s="8">
        <f t="shared" si="2"/>
        <v>2023</v>
      </c>
      <c r="S2" s="8"/>
      <c r="T2" s="8">
        <f>R2+1</f>
        <v>2024</v>
      </c>
      <c r="U2" s="8">
        <f>T2+1</f>
        <v>2025</v>
      </c>
      <c r="V2" s="8">
        <f t="shared" ref="V2:X2" si="3">U2+1</f>
        <v>2026</v>
      </c>
      <c r="W2" s="8">
        <f t="shared" si="3"/>
        <v>2027</v>
      </c>
      <c r="X2" s="8">
        <f t="shared" si="3"/>
        <v>2028</v>
      </c>
    </row>
    <row r="3" spans="1:24" x14ac:dyDescent="0.2">
      <c r="B3" s="5" t="s">
        <v>14</v>
      </c>
      <c r="C3" s="3">
        <v>59119</v>
      </c>
      <c r="D3" s="3">
        <v>52425</v>
      </c>
      <c r="E3" s="3">
        <v>52275</v>
      </c>
      <c r="F3" s="3">
        <v>55754</v>
      </c>
      <c r="G3" s="3">
        <v>57708</v>
      </c>
      <c r="H3" s="3">
        <v>56600</v>
      </c>
      <c r="I3" s="3">
        <v>57900</v>
      </c>
      <c r="J3" s="3">
        <v>56098</v>
      </c>
      <c r="K3" s="3">
        <v>57244</v>
      </c>
      <c r="L3" s="3">
        <v>59837</v>
      </c>
      <c r="M3" s="3">
        <v>34701</v>
      </c>
      <c r="N3" s="3">
        <v>45349</v>
      </c>
      <c r="O3" s="3">
        <v>56587</v>
      </c>
      <c r="P3" s="3">
        <v>64388</v>
      </c>
      <c r="Q3" s="3">
        <v>67074</v>
      </c>
      <c r="R3" s="3">
        <v>68920</v>
      </c>
      <c r="T3" s="3">
        <f>R3*(1+T15)</f>
        <v>73675.48</v>
      </c>
      <c r="U3" s="3">
        <f>T3*(1+U15)</f>
        <v>78759.088119999986</v>
      </c>
      <c r="V3" s="3">
        <f t="shared" ref="V3:X3" si="4">U3*(1+V15)</f>
        <v>84193.465200279985</v>
      </c>
      <c r="W3" s="3">
        <f t="shared" si="4"/>
        <v>90002.814299099293</v>
      </c>
      <c r="X3" s="3">
        <f t="shared" si="4"/>
        <v>96213.00848573714</v>
      </c>
    </row>
    <row r="4" spans="1:24" x14ac:dyDescent="0.2">
      <c r="B4" s="5" t="s">
        <v>15</v>
      </c>
      <c r="C4" s="3">
        <v>43637</v>
      </c>
      <c r="D4" s="3">
        <v>38861</v>
      </c>
      <c r="E4" s="3">
        <v>37954</v>
      </c>
      <c r="F4" s="3">
        <v>40369</v>
      </c>
      <c r="G4" s="3">
        <v>42153</v>
      </c>
      <c r="H4" s="3">
        <v>40468</v>
      </c>
      <c r="I4" s="3">
        <v>40898</v>
      </c>
      <c r="J4" s="3">
        <v>40431</v>
      </c>
      <c r="K4" s="3">
        <v>41471</v>
      </c>
      <c r="L4" s="3">
        <v>44201</v>
      </c>
      <c r="M4" s="3">
        <v>27465</v>
      </c>
      <c r="N4" s="3">
        <v>34598</v>
      </c>
      <c r="O4" s="3">
        <v>48056</v>
      </c>
      <c r="P4" s="3">
        <v>51897</v>
      </c>
      <c r="Q4" s="3">
        <v>53406</v>
      </c>
      <c r="R4" s="3">
        <v>56831</v>
      </c>
      <c r="T4" s="3">
        <f>T3-T5</f>
        <v>59603.463319999995</v>
      </c>
      <c r="U4" s="3">
        <f t="shared" ref="U4:X4" si="5">U3-U5</f>
        <v>63716.102289079987</v>
      </c>
      <c r="V4" s="3">
        <f t="shared" si="5"/>
        <v>68112.513347026514</v>
      </c>
      <c r="W4" s="3">
        <f t="shared" si="5"/>
        <v>72812.276767971329</v>
      </c>
      <c r="X4" s="3">
        <f t="shared" si="5"/>
        <v>77836.323864961349</v>
      </c>
    </row>
    <row r="5" spans="1:24" x14ac:dyDescent="0.2">
      <c r="B5" s="5" t="s">
        <v>16</v>
      </c>
      <c r="C5" s="3">
        <v>15482</v>
      </c>
      <c r="D5" s="3">
        <v>13564</v>
      </c>
      <c r="E5" s="3">
        <v>14321</v>
      </c>
      <c r="F5" s="3">
        <v>15385</v>
      </c>
      <c r="G5" s="3">
        <v>15555</v>
      </c>
      <c r="H5" s="3">
        <v>16132</v>
      </c>
      <c r="I5" s="3">
        <v>17002</v>
      </c>
      <c r="J5" s="3">
        <v>15667</v>
      </c>
      <c r="K5" s="3">
        <v>15773</v>
      </c>
      <c r="L5" s="3">
        <v>15636</v>
      </c>
      <c r="M5" s="3">
        <v>7236</v>
      </c>
      <c r="N5" s="3">
        <v>10751</v>
      </c>
      <c r="O5" s="3">
        <v>8531</v>
      </c>
      <c r="P5" s="3">
        <v>12491</v>
      </c>
      <c r="Q5" s="3">
        <v>13668</v>
      </c>
      <c r="R5" s="3">
        <v>12089</v>
      </c>
      <c r="T5" s="3">
        <f>T3*T16</f>
        <v>14072.016679999999</v>
      </c>
      <c r="U5" s="3">
        <f t="shared" ref="U5:X5" si="6">U3*U16</f>
        <v>15042.985830919997</v>
      </c>
      <c r="V5" s="3">
        <f t="shared" si="6"/>
        <v>16080.951853253477</v>
      </c>
      <c r="W5" s="3">
        <f t="shared" si="6"/>
        <v>17190.537531127964</v>
      </c>
      <c r="X5" s="3">
        <f t="shared" si="6"/>
        <v>18376.684620775795</v>
      </c>
    </row>
    <row r="6" spans="1:24" x14ac:dyDescent="0.2">
      <c r="B6" s="5" t="s">
        <v>17</v>
      </c>
      <c r="C6" s="3">
        <v>7973</v>
      </c>
      <c r="D6" s="3">
        <v>7187</v>
      </c>
      <c r="E6" s="3">
        <v>7423</v>
      </c>
      <c r="F6" s="3">
        <v>7539</v>
      </c>
      <c r="G6" s="3">
        <v>7871</v>
      </c>
      <c r="H6" s="3">
        <v>7583</v>
      </c>
      <c r="I6" s="3">
        <v>7409</v>
      </c>
      <c r="J6" s="3">
        <v>8376</v>
      </c>
      <c r="K6" s="3">
        <v>7552</v>
      </c>
      <c r="L6" s="3">
        <v>7498</v>
      </c>
      <c r="M6" s="3">
        <v>4359</v>
      </c>
      <c r="N6" s="3">
        <v>5837</v>
      </c>
      <c r="O6" s="3">
        <v>10420</v>
      </c>
      <c r="P6" s="3">
        <v>7533</v>
      </c>
      <c r="Q6" s="3">
        <v>8254</v>
      </c>
      <c r="R6" s="3">
        <v>8528</v>
      </c>
      <c r="T6" s="3">
        <f>T5-T9</f>
        <v>8914.7330799999982</v>
      </c>
      <c r="U6" s="3">
        <f t="shared" ref="U6:X6" si="7">U5-U9</f>
        <v>9529.8496625199987</v>
      </c>
      <c r="V6" s="3">
        <f t="shared" si="7"/>
        <v>10187.409289233878</v>
      </c>
      <c r="W6" s="3">
        <f t="shared" si="7"/>
        <v>10890.340530191013</v>
      </c>
      <c r="X6" s="3">
        <f t="shared" si="7"/>
        <v>11641.774026774194</v>
      </c>
    </row>
    <row r="7" spans="1:24" x14ac:dyDescent="0.2">
      <c r="B7" s="5" t="s">
        <v>10</v>
      </c>
      <c r="C7" s="3">
        <v>6724</v>
      </c>
      <c r="D7" s="3">
        <v>6036</v>
      </c>
      <c r="E7" s="3">
        <v>5798</v>
      </c>
      <c r="F7" s="3">
        <v>6161</v>
      </c>
      <c r="G7" s="3">
        <v>6452</v>
      </c>
      <c r="H7" s="3">
        <v>6364</v>
      </c>
      <c r="I7" s="3">
        <v>6172</v>
      </c>
      <c r="J7" s="3">
        <v>6097</v>
      </c>
      <c r="K7" s="3">
        <v>5958</v>
      </c>
      <c r="L7" s="3">
        <v>6429</v>
      </c>
      <c r="M7" s="3">
        <v>2864</v>
      </c>
      <c r="N7" s="3">
        <v>3711</v>
      </c>
      <c r="O7" s="3">
        <v>5540</v>
      </c>
      <c r="P7" s="3">
        <v>5224</v>
      </c>
      <c r="Q7" s="3">
        <v>5663</v>
      </c>
      <c r="R7" s="3">
        <v>5809</v>
      </c>
      <c r="T7" s="3">
        <f>T6-T8</f>
        <v>5894.0383999999976</v>
      </c>
      <c r="U7" s="3">
        <f t="shared" ref="U7:X7" si="8">U6-U8</f>
        <v>6300.7270495999992</v>
      </c>
      <c r="V7" s="3">
        <f t="shared" si="8"/>
        <v>6735.4772160223984</v>
      </c>
      <c r="W7" s="3">
        <f t="shared" si="8"/>
        <v>7200.2251439279426</v>
      </c>
      <c r="X7" s="3">
        <f t="shared" si="8"/>
        <v>7697.0406788589708</v>
      </c>
    </row>
    <row r="8" spans="1:24" x14ac:dyDescent="0.2">
      <c r="B8" s="5" t="s">
        <v>11</v>
      </c>
      <c r="C8" s="3">
        <v>1771</v>
      </c>
      <c r="D8" s="3">
        <v>1558</v>
      </c>
      <c r="E8" s="3">
        <v>1656</v>
      </c>
      <c r="F8" s="3">
        <v>1951</v>
      </c>
      <c r="G8" s="3">
        <v>2371</v>
      </c>
      <c r="H8" s="3">
        <v>2342</v>
      </c>
      <c r="I8" s="3">
        <v>2475</v>
      </c>
      <c r="J8" s="3">
        <v>2279</v>
      </c>
      <c r="K8" s="3">
        <v>2376</v>
      </c>
      <c r="L8" s="3">
        <v>2427</v>
      </c>
      <c r="M8" s="3">
        <v>1878</v>
      </c>
      <c r="N8" s="3">
        <v>2452</v>
      </c>
      <c r="O8" s="3">
        <v>2582</v>
      </c>
      <c r="P8" s="3">
        <v>2732</v>
      </c>
      <c r="Q8" s="3">
        <v>2711</v>
      </c>
      <c r="R8" s="3">
        <v>2805</v>
      </c>
      <c r="T8" s="3">
        <f>T3*T20</f>
        <v>3020.6946800000001</v>
      </c>
      <c r="U8" s="3">
        <f t="shared" ref="U8:X8" si="9">U3*U20</f>
        <v>3229.1226129199995</v>
      </c>
      <c r="V8" s="3">
        <f t="shared" si="9"/>
        <v>3451.9320732114797</v>
      </c>
      <c r="W8" s="3">
        <f t="shared" si="9"/>
        <v>3690.1153862630713</v>
      </c>
      <c r="X8" s="3">
        <f t="shared" si="9"/>
        <v>3944.733347915223</v>
      </c>
    </row>
    <row r="9" spans="1:24" x14ac:dyDescent="0.2">
      <c r="B9" s="5" t="s">
        <v>18</v>
      </c>
      <c r="C9" s="3">
        <v>7509</v>
      </c>
      <c r="D9" s="3">
        <v>6377</v>
      </c>
      <c r="E9" s="3">
        <v>6898</v>
      </c>
      <c r="F9" s="3">
        <v>7846</v>
      </c>
      <c r="G9" s="3">
        <v>7684</v>
      </c>
      <c r="H9" s="3">
        <v>8549</v>
      </c>
      <c r="I9" s="3">
        <v>9593</v>
      </c>
      <c r="J9" s="3">
        <v>7291</v>
      </c>
      <c r="K9" s="3">
        <v>8221</v>
      </c>
      <c r="L9" s="3">
        <v>8138</v>
      </c>
      <c r="M9" s="3">
        <v>2877</v>
      </c>
      <c r="N9" s="3">
        <v>4914</v>
      </c>
      <c r="O9" s="3">
        <v>-1889</v>
      </c>
      <c r="P9" s="3">
        <v>4958</v>
      </c>
      <c r="Q9" s="3">
        <v>5414</v>
      </c>
      <c r="R9" s="3">
        <v>3561</v>
      </c>
      <c r="T9" s="3">
        <f>T3*T17</f>
        <v>5157.2835999999998</v>
      </c>
      <c r="U9" s="3">
        <f t="shared" ref="U9:X9" si="10">U3*U17</f>
        <v>5513.1361683999994</v>
      </c>
      <c r="V9" s="3">
        <f t="shared" si="10"/>
        <v>5893.5425640195999</v>
      </c>
      <c r="W9" s="3">
        <f t="shared" si="10"/>
        <v>6300.1970009369506</v>
      </c>
      <c r="X9" s="3">
        <f t="shared" si="10"/>
        <v>6734.9105940016007</v>
      </c>
    </row>
    <row r="10" spans="1:24" x14ac:dyDescent="0.2">
      <c r="B10" s="5" t="s">
        <v>12</v>
      </c>
      <c r="C10" s="3">
        <v>-573</v>
      </c>
      <c r="D10" s="3">
        <v>-617</v>
      </c>
      <c r="E10" s="3">
        <v>-650</v>
      </c>
      <c r="F10" s="3">
        <v>-496</v>
      </c>
      <c r="G10" s="3">
        <v>-773</v>
      </c>
      <c r="H10" s="3">
        <v>-895</v>
      </c>
      <c r="I10" s="3">
        <v>-881</v>
      </c>
      <c r="J10" s="3">
        <v>-824</v>
      </c>
      <c r="K10" s="3">
        <v>-1088</v>
      </c>
      <c r="L10" s="3">
        <v>-375</v>
      </c>
      <c r="M10" s="3">
        <v>-373</v>
      </c>
      <c r="N10" s="3">
        <v>-762</v>
      </c>
      <c r="O10" s="3">
        <v>-464</v>
      </c>
      <c r="P10" s="3">
        <v>-27</v>
      </c>
      <c r="Q10" s="3">
        <v>613</v>
      </c>
      <c r="R10" s="3">
        <v>275</v>
      </c>
      <c r="T10" s="3">
        <f>T3*T19</f>
        <v>294.70191999999997</v>
      </c>
      <c r="U10" s="3">
        <f t="shared" ref="U10:X10" si="11">U3*U19</f>
        <v>315.03635247999995</v>
      </c>
      <c r="V10" s="3">
        <f t="shared" si="11"/>
        <v>336.77386080111995</v>
      </c>
      <c r="W10" s="3">
        <f t="shared" si="11"/>
        <v>360.0112571963972</v>
      </c>
      <c r="X10" s="3">
        <f t="shared" si="11"/>
        <v>384.85203394294859</v>
      </c>
    </row>
    <row r="11" spans="1:24" x14ac:dyDescent="0.2">
      <c r="B11" s="5" t="s">
        <v>19</v>
      </c>
      <c r="C11" s="3">
        <v>6936</v>
      </c>
      <c r="D11" s="3">
        <v>5760</v>
      </c>
      <c r="E11" s="3">
        <v>6248</v>
      </c>
      <c r="F11" s="3">
        <v>7350</v>
      </c>
      <c r="G11" s="3">
        <v>6911</v>
      </c>
      <c r="H11" s="3">
        <v>7654</v>
      </c>
      <c r="I11" s="3">
        <v>8712</v>
      </c>
      <c r="J11" s="3">
        <v>6467</v>
      </c>
      <c r="K11" s="3">
        <v>7133</v>
      </c>
      <c r="L11" s="3">
        <v>7763</v>
      </c>
      <c r="M11" s="3">
        <v>2504</v>
      </c>
      <c r="N11" s="3">
        <v>4152</v>
      </c>
      <c r="O11" s="3">
        <v>-2353</v>
      </c>
      <c r="P11" s="3">
        <v>4931</v>
      </c>
      <c r="Q11" s="3">
        <v>6027</v>
      </c>
      <c r="R11" s="3">
        <v>3836</v>
      </c>
      <c r="T11" s="3">
        <f>T9+T10</f>
        <v>5451.9855200000002</v>
      </c>
      <c r="U11" s="3">
        <f t="shared" ref="U11:X11" si="12">U9+U10</f>
        <v>5828.172520879999</v>
      </c>
      <c r="V11" s="3">
        <f t="shared" si="12"/>
        <v>6230.3164248207195</v>
      </c>
      <c r="W11" s="3">
        <f t="shared" si="12"/>
        <v>6660.208258133348</v>
      </c>
      <c r="X11" s="3">
        <f t="shared" si="12"/>
        <v>7119.7626279445494</v>
      </c>
    </row>
    <row r="12" spans="1:24" x14ac:dyDescent="0.2">
      <c r="B12" s="5" t="s">
        <v>20</v>
      </c>
      <c r="C12" s="3">
        <v>1883</v>
      </c>
      <c r="D12" s="3">
        <v>1581</v>
      </c>
      <c r="E12" s="3">
        <v>1725</v>
      </c>
      <c r="F12" s="3">
        <v>2134</v>
      </c>
      <c r="G12" s="3">
        <v>1711</v>
      </c>
      <c r="H12" s="3">
        <v>1999</v>
      </c>
      <c r="I12" s="3">
        <v>2244</v>
      </c>
      <c r="J12" s="3">
        <v>2111</v>
      </c>
      <c r="K12" s="3">
        <v>1697</v>
      </c>
      <c r="L12" s="3">
        <v>2843</v>
      </c>
      <c r="M12" s="3">
        <v>1098</v>
      </c>
      <c r="N12" s="3">
        <v>421</v>
      </c>
      <c r="O12" s="3">
        <v>575</v>
      </c>
      <c r="P12" s="3">
        <v>786</v>
      </c>
      <c r="Q12" s="3">
        <v>700</v>
      </c>
      <c r="R12" s="3">
        <v>456</v>
      </c>
      <c r="T12" s="3">
        <f>T11*T18</f>
        <v>714.2101031200001</v>
      </c>
      <c r="U12" s="3">
        <f t="shared" ref="U12:X12" si="13">U11*U18</f>
        <v>763.49060023527989</v>
      </c>
      <c r="V12" s="3">
        <f t="shared" si="13"/>
        <v>816.1714516515143</v>
      </c>
      <c r="W12" s="3">
        <f t="shared" si="13"/>
        <v>872.48728181546858</v>
      </c>
      <c r="X12" s="3">
        <f t="shared" si="13"/>
        <v>932.68890426073597</v>
      </c>
    </row>
    <row r="13" spans="1:24" x14ac:dyDescent="0.2">
      <c r="B13" s="5" t="s">
        <v>13</v>
      </c>
      <c r="C13" s="3">
        <v>5053</v>
      </c>
      <c r="D13" s="3">
        <v>4179</v>
      </c>
      <c r="E13" s="3">
        <v>4711</v>
      </c>
      <c r="F13" s="3">
        <v>5374</v>
      </c>
      <c r="G13" s="3">
        <v>5490</v>
      </c>
      <c r="H13" s="3">
        <v>6109</v>
      </c>
      <c r="I13" s="3">
        <v>6623</v>
      </c>
      <c r="J13" s="3">
        <v>7966</v>
      </c>
      <c r="K13" s="3">
        <v>5416</v>
      </c>
      <c r="L13" s="3">
        <v>4920</v>
      </c>
      <c r="M13" s="3">
        <v>5654</v>
      </c>
      <c r="N13" s="3">
        <v>5948</v>
      </c>
      <c r="O13" s="3">
        <v>-3295</v>
      </c>
      <c r="P13" s="3">
        <v>4112</v>
      </c>
      <c r="Q13" s="3">
        <v>5308</v>
      </c>
      <c r="R13" s="3">
        <v>3380</v>
      </c>
      <c r="T13" s="3">
        <f>T11-T12</f>
        <v>4737.7754168800002</v>
      </c>
      <c r="U13" s="3">
        <f t="shared" ref="U13:X13" si="14">U11-U12</f>
        <v>5064.681920644719</v>
      </c>
      <c r="V13" s="3">
        <f t="shared" si="14"/>
        <v>5414.1449731692055</v>
      </c>
      <c r="W13" s="3">
        <f t="shared" si="14"/>
        <v>5787.7209763178798</v>
      </c>
      <c r="X13" s="3">
        <f t="shared" si="14"/>
        <v>6187.0737236838131</v>
      </c>
    </row>
    <row r="14" spans="1:24" x14ac:dyDescent="0.2">
      <c r="B14" s="6"/>
      <c r="S14" s="1" t="s">
        <v>32</v>
      </c>
    </row>
    <row r="15" spans="1:24" x14ac:dyDescent="0.2">
      <c r="B15" s="6" t="s">
        <v>21</v>
      </c>
      <c r="D15" s="7">
        <f>(D3/C3)-1</f>
        <v>-0.11322924947986268</v>
      </c>
      <c r="E15" s="7">
        <f t="shared" ref="E15:R15" si="15">(E3/D3)-1</f>
        <v>-2.8612303290415086E-3</v>
      </c>
      <c r="F15" s="7">
        <f t="shared" si="15"/>
        <v>6.6551889048302337E-2</v>
      </c>
      <c r="G15" s="7">
        <f t="shared" si="15"/>
        <v>3.5046812784732984E-2</v>
      </c>
      <c r="H15" s="7">
        <f t="shared" si="15"/>
        <v>-1.9200110903167644E-2</v>
      </c>
      <c r="I15" s="7">
        <f t="shared" si="15"/>
        <v>2.2968197879858598E-2</v>
      </c>
      <c r="J15" s="7">
        <f t="shared" si="15"/>
        <v>-3.1122625215889488E-2</v>
      </c>
      <c r="K15" s="7">
        <f t="shared" si="15"/>
        <v>2.0428535776676471E-2</v>
      </c>
      <c r="L15" s="7">
        <f t="shared" si="15"/>
        <v>4.5297323736985584E-2</v>
      </c>
      <c r="M15" s="7">
        <f t="shared" si="15"/>
        <v>-0.42007453582231724</v>
      </c>
      <c r="N15" s="7">
        <f t="shared" si="15"/>
        <v>0.30684994668741528</v>
      </c>
      <c r="O15" s="7">
        <f t="shared" si="15"/>
        <v>0.24781141811285812</v>
      </c>
      <c r="P15" s="7">
        <f t="shared" si="15"/>
        <v>0.1378585187410537</v>
      </c>
      <c r="Q15" s="7">
        <f t="shared" si="15"/>
        <v>4.1715847673479578E-2</v>
      </c>
      <c r="R15" s="7">
        <f t="shared" si="15"/>
        <v>2.7521841548140857E-2</v>
      </c>
      <c r="S15" s="11">
        <f>AVERAGE(P15:R15)</f>
        <v>6.9032069320891384E-2</v>
      </c>
      <c r="T15" s="12">
        <v>6.9000000000000006E-2</v>
      </c>
      <c r="U15" s="12">
        <v>6.9000000000000006E-2</v>
      </c>
      <c r="V15" s="12">
        <v>6.9000000000000006E-2</v>
      </c>
      <c r="W15" s="12">
        <v>6.9000000000000006E-2</v>
      </c>
      <c r="X15" s="12">
        <v>6.9000000000000006E-2</v>
      </c>
    </row>
    <row r="16" spans="1:24" x14ac:dyDescent="0.2">
      <c r="B16" s="6" t="s">
        <v>22</v>
      </c>
      <c r="C16" s="7">
        <f>C5/C3</f>
        <v>0.2618785838732049</v>
      </c>
      <c r="D16" s="7">
        <f>D5/D3</f>
        <v>0.25873152122079163</v>
      </c>
      <c r="E16" s="7">
        <f t="shared" ref="E16:R16" si="16">E5/E3</f>
        <v>0.27395504543280724</v>
      </c>
      <c r="F16" s="7">
        <f t="shared" si="16"/>
        <v>0.2759443268644402</v>
      </c>
      <c r="G16" s="7">
        <f t="shared" si="16"/>
        <v>0.26954668330214182</v>
      </c>
      <c r="H16" s="7">
        <f t="shared" si="16"/>
        <v>0.28501766784452298</v>
      </c>
      <c r="I16" s="7">
        <f t="shared" si="16"/>
        <v>0.29364421416234887</v>
      </c>
      <c r="J16" s="7">
        <f t="shared" si="16"/>
        <v>0.27927911868515809</v>
      </c>
      <c r="K16" s="7">
        <f t="shared" si="16"/>
        <v>0.27553979456362238</v>
      </c>
      <c r="L16" s="7">
        <f t="shared" si="16"/>
        <v>0.26130989187292142</v>
      </c>
      <c r="M16" s="7">
        <f t="shared" si="16"/>
        <v>0.20852425002161321</v>
      </c>
      <c r="N16" s="7">
        <f t="shared" si="16"/>
        <v>0.23707248230390968</v>
      </c>
      <c r="O16" s="7">
        <f t="shared" si="16"/>
        <v>0.15075900825277891</v>
      </c>
      <c r="P16" s="7">
        <f t="shared" si="16"/>
        <v>0.19399577561036219</v>
      </c>
      <c r="Q16" s="7">
        <f t="shared" si="16"/>
        <v>0.20377493514625639</v>
      </c>
      <c r="R16" s="7">
        <f t="shared" si="16"/>
        <v>0.17540626813697041</v>
      </c>
      <c r="S16" s="11">
        <f t="shared" ref="S16:S20" si="17">AVERAGE(P16:R16)</f>
        <v>0.19105899296452966</v>
      </c>
      <c r="T16" s="12">
        <v>0.191</v>
      </c>
      <c r="U16" s="12">
        <v>0.191</v>
      </c>
      <c r="V16" s="12">
        <v>0.191</v>
      </c>
      <c r="W16" s="12">
        <v>0.191</v>
      </c>
      <c r="X16" s="12">
        <v>0.191</v>
      </c>
    </row>
    <row r="17" spans="1:24" x14ac:dyDescent="0.2">
      <c r="B17" s="6" t="s">
        <v>23</v>
      </c>
      <c r="C17" s="7">
        <f>C9/C3</f>
        <v>0.12701500363673268</v>
      </c>
      <c r="D17" s="7">
        <f>D9/D3</f>
        <v>0.12164043872198378</v>
      </c>
      <c r="E17" s="7">
        <f t="shared" ref="E17:R17" si="18">E9/E3</f>
        <v>0.13195600191296031</v>
      </c>
      <c r="F17" s="7">
        <f t="shared" si="18"/>
        <v>0.14072532912436775</v>
      </c>
      <c r="G17" s="7">
        <f t="shared" si="18"/>
        <v>0.13315311568586677</v>
      </c>
      <c r="H17" s="7">
        <f t="shared" si="18"/>
        <v>0.15104240282685513</v>
      </c>
      <c r="I17" s="7">
        <f t="shared" si="18"/>
        <v>0.16568221070811745</v>
      </c>
      <c r="J17" s="7">
        <f t="shared" si="18"/>
        <v>0.12996898285143854</v>
      </c>
      <c r="K17" s="7">
        <f t="shared" si="18"/>
        <v>0.14361330445112153</v>
      </c>
      <c r="L17" s="7">
        <f t="shared" si="18"/>
        <v>0.13600280762738773</v>
      </c>
      <c r="M17" s="7">
        <f t="shared" si="18"/>
        <v>8.290827353678569E-2</v>
      </c>
      <c r="N17" s="7">
        <f t="shared" si="18"/>
        <v>0.10835961101678096</v>
      </c>
      <c r="O17" s="7">
        <f t="shared" si="18"/>
        <v>-3.3382225599519325E-2</v>
      </c>
      <c r="P17" s="7">
        <f t="shared" si="18"/>
        <v>7.7001925824687831E-2</v>
      </c>
      <c r="Q17" s="7">
        <f t="shared" si="18"/>
        <v>8.0716820228404443E-2</v>
      </c>
      <c r="R17" s="7">
        <f t="shared" si="18"/>
        <v>5.1668601276842717E-2</v>
      </c>
      <c r="S17" s="11">
        <f t="shared" si="17"/>
        <v>6.9795782443311666E-2</v>
      </c>
      <c r="T17" s="12">
        <v>7.0000000000000007E-2</v>
      </c>
      <c r="U17" s="12">
        <v>7.0000000000000007E-2</v>
      </c>
      <c r="V17" s="12">
        <v>7.0000000000000007E-2</v>
      </c>
      <c r="W17" s="12">
        <v>7.0000000000000007E-2</v>
      </c>
      <c r="X17" s="12">
        <v>7.0000000000000007E-2</v>
      </c>
    </row>
    <row r="18" spans="1:24" x14ac:dyDescent="0.2">
      <c r="B18" s="6" t="s">
        <v>24</v>
      </c>
      <c r="C18" s="7">
        <f>C12/C11</f>
        <v>0.27148212226066898</v>
      </c>
      <c r="D18" s="7">
        <f>D12/D11</f>
        <v>0.27447916666666666</v>
      </c>
      <c r="E18" s="7">
        <f t="shared" ref="E18:R18" si="19">E12/E11</f>
        <v>0.27608834827144685</v>
      </c>
      <c r="F18" s="7">
        <f t="shared" si="19"/>
        <v>0.29034013605442177</v>
      </c>
      <c r="G18" s="7">
        <f t="shared" si="19"/>
        <v>0.24757632759369122</v>
      </c>
      <c r="H18" s="7">
        <f t="shared" si="19"/>
        <v>0.26117062973608568</v>
      </c>
      <c r="I18" s="7">
        <f t="shared" si="19"/>
        <v>0.25757575757575757</v>
      </c>
      <c r="J18" s="7">
        <f t="shared" si="19"/>
        <v>0.32642647286222359</v>
      </c>
      <c r="K18" s="7">
        <f t="shared" si="19"/>
        <v>0.23790831347259217</v>
      </c>
      <c r="L18" s="7">
        <f t="shared" si="19"/>
        <v>0.36622439778436172</v>
      </c>
      <c r="M18" s="7">
        <f t="shared" si="19"/>
        <v>0.43849840255591055</v>
      </c>
      <c r="N18" s="7">
        <f t="shared" si="19"/>
        <v>0.10139691714836223</v>
      </c>
      <c r="O18" s="7">
        <f t="shared" si="19"/>
        <v>-0.24436889077773055</v>
      </c>
      <c r="P18" s="7">
        <f t="shared" si="19"/>
        <v>0.15939971608193065</v>
      </c>
      <c r="Q18" s="7">
        <f t="shared" si="19"/>
        <v>0.11614401858304298</v>
      </c>
      <c r="R18" s="7">
        <f t="shared" si="19"/>
        <v>0.11887382690302398</v>
      </c>
      <c r="S18" s="11">
        <f t="shared" si="17"/>
        <v>0.13147252052266586</v>
      </c>
      <c r="T18" s="12">
        <v>0.13100000000000001</v>
      </c>
      <c r="U18" s="12">
        <v>0.13100000000000001</v>
      </c>
      <c r="V18" s="12">
        <v>0.13100000000000001</v>
      </c>
      <c r="W18" s="12">
        <v>0.13100000000000001</v>
      </c>
      <c r="X18" s="12">
        <v>0.13100000000000001</v>
      </c>
    </row>
    <row r="19" spans="1:24" x14ac:dyDescent="0.2">
      <c r="B19" s="1" t="s">
        <v>25</v>
      </c>
      <c r="C19" s="7">
        <f>C10/C3</f>
        <v>-9.6923154992472806E-3</v>
      </c>
      <c r="D19" s="7">
        <f>D10/D3</f>
        <v>-1.1769194086790653E-2</v>
      </c>
      <c r="E19" s="7">
        <f t="shared" ref="E19:R19" si="20">E10/E3</f>
        <v>-1.2434241989478718E-2</v>
      </c>
      <c r="F19" s="7">
        <f t="shared" si="20"/>
        <v>-8.8962226925422393E-3</v>
      </c>
      <c r="G19" s="7">
        <f t="shared" si="20"/>
        <v>-1.3395023220350731E-2</v>
      </c>
      <c r="H19" s="7">
        <f t="shared" si="20"/>
        <v>-1.5812720848056537E-2</v>
      </c>
      <c r="I19" s="7">
        <f t="shared" si="20"/>
        <v>-1.5215889464594129E-2</v>
      </c>
      <c r="J19" s="7">
        <f t="shared" si="20"/>
        <v>-1.4688580698064103E-2</v>
      </c>
      <c r="K19" s="7">
        <f t="shared" si="20"/>
        <v>-1.9006358745021313E-2</v>
      </c>
      <c r="L19" s="7">
        <f t="shared" si="20"/>
        <v>-6.2670254190550995E-3</v>
      </c>
      <c r="M19" s="7">
        <f t="shared" si="20"/>
        <v>-1.0748969770323621E-2</v>
      </c>
      <c r="N19" s="7">
        <f t="shared" si="20"/>
        <v>-1.6803016604555777E-2</v>
      </c>
      <c r="O19" s="7">
        <f t="shared" si="20"/>
        <v>-8.1997631964938946E-3</v>
      </c>
      <c r="P19" s="7">
        <f t="shared" si="20"/>
        <v>-4.1933279493073242E-4</v>
      </c>
      <c r="Q19" s="7">
        <f t="shared" si="20"/>
        <v>9.1391597340251072E-3</v>
      </c>
      <c r="R19" s="7">
        <f t="shared" si="20"/>
        <v>3.9901334881021471E-3</v>
      </c>
      <c r="S19" s="11">
        <f t="shared" si="17"/>
        <v>4.2366534757321741E-3</v>
      </c>
      <c r="T19" s="12">
        <v>4.0000000000000001E-3</v>
      </c>
      <c r="U19" s="12">
        <v>4.0000000000000001E-3</v>
      </c>
      <c r="V19" s="12">
        <v>4.0000000000000001E-3</v>
      </c>
      <c r="W19" s="12">
        <v>4.0000000000000001E-3</v>
      </c>
      <c r="X19" s="12">
        <v>4.0000000000000001E-3</v>
      </c>
    </row>
    <row r="20" spans="1:24" x14ac:dyDescent="0.2">
      <c r="B20" s="1" t="s">
        <v>26</v>
      </c>
      <c r="C20" s="7">
        <f>C8/C3</f>
        <v>2.9956528358057476E-2</v>
      </c>
      <c r="D20" s="7">
        <f>D8/D3</f>
        <v>2.9718645684310919E-2</v>
      </c>
      <c r="E20" s="7">
        <f t="shared" ref="E20:R20" si="21">E8/E3</f>
        <v>3.1678622668579626E-2</v>
      </c>
      <c r="F20" s="7">
        <f t="shared" si="21"/>
        <v>3.4993004986189333E-2</v>
      </c>
      <c r="G20" s="7">
        <f t="shared" si="21"/>
        <v>4.1086157898384976E-2</v>
      </c>
      <c r="H20" s="7">
        <f t="shared" si="21"/>
        <v>4.1378091872791518E-2</v>
      </c>
      <c r="I20" s="7">
        <f t="shared" si="21"/>
        <v>4.2746113989637305E-2</v>
      </c>
      <c r="J20" s="7">
        <f t="shared" si="21"/>
        <v>4.0625334236514668E-2</v>
      </c>
      <c r="K20" s="7">
        <f t="shared" si="21"/>
        <v>4.1506533435818602E-2</v>
      </c>
      <c r="L20" s="7">
        <f t="shared" si="21"/>
        <v>4.0560188512124604E-2</v>
      </c>
      <c r="M20" s="7">
        <f t="shared" si="21"/>
        <v>5.4119477824846544E-2</v>
      </c>
      <c r="N20" s="7">
        <f t="shared" si="21"/>
        <v>5.4069549493924896E-2</v>
      </c>
      <c r="O20" s="7">
        <f t="shared" si="21"/>
        <v>4.5628854683938007E-2</v>
      </c>
      <c r="P20" s="7">
        <f t="shared" si="21"/>
        <v>4.2430266509287447E-2</v>
      </c>
      <c r="Q20" s="7">
        <f t="shared" si="21"/>
        <v>4.0418045740525391E-2</v>
      </c>
      <c r="R20" s="7">
        <f t="shared" si="21"/>
        <v>4.0699361578641902E-2</v>
      </c>
      <c r="S20" s="11">
        <f t="shared" si="17"/>
        <v>4.1182557942818249E-2</v>
      </c>
      <c r="T20" s="12">
        <v>4.1000000000000002E-2</v>
      </c>
      <c r="U20" s="12">
        <v>4.1000000000000002E-2</v>
      </c>
      <c r="V20" s="12">
        <v>4.1000000000000002E-2</v>
      </c>
      <c r="W20" s="12">
        <v>4.1000000000000002E-2</v>
      </c>
      <c r="X20" s="12">
        <v>4.1000000000000002E-2</v>
      </c>
    </row>
    <row r="22" spans="1:24" s="3" customFormat="1" x14ac:dyDescent="0.2">
      <c r="A22" s="1"/>
      <c r="B22" s="1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>
        <v>4557</v>
      </c>
      <c r="Q22" s="3">
        <v>4108</v>
      </c>
      <c r="R22" s="3">
        <v>4211</v>
      </c>
      <c r="T22" s="3">
        <f>T3*T23</f>
        <v>4494.2042799999999</v>
      </c>
      <c r="U22" s="3">
        <f t="shared" ref="U22:X22" si="22">U3*U23</f>
        <v>4804.3043753199991</v>
      </c>
      <c r="V22" s="3">
        <f t="shared" si="22"/>
        <v>5135.8013772170789</v>
      </c>
      <c r="W22" s="3">
        <f t="shared" si="22"/>
        <v>5490.1716722450565</v>
      </c>
      <c r="X22" s="3">
        <f t="shared" si="22"/>
        <v>5868.993517629965</v>
      </c>
    </row>
    <row r="23" spans="1:24" s="12" customFormat="1" x14ac:dyDescent="0.2">
      <c r="A23" s="1"/>
      <c r="B23" s="1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2">
        <f t="shared" ref="P23:Q23" si="23">P22/P3</f>
        <v>7.0774057277753613E-2</v>
      </c>
      <c r="Q23" s="12">
        <f t="shared" si="23"/>
        <v>6.124578823389093E-2</v>
      </c>
      <c r="R23" s="12">
        <f>R22/R3</f>
        <v>6.1099825885084155E-2</v>
      </c>
      <c r="T23" s="12">
        <v>6.0999999999999999E-2</v>
      </c>
      <c r="U23" s="12">
        <v>6.0999999999999999E-2</v>
      </c>
      <c r="V23" s="12">
        <v>6.0999999999999999E-2</v>
      </c>
      <c r="W23" s="12">
        <v>6.0999999999999999E-2</v>
      </c>
      <c r="X23" s="12">
        <v>6.0999999999999999E-2</v>
      </c>
    </row>
    <row r="24" spans="1:24" s="3" customFormat="1" x14ac:dyDescent="0.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3">
        <f>9108+11534+10617+4964-9896-2401-10999-14598</f>
        <v>-1671</v>
      </c>
      <c r="R24" s="3">
        <f>10838+12139+11777+7076-10698-2491-14917-17183</f>
        <v>-3459</v>
      </c>
      <c r="T24" s="3">
        <f>T3*T25</f>
        <v>-3683.7739999999999</v>
      </c>
      <c r="U24" s="3">
        <f t="shared" ref="U24:X24" si="24">U3*U25</f>
        <v>-3937.9544059999994</v>
      </c>
      <c r="V24" s="3">
        <f t="shared" si="24"/>
        <v>-4209.6732600139994</v>
      </c>
      <c r="W24" s="3">
        <f t="shared" si="24"/>
        <v>-4500.140714954965</v>
      </c>
      <c r="X24" s="3">
        <f t="shared" si="24"/>
        <v>-4810.6504242868568</v>
      </c>
    </row>
    <row r="25" spans="1:24" s="12" customFormat="1" x14ac:dyDescent="0.2">
      <c r="A25" s="1"/>
      <c r="B25" s="1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2">
        <f>Q24/Q3</f>
        <v>-2.491278289650237E-2</v>
      </c>
      <c r="R25" s="12">
        <f>R24/R3</f>
        <v>-5.0188624492164831E-2</v>
      </c>
      <c r="T25" s="12">
        <v>-0.05</v>
      </c>
      <c r="U25" s="12">
        <v>-0.05</v>
      </c>
      <c r="V25" s="12">
        <v>-0.05</v>
      </c>
      <c r="W25" s="12">
        <v>-0.05</v>
      </c>
      <c r="X25" s="12">
        <v>-0.05</v>
      </c>
    </row>
    <row r="26" spans="1:24" x14ac:dyDescent="0.2">
      <c r="B26" s="1" t="s">
        <v>30</v>
      </c>
      <c r="R26" s="10">
        <f>Q24-R24</f>
        <v>1788</v>
      </c>
      <c r="T26" s="10">
        <f>R24-T24</f>
        <v>224.77399999999989</v>
      </c>
      <c r="U26" s="10">
        <f t="shared" ref="U26:X26" si="25">T24-U24</f>
        <v>254.18040599999949</v>
      </c>
      <c r="V26" s="10">
        <f t="shared" si="25"/>
        <v>271.71885401400004</v>
      </c>
      <c r="W26" s="10">
        <f t="shared" si="25"/>
        <v>290.46745494096558</v>
      </c>
      <c r="X26" s="10">
        <f t="shared" si="25"/>
        <v>310.50970933189183</v>
      </c>
    </row>
    <row r="27" spans="1:24" s="3" customFormat="1" x14ac:dyDescent="0.2">
      <c r="A27" s="1"/>
      <c r="B27" s="1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>
        <v>2134</v>
      </c>
      <c r="Q27" s="3">
        <v>2288</v>
      </c>
      <c r="R27" s="3">
        <v>2415</v>
      </c>
      <c r="T27" s="3">
        <f>T3*T28</f>
        <v>2578.6417999999999</v>
      </c>
      <c r="U27" s="3">
        <f t="shared" ref="U27:X27" si="26">U3*U28</f>
        <v>2756.5680841999997</v>
      </c>
      <c r="V27" s="3">
        <f t="shared" si="26"/>
        <v>2946.7712820098</v>
      </c>
      <c r="W27" s="3">
        <f t="shared" si="26"/>
        <v>3150.0985004684753</v>
      </c>
      <c r="X27" s="3">
        <f t="shared" si="26"/>
        <v>3367.4552970008003</v>
      </c>
    </row>
    <row r="28" spans="1:24" s="12" customFormat="1" x14ac:dyDescent="0.2">
      <c r="A28" s="1"/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2">
        <f t="shared" ref="P28:Q28" si="27">P27/P3</f>
        <v>3.3142821643784556E-2</v>
      </c>
      <c r="Q28" s="12">
        <f t="shared" si="27"/>
        <v>3.4111578256850641E-2</v>
      </c>
      <c r="R28" s="12">
        <f>R27/R3</f>
        <v>3.5040626813697039E-2</v>
      </c>
      <c r="T28" s="12">
        <v>3.5000000000000003E-2</v>
      </c>
      <c r="U28" s="12">
        <v>3.5000000000000003E-2</v>
      </c>
      <c r="V28" s="12">
        <v>3.5000000000000003E-2</v>
      </c>
      <c r="W28" s="12">
        <v>3.5000000000000003E-2</v>
      </c>
      <c r="X28" s="12">
        <v>3.5000000000000003E-2</v>
      </c>
    </row>
    <row r="30" spans="1:24" x14ac:dyDescent="0.2">
      <c r="B30" s="1" t="s">
        <v>9</v>
      </c>
      <c r="P30" s="3">
        <f>P9</f>
        <v>4958</v>
      </c>
      <c r="Q30" s="3">
        <f t="shared" ref="Q30:X30" si="28">Q9</f>
        <v>5414</v>
      </c>
      <c r="R30" s="3">
        <f t="shared" si="28"/>
        <v>3561</v>
      </c>
      <c r="S30" s="3"/>
      <c r="T30" s="3">
        <f t="shared" si="28"/>
        <v>5157.2835999999998</v>
      </c>
      <c r="U30" s="3">
        <f t="shared" si="28"/>
        <v>5513.1361683999994</v>
      </c>
      <c r="V30" s="3">
        <f t="shared" si="28"/>
        <v>5893.5425640195999</v>
      </c>
      <c r="W30" s="3">
        <f t="shared" si="28"/>
        <v>6300.1970009369506</v>
      </c>
      <c r="X30" s="3">
        <f t="shared" si="28"/>
        <v>6734.9105940016007</v>
      </c>
    </row>
    <row r="31" spans="1:24" x14ac:dyDescent="0.2">
      <c r="B31" s="1" t="s">
        <v>33</v>
      </c>
      <c r="P31" s="3">
        <f>P30*P18</f>
        <v>790.30379233421218</v>
      </c>
      <c r="Q31" s="3">
        <f t="shared" ref="Q31:X31" si="29">Q30*Q18</f>
        <v>628.80371660859464</v>
      </c>
      <c r="R31" s="3">
        <f t="shared" si="29"/>
        <v>423.3096976016684</v>
      </c>
      <c r="S31" s="3"/>
      <c r="T31" s="3">
        <f t="shared" si="29"/>
        <v>675.60415160000002</v>
      </c>
      <c r="U31" s="3">
        <f t="shared" si="29"/>
        <v>722.22083806039996</v>
      </c>
      <c r="V31" s="3">
        <f t="shared" si="29"/>
        <v>772.0540758865676</v>
      </c>
      <c r="W31" s="3">
        <f t="shared" si="29"/>
        <v>825.32580712274057</v>
      </c>
      <c r="X31" s="3">
        <f t="shared" si="29"/>
        <v>882.27328781420977</v>
      </c>
    </row>
    <row r="32" spans="1:24" x14ac:dyDescent="0.2">
      <c r="B32" s="1" t="s">
        <v>34</v>
      </c>
      <c r="P32" s="3">
        <f>P30-P31</f>
        <v>4167.6962076657874</v>
      </c>
      <c r="Q32" s="3">
        <f t="shared" ref="Q32:X32" si="30">Q30-Q31</f>
        <v>4785.1962833914058</v>
      </c>
      <c r="R32" s="3">
        <f t="shared" si="30"/>
        <v>3137.6903023983314</v>
      </c>
      <c r="S32" s="3"/>
      <c r="T32" s="3">
        <f t="shared" si="30"/>
        <v>4481.6794484000002</v>
      </c>
      <c r="U32" s="3">
        <f t="shared" si="30"/>
        <v>4790.9153303395997</v>
      </c>
      <c r="V32" s="3">
        <f t="shared" si="30"/>
        <v>5121.4884881330327</v>
      </c>
      <c r="W32" s="3">
        <f t="shared" si="30"/>
        <v>5474.8711938142096</v>
      </c>
      <c r="X32" s="3">
        <f t="shared" si="30"/>
        <v>5852.637306187391</v>
      </c>
    </row>
    <row r="33" spans="2:24" ht="15" x14ac:dyDescent="0.25">
      <c r="B33" s="13" t="s">
        <v>35</v>
      </c>
      <c r="T33" s="14">
        <f>T32+T22+T26-T27</f>
        <v>6622.0159284000001</v>
      </c>
      <c r="U33" s="14">
        <f t="shared" ref="U33:X33" si="31">U32+U22+U26-U27</f>
        <v>7092.8320274595972</v>
      </c>
      <c r="V33" s="14">
        <f t="shared" si="31"/>
        <v>7582.2374373543098</v>
      </c>
      <c r="W33" s="14">
        <f t="shared" si="31"/>
        <v>8105.4118205317554</v>
      </c>
      <c r="X33" s="14">
        <f t="shared" si="31"/>
        <v>8664.6852361484453</v>
      </c>
    </row>
    <row r="35" spans="2:24" x14ac:dyDescent="0.2">
      <c r="B35" s="1" t="s">
        <v>36</v>
      </c>
      <c r="P35" s="2">
        <f ca="1">TODAY()</f>
        <v>45559</v>
      </c>
    </row>
    <row r="36" spans="2:24" x14ac:dyDescent="0.2">
      <c r="B36" s="1" t="s">
        <v>37</v>
      </c>
      <c r="P36" s="7">
        <f ca="1">(T1-v)/365</f>
        <v>0.26849315068493151</v>
      </c>
    </row>
    <row r="37" spans="2:24" x14ac:dyDescent="0.2">
      <c r="B37" s="1" t="s">
        <v>38</v>
      </c>
      <c r="P37" s="7">
        <v>0.08</v>
      </c>
    </row>
    <row r="38" spans="2:24" x14ac:dyDescent="0.2">
      <c r="B38" s="1" t="s">
        <v>39</v>
      </c>
      <c r="P38" s="7">
        <v>0.02</v>
      </c>
    </row>
    <row r="40" spans="2:24" ht="15" x14ac:dyDescent="0.25">
      <c r="B40" s="13" t="s">
        <v>40</v>
      </c>
      <c r="T40" s="15">
        <f ca="1">P36*T33/(1+d)^((T1-v)/365)</f>
        <v>1741.6038772124557</v>
      </c>
      <c r="U40" s="15">
        <f ca="1">U33/(1+d)^((U1-v)/365)</f>
        <v>6433.1232221283108</v>
      </c>
      <c r="V40" s="15">
        <f ca="1">V33/(1+d)^((V1-v)/365)</f>
        <v>6367.6006707918186</v>
      </c>
      <c r="W40" s="15">
        <f ca="1">W33/(1+d)^((W1-v)/365)</f>
        <v>6302.7454787744937</v>
      </c>
      <c r="X40" s="15">
        <f ca="1">X33/(1+d)^((X1-v)/365)</f>
        <v>6237.2355755985454</v>
      </c>
    </row>
    <row r="42" spans="2:24" ht="15" x14ac:dyDescent="0.25">
      <c r="B42" s="1" t="s">
        <v>41</v>
      </c>
      <c r="P42" s="3">
        <f>X33*(1+d)</f>
        <v>9357.8600550403207</v>
      </c>
      <c r="U42" s="20" t="s">
        <v>49</v>
      </c>
      <c r="V42" s="20"/>
      <c r="W42" s="20"/>
    </row>
    <row r="43" spans="2:24" x14ac:dyDescent="0.2">
      <c r="B43" s="1" t="s">
        <v>42</v>
      </c>
      <c r="P43" s="3">
        <f>P42/(d-g)</f>
        <v>155964.33425067202</v>
      </c>
      <c r="S43" s="19">
        <f ca="1">P50</f>
        <v>132.8156437942952</v>
      </c>
      <c r="T43" s="17">
        <v>7.0000000000000007E-2</v>
      </c>
      <c r="U43" s="17">
        <v>7.4999999999999997E-2</v>
      </c>
      <c r="V43" s="17">
        <v>0.08</v>
      </c>
      <c r="W43" s="17">
        <v>8.5000000000000006E-2</v>
      </c>
      <c r="X43" s="17">
        <v>0.09</v>
      </c>
    </row>
    <row r="44" spans="2:24" x14ac:dyDescent="0.2">
      <c r="B44" s="1" t="s">
        <v>43</v>
      </c>
      <c r="P44" s="3">
        <f ca="1">P43/(1+d)^((X1-v)/365)</f>
        <v>112270.24036077382</v>
      </c>
      <c r="S44" s="18">
        <v>-0.01</v>
      </c>
      <c r="T44" s="9">
        <f t="dataTable" ref="T44:X48" dt2D="1" dtr="1" r1="P37" r2="P38" ca="1"/>
        <v>114.17090413232064</v>
      </c>
      <c r="U44" s="9">
        <v>109.15088911100645</v>
      </c>
      <c r="V44" s="9">
        <v>104.68279439385567</v>
      </c>
      <c r="W44" s="9">
        <v>100.67972655160555</v>
      </c>
      <c r="X44" s="9">
        <v>97.072160907257995</v>
      </c>
    </row>
    <row r="45" spans="2:24" x14ac:dyDescent="0.2">
      <c r="B45" s="1" t="s">
        <v>44</v>
      </c>
      <c r="P45" s="3">
        <f ca="1">SUM(T40:X40)</f>
        <v>27082.308824505624</v>
      </c>
      <c r="S45" s="18">
        <v>0.01</v>
      </c>
      <c r="T45" s="9">
        <v>135.92247832600933</v>
      </c>
      <c r="U45" s="9">
        <v>127.76217698523568</v>
      </c>
      <c r="V45" s="9">
        <v>120.75870833696395</v>
      </c>
      <c r="W45" s="9">
        <v>114.68105736428643</v>
      </c>
      <c r="X45" s="9">
        <v>109.35594946938608</v>
      </c>
    </row>
    <row r="46" spans="2:24" ht="15" x14ac:dyDescent="0.25">
      <c r="B46" s="1" t="s">
        <v>45</v>
      </c>
      <c r="P46" s="3">
        <f ca="1">P44+P45</f>
        <v>139352.54918527944</v>
      </c>
      <c r="S46" s="18">
        <v>0.02</v>
      </c>
      <c r="T46" s="9">
        <v>153.32373768096031</v>
      </c>
      <c r="U46" s="9">
        <v>142.14362670623106</v>
      </c>
      <c r="V46" s="21">
        <v>132.8156437942952</v>
      </c>
      <c r="W46" s="9">
        <v>124.9127991120148</v>
      </c>
      <c r="X46" s="9">
        <v>118.13008415662046</v>
      </c>
    </row>
    <row r="47" spans="2:24" x14ac:dyDescent="0.2">
      <c r="B47" s="1" t="s">
        <v>4</v>
      </c>
      <c r="P47" s="3">
        <f>Cash</f>
        <v>6011</v>
      </c>
      <c r="S47" s="18">
        <v>2.5000000000000001E-2</v>
      </c>
      <c r="T47" s="9">
        <v>164.92457725092763</v>
      </c>
      <c r="U47" s="9">
        <v>151.49156902487803</v>
      </c>
      <c r="V47" s="9">
        <v>140.48823908532415</v>
      </c>
      <c r="W47" s="9">
        <v>131.30763770434501</v>
      </c>
      <c r="X47" s="9">
        <v>123.52955165645696</v>
      </c>
    </row>
    <row r="48" spans="2:24" x14ac:dyDescent="0.2">
      <c r="B48" s="1" t="s">
        <v>5</v>
      </c>
      <c r="P48" s="3">
        <f>Debt</f>
        <v>43335</v>
      </c>
      <c r="S48" s="18">
        <v>0.03</v>
      </c>
      <c r="T48" s="9">
        <v>179.42562671338675</v>
      </c>
      <c r="U48" s="9">
        <v>162.91683185877986</v>
      </c>
      <c r="V48" s="9">
        <v>149.69535343455891</v>
      </c>
      <c r="W48" s="9">
        <v>138.86517422255343</v>
      </c>
      <c r="X48" s="9">
        <v>129.82893040626627</v>
      </c>
    </row>
    <row r="49" spans="2:16" x14ac:dyDescent="0.2">
      <c r="B49" s="1" t="s">
        <v>46</v>
      </c>
      <c r="P49" s="3">
        <f ca="1">P46-P47+P48</f>
        <v>176676.54918527944</v>
      </c>
    </row>
    <row r="50" spans="2:16" ht="15" x14ac:dyDescent="0.25">
      <c r="B50" s="13" t="s">
        <v>47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6">
        <f ca="1">P49/Shares</f>
        <v>132.8156437942952</v>
      </c>
    </row>
    <row r="51" spans="2:16" x14ac:dyDescent="0.2">
      <c r="B51" s="1" t="s">
        <v>48</v>
      </c>
      <c r="P51" s="7">
        <f ca="1">(P50/Price)-1</f>
        <v>0.10431232887914854</v>
      </c>
    </row>
  </sheetData>
  <mergeCells count="1">
    <mergeCell ref="U42:W42"/>
  </mergeCells>
  <hyperlinks>
    <hyperlink ref="A1" location="Main!A1" display="Main" xr:uid="{90AABE70-1476-48AA-BD17-640B753C5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Main</vt:lpstr>
      <vt:lpstr>Model</vt:lpstr>
      <vt:lpstr>Cash</vt:lpstr>
      <vt:lpstr>d</vt:lpstr>
      <vt:lpstr>Debt</vt:lpstr>
      <vt:lpstr>g</vt:lpstr>
      <vt:lpstr>Price</vt:lpstr>
      <vt:lpstr>Shares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2024-09-24T03:58:38Z</dcterms:created>
  <dcterms:modified xsi:type="dcterms:W3CDTF">2024-09-24T04:26:56Z</dcterms:modified>
</cp:coreProperties>
</file>