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50E8B0EA-B72B-40BA-AEC6-765A15F1BC13}" xr6:coauthVersionLast="47" xr6:coauthVersionMax="47" xr10:uidLastSave="{00000000-0000-0000-0000-000000000000}"/>
  <bookViews>
    <workbookView xWindow="-120" yWindow="-120" windowWidth="29040" windowHeight="15720" activeTab="1" xr2:uid="{8A839922-C314-4E3E-A120-9310E02BACBD}"/>
  </bookViews>
  <sheets>
    <sheet name="Main" sheetId="1" r:id="rId1"/>
    <sheet name="Model" sheetId="2" r:id="rId2"/>
  </sheets>
  <definedNames>
    <definedName name="Discount_Rate">Model!$B$5</definedName>
    <definedName name="TGR">Model!$B$3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2" l="1"/>
  <c r="N42" i="2"/>
  <c r="N40" i="2"/>
  <c r="N39" i="2"/>
  <c r="N33" i="2"/>
  <c r="N32" i="2"/>
  <c r="H23" i="2"/>
  <c r="I23" i="2" s="1"/>
  <c r="J23" i="2" s="1"/>
  <c r="K23" i="2" s="1"/>
  <c r="L23" i="2" s="1"/>
  <c r="M23" i="2" s="1"/>
  <c r="N23" i="2" s="1"/>
  <c r="H20" i="2"/>
  <c r="I20" i="2" s="1"/>
  <c r="J20" i="2" s="1"/>
  <c r="K20" i="2" s="1"/>
  <c r="L20" i="2" s="1"/>
  <c r="M20" i="2" s="1"/>
  <c r="N20" i="2" s="1"/>
  <c r="N19" i="2" s="1"/>
  <c r="J16" i="2"/>
  <c r="G17" i="2"/>
  <c r="F17" i="2"/>
  <c r="E17" i="2"/>
  <c r="D17" i="2"/>
  <c r="C17" i="2"/>
  <c r="B17" i="2"/>
  <c r="F15" i="2"/>
  <c r="E15" i="2"/>
  <c r="D15" i="2"/>
  <c r="C15" i="2"/>
  <c r="B15" i="2"/>
  <c r="K12" i="2"/>
  <c r="K19" i="2" s="1"/>
  <c r="G13" i="2"/>
  <c r="F13" i="2"/>
  <c r="E13" i="2"/>
  <c r="D13" i="2"/>
  <c r="C13" i="2"/>
  <c r="B13" i="2"/>
  <c r="N11" i="2"/>
  <c r="M11" i="2"/>
  <c r="L11" i="2"/>
  <c r="K11" i="2"/>
  <c r="J11" i="2"/>
  <c r="I11" i="2"/>
  <c r="H11" i="2"/>
  <c r="H10" i="2" s="1"/>
  <c r="I10" i="2" s="1"/>
  <c r="J10" i="2" s="1"/>
  <c r="K10" i="2" s="1"/>
  <c r="L10" i="2" s="1"/>
  <c r="G11" i="2"/>
  <c r="F11" i="2"/>
  <c r="E11" i="2"/>
  <c r="D11" i="2"/>
  <c r="C11" i="2"/>
  <c r="H8" i="2"/>
  <c r="I8" i="2" s="1"/>
  <c r="J8" i="2" s="1"/>
  <c r="K8" i="2" s="1"/>
  <c r="L8" i="2" s="1"/>
  <c r="M8" i="2" s="1"/>
  <c r="N8" i="2" s="1"/>
  <c r="N12" i="2" s="1"/>
  <c r="G9" i="2"/>
  <c r="F9" i="2"/>
  <c r="E9" i="2"/>
  <c r="D9" i="2"/>
  <c r="C9" i="2"/>
  <c r="I6" i="2"/>
  <c r="J6" i="2" s="1"/>
  <c r="K6" i="2" s="1"/>
  <c r="L6" i="2" s="1"/>
  <c r="M6" i="2" s="1"/>
  <c r="N6" i="2" s="1"/>
  <c r="G21" i="2"/>
  <c r="H21" i="2" s="1"/>
  <c r="F21" i="2"/>
  <c r="E21" i="2"/>
  <c r="D21" i="2"/>
  <c r="C21" i="2"/>
  <c r="B21" i="2"/>
  <c r="G19" i="2"/>
  <c r="B12" i="1" s="1"/>
  <c r="F19" i="2"/>
  <c r="E19" i="2"/>
  <c r="D19" i="2"/>
  <c r="C19" i="2"/>
  <c r="B19" i="2"/>
  <c r="B24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B11" i="1"/>
  <c r="B5" i="1"/>
  <c r="B8" i="1" s="1"/>
  <c r="I21" i="2" l="1"/>
  <c r="J21" i="2" s="1"/>
  <c r="H22" i="2"/>
  <c r="K16" i="2"/>
  <c r="L16" i="2"/>
  <c r="M16" i="2"/>
  <c r="N16" i="2"/>
  <c r="H12" i="2"/>
  <c r="H19" i="2" s="1"/>
  <c r="I12" i="2"/>
  <c r="I19" i="2" s="1"/>
  <c r="H14" i="2"/>
  <c r="H16" i="2"/>
  <c r="M19" i="2"/>
  <c r="J12" i="2"/>
  <c r="J19" i="2" s="1"/>
  <c r="J24" i="2" s="1"/>
  <c r="J25" i="2" s="1"/>
  <c r="I14" i="2"/>
  <c r="I16" i="2"/>
  <c r="K21" i="2"/>
  <c r="J22" i="2"/>
  <c r="I22" i="2"/>
  <c r="J14" i="2"/>
  <c r="L14" i="2"/>
  <c r="M14" i="2"/>
  <c r="K14" i="2"/>
  <c r="N14" i="2"/>
  <c r="L12" i="2"/>
  <c r="L19" i="2" s="1"/>
  <c r="M12" i="2"/>
  <c r="C22" i="2"/>
  <c r="C24" i="2" s="1"/>
  <c r="M10" i="2"/>
  <c r="N10" i="2" s="1"/>
  <c r="D22" i="2"/>
  <c r="D24" i="2" s="1"/>
  <c r="E22" i="2"/>
  <c r="E24" i="2" s="1"/>
  <c r="F22" i="2"/>
  <c r="F24" i="2" s="1"/>
  <c r="G22" i="2"/>
  <c r="G24" i="2" s="1"/>
  <c r="I24" i="2" l="1"/>
  <c r="I25" i="2" s="1"/>
  <c r="H24" i="2"/>
  <c r="H25" i="2" s="1"/>
  <c r="L21" i="2"/>
  <c r="K22" i="2"/>
  <c r="K24" i="2" s="1"/>
  <c r="K25" i="2" s="1"/>
  <c r="M21" i="2" l="1"/>
  <c r="L22" i="2"/>
  <c r="L24" i="2" s="1"/>
  <c r="L25" i="2" s="1"/>
  <c r="N21" i="2" l="1"/>
  <c r="N22" i="2" s="1"/>
  <c r="N24" i="2" s="1"/>
  <c r="M22" i="2"/>
  <c r="M24" i="2" s="1"/>
  <c r="M25" i="2" s="1"/>
  <c r="N25" i="2" l="1"/>
  <c r="N41" i="2" s="1"/>
  <c r="N44" i="2" s="1"/>
  <c r="N45" i="2" s="1"/>
  <c r="N29" i="2"/>
  <c r="N30" i="2" s="1"/>
  <c r="N31" i="2" s="1"/>
  <c r="N34" i="2" s="1"/>
  <c r="N35" i="2" s="1"/>
</calcChain>
</file>

<file path=xl/sharedStrings.xml><?xml version="1.0" encoding="utf-8"?>
<sst xmlns="http://schemas.openxmlformats.org/spreadsheetml/2006/main" count="50" uniqueCount="40">
  <si>
    <t>Hilton International</t>
  </si>
  <si>
    <t xml:space="preserve">Ticker </t>
  </si>
  <si>
    <t>HLT</t>
  </si>
  <si>
    <t>Price</t>
  </si>
  <si>
    <t>Shares</t>
  </si>
  <si>
    <t>MC</t>
  </si>
  <si>
    <t>Cash</t>
  </si>
  <si>
    <t>Debt</t>
  </si>
  <si>
    <t>EV</t>
  </si>
  <si>
    <t>EPS</t>
  </si>
  <si>
    <t>PE</t>
  </si>
  <si>
    <t>Main</t>
  </si>
  <si>
    <t>Revenue</t>
  </si>
  <si>
    <t>COGS</t>
  </si>
  <si>
    <t>EBIT</t>
  </si>
  <si>
    <t>Taxes</t>
  </si>
  <si>
    <t>Net Income</t>
  </si>
  <si>
    <t>EBITDA</t>
  </si>
  <si>
    <t>D&amp;A</t>
  </si>
  <si>
    <t>Working Capital</t>
  </si>
  <si>
    <t>CIWC</t>
  </si>
  <si>
    <t>UFCF</t>
  </si>
  <si>
    <t>CapEx</t>
  </si>
  <si>
    <t>PV or UFCF</t>
  </si>
  <si>
    <t>TGR</t>
  </si>
  <si>
    <t>WACC</t>
  </si>
  <si>
    <t>Discount Rate</t>
  </si>
  <si>
    <t>growth y/y</t>
  </si>
  <si>
    <t>COVID</t>
  </si>
  <si>
    <t>% of Revenue</t>
  </si>
  <si>
    <t>Perpetuity Growth</t>
  </si>
  <si>
    <t>Terminal Value</t>
  </si>
  <si>
    <t>PV of Terminal</t>
  </si>
  <si>
    <t>Enterprise Value</t>
  </si>
  <si>
    <t>+ Cash</t>
  </si>
  <si>
    <t>- Debt</t>
  </si>
  <si>
    <t>Equity Value</t>
  </si>
  <si>
    <t>Share Price</t>
  </si>
  <si>
    <t>EV/EBITDA</t>
  </si>
  <si>
    <t>Exit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</si>
</sst>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37" fontId="0" fillId="0" borderId="0" xfId="0" applyNumberFormat="1"/>
    <xf numFmtId="164" fontId="0" fillId="0" borderId="0" xfId="0" applyNumberFormat="1"/>
    <xf numFmtId="9" fontId="0" fillId="0" borderId="0" xfId="2" applyFont="1"/>
    <xf numFmtId="9" fontId="2" fillId="0" borderId="0" xfId="2" applyFon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0" quotePrefix="1"/>
    <xf numFmtId="0" fontId="4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3DA7-F7A2-4513-9027-3D97C902D554}">
  <dimension ref="A1:B15"/>
  <sheetViews>
    <sheetView workbookViewId="0">
      <selection activeCell="A13" sqref="A13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1">
        <v>208.53</v>
      </c>
    </row>
    <row r="4" spans="1:2" x14ac:dyDescent="0.25">
      <c r="A4" t="s">
        <v>4</v>
      </c>
      <c r="B4" s="1">
        <v>252.16</v>
      </c>
    </row>
    <row r="5" spans="1:2" x14ac:dyDescent="0.25">
      <c r="A5" t="s">
        <v>5</v>
      </c>
      <c r="B5" s="1">
        <f>B3*B4</f>
        <v>52582.924800000001</v>
      </c>
    </row>
    <row r="6" spans="1:2" x14ac:dyDescent="0.25">
      <c r="A6" t="s">
        <v>6</v>
      </c>
      <c r="B6" s="1">
        <v>800</v>
      </c>
    </row>
    <row r="7" spans="1:2" x14ac:dyDescent="0.25">
      <c r="A7" t="s">
        <v>7</v>
      </c>
      <c r="B7" s="1">
        <v>9157</v>
      </c>
    </row>
    <row r="8" spans="1:2" x14ac:dyDescent="0.25">
      <c r="A8" t="s">
        <v>8</v>
      </c>
      <c r="B8" s="1">
        <f>B5-B6+B7</f>
        <v>60939.924800000001</v>
      </c>
    </row>
    <row r="9" spans="1:2" x14ac:dyDescent="0.25">
      <c r="B9" s="1"/>
    </row>
    <row r="10" spans="1:2" x14ac:dyDescent="0.25">
      <c r="A10" t="s">
        <v>9</v>
      </c>
      <c r="B10" s="1">
        <v>4.3600000000000003</v>
      </c>
    </row>
    <row r="11" spans="1:2" x14ac:dyDescent="0.25">
      <c r="A11" t="s">
        <v>10</v>
      </c>
      <c r="B11" s="1">
        <f>B3/B10</f>
        <v>47.827981651376142</v>
      </c>
    </row>
    <row r="12" spans="1:2" x14ac:dyDescent="0.25">
      <c r="A12" t="s">
        <v>38</v>
      </c>
      <c r="B12" s="1">
        <f>B8/Model!G19</f>
        <v>25.691367959527824</v>
      </c>
    </row>
    <row r="13" spans="1:2" x14ac:dyDescent="0.25">
      <c r="B13" s="1"/>
    </row>
    <row r="14" spans="1:2" x14ac:dyDescent="0.25">
      <c r="B14" s="1"/>
    </row>
    <row r="15" spans="1:2" x14ac:dyDescent="0.25"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5B86-DC73-4F5E-8EA5-D06956192679}">
  <dimension ref="A1:N45"/>
  <sheetViews>
    <sheetView showGridLines="0" tabSelected="1" workbookViewId="0">
      <selection activeCell="G9" sqref="G9"/>
    </sheetView>
  </sheetViews>
  <sheetFormatPr defaultRowHeight="15" x14ac:dyDescent="0.25"/>
  <cols>
    <col min="1" max="1" width="16.7109375" bestFit="1" customWidth="1"/>
    <col min="14" max="14" width="12.140625" bestFit="1" customWidth="1"/>
  </cols>
  <sheetData>
    <row r="1" spans="1:14" x14ac:dyDescent="0.25">
      <c r="A1" s="14" t="s">
        <v>11</v>
      </c>
    </row>
    <row r="3" spans="1:14" x14ac:dyDescent="0.25">
      <c r="A3" t="s">
        <v>24</v>
      </c>
      <c r="B3" s="4">
        <v>-0.02</v>
      </c>
    </row>
    <row r="4" spans="1:14" x14ac:dyDescent="0.25">
      <c r="A4" t="s">
        <v>25</v>
      </c>
      <c r="B4" s="4">
        <v>9.3600000000000003E-2</v>
      </c>
      <c r="F4" s="10"/>
    </row>
    <row r="5" spans="1:14" x14ac:dyDescent="0.25">
      <c r="A5" t="s">
        <v>26</v>
      </c>
      <c r="B5" s="4">
        <v>0.06</v>
      </c>
    </row>
    <row r="6" spans="1:14" x14ac:dyDescent="0.25">
      <c r="D6" s="9" t="s">
        <v>28</v>
      </c>
      <c r="E6" s="10"/>
      <c r="H6">
        <v>1</v>
      </c>
      <c r="I6">
        <f>H6+1</f>
        <v>2</v>
      </c>
      <c r="J6">
        <f t="shared" ref="J6:N6" si="0">I6+1</f>
        <v>3</v>
      </c>
      <c r="K6">
        <f t="shared" si="0"/>
        <v>4</v>
      </c>
      <c r="L6">
        <f t="shared" si="0"/>
        <v>5</v>
      </c>
      <c r="M6">
        <f t="shared" si="0"/>
        <v>6</v>
      </c>
      <c r="N6">
        <f t="shared" si="0"/>
        <v>7</v>
      </c>
    </row>
    <row r="7" spans="1:14" x14ac:dyDescent="0.25">
      <c r="B7">
        <v>2018</v>
      </c>
      <c r="C7">
        <f>B7+1</f>
        <v>2019</v>
      </c>
      <c r="D7" s="7">
        <f t="shared" ref="D7:N7" si="1">C7+1</f>
        <v>2020</v>
      </c>
      <c r="E7">
        <f t="shared" si="1"/>
        <v>2021</v>
      </c>
      <c r="F7">
        <f t="shared" si="1"/>
        <v>2022</v>
      </c>
      <c r="G7">
        <f t="shared" si="1"/>
        <v>2023</v>
      </c>
      <c r="H7">
        <f t="shared" si="1"/>
        <v>2024</v>
      </c>
      <c r="I7">
        <f t="shared" si="1"/>
        <v>2025</v>
      </c>
      <c r="J7">
        <f t="shared" si="1"/>
        <v>2026</v>
      </c>
      <c r="K7">
        <f t="shared" si="1"/>
        <v>2027</v>
      </c>
      <c r="L7">
        <f t="shared" si="1"/>
        <v>2028</v>
      </c>
      <c r="M7">
        <f t="shared" si="1"/>
        <v>2029</v>
      </c>
      <c r="N7">
        <f t="shared" si="1"/>
        <v>2030</v>
      </c>
    </row>
    <row r="8" spans="1:14" x14ac:dyDescent="0.25">
      <c r="A8" t="s">
        <v>12</v>
      </c>
      <c r="B8" s="3">
        <v>8906</v>
      </c>
      <c r="C8" s="3">
        <v>9452</v>
      </c>
      <c r="D8" s="8">
        <v>4307</v>
      </c>
      <c r="E8" s="3">
        <v>5788</v>
      </c>
      <c r="F8" s="3">
        <v>8773</v>
      </c>
      <c r="G8" s="3">
        <v>10235</v>
      </c>
      <c r="H8" s="3">
        <f>G8*(1+H9)</f>
        <v>11258.5</v>
      </c>
      <c r="I8" s="3">
        <f t="shared" ref="I8:N8" si="2">H8*(1+I9)</f>
        <v>12384.35</v>
      </c>
      <c r="J8" s="3">
        <f t="shared" si="2"/>
        <v>13622.785000000002</v>
      </c>
      <c r="K8" s="3">
        <f t="shared" si="2"/>
        <v>14985.063500000004</v>
      </c>
      <c r="L8" s="3">
        <f t="shared" si="2"/>
        <v>16483.569850000007</v>
      </c>
      <c r="M8" s="3">
        <f t="shared" si="2"/>
        <v>18131.926835000009</v>
      </c>
      <c r="N8" s="3">
        <f t="shared" si="2"/>
        <v>19945.119518500011</v>
      </c>
    </row>
    <row r="9" spans="1:14" x14ac:dyDescent="0.25">
      <c r="A9" t="s">
        <v>27</v>
      </c>
      <c r="B9" s="3"/>
      <c r="C9" s="5">
        <f>(C8-B8)/B8</f>
        <v>6.1306984055692793E-2</v>
      </c>
      <c r="D9" s="6">
        <f t="shared" ref="D9:G9" si="3">(D8-C8)/C8</f>
        <v>-0.54432924248836223</v>
      </c>
      <c r="E9" s="5">
        <f t="shared" si="3"/>
        <v>0.3438588344555375</v>
      </c>
      <c r="F9" s="5">
        <f t="shared" si="3"/>
        <v>0.5157221838286109</v>
      </c>
      <c r="G9" s="5">
        <f t="shared" si="3"/>
        <v>0.16664766898438391</v>
      </c>
      <c r="H9" s="5">
        <v>0.1</v>
      </c>
      <c r="I9" s="5">
        <v>0.1</v>
      </c>
      <c r="J9" s="5">
        <v>0.1</v>
      </c>
      <c r="K9" s="5">
        <v>0.1</v>
      </c>
      <c r="L9" s="5">
        <v>0.1</v>
      </c>
      <c r="M9" s="5">
        <v>0.1</v>
      </c>
      <c r="N9" s="5">
        <v>0.1</v>
      </c>
    </row>
    <row r="10" spans="1:14" x14ac:dyDescent="0.25">
      <c r="A10" t="s">
        <v>13</v>
      </c>
      <c r="B10" s="3">
        <v>6655</v>
      </c>
      <c r="C10" s="3">
        <v>7017</v>
      </c>
      <c r="D10" s="8">
        <v>3724</v>
      </c>
      <c r="E10" s="3">
        <v>4133</v>
      </c>
      <c r="F10" s="3">
        <v>6075</v>
      </c>
      <c r="G10" s="3">
        <v>7305</v>
      </c>
      <c r="H10" s="3">
        <f>G10*(1+H11)</f>
        <v>8181.6</v>
      </c>
      <c r="I10" s="3">
        <f t="shared" ref="I10:N10" si="4">H10*(1+I11)</f>
        <v>9163.3920000000016</v>
      </c>
      <c r="J10" s="3">
        <f t="shared" si="4"/>
        <v>10262.999040000002</v>
      </c>
      <c r="K10" s="3">
        <f t="shared" si="4"/>
        <v>11494.558924800003</v>
      </c>
      <c r="L10" s="3">
        <f t="shared" si="4"/>
        <v>12873.905995776006</v>
      </c>
      <c r="M10" s="3">
        <f t="shared" si="4"/>
        <v>14418.774715269128</v>
      </c>
      <c r="N10" s="3">
        <f t="shared" si="4"/>
        <v>16149.027681101425</v>
      </c>
    </row>
    <row r="11" spans="1:14" x14ac:dyDescent="0.25">
      <c r="A11" t="s">
        <v>27</v>
      </c>
      <c r="B11" s="3"/>
      <c r="C11" s="5">
        <f>(C10-B10)/B10</f>
        <v>5.4395191585274227E-2</v>
      </c>
      <c r="D11" s="6">
        <f t="shared" ref="D11" si="5">(D10-C10)/C10</f>
        <v>-0.46928886988741625</v>
      </c>
      <c r="E11" s="5">
        <f t="shared" ref="E11" si="6">(E10-D10)/D10</f>
        <v>0.10982814178302901</v>
      </c>
      <c r="F11" s="5">
        <f t="shared" ref="F11" si="7">(F10-E10)/E10</f>
        <v>0.46987660295185096</v>
      </c>
      <c r="G11" s="5">
        <f t="shared" ref="G11" si="8">(G10-F10)/F10</f>
        <v>0.20246913580246914</v>
      </c>
      <c r="H11" s="5">
        <f>H9+0.02</f>
        <v>0.12000000000000001</v>
      </c>
      <c r="I11" s="5">
        <f t="shared" ref="I11:N11" si="9">I9+0.02</f>
        <v>0.12000000000000001</v>
      </c>
      <c r="J11" s="5">
        <f t="shared" si="9"/>
        <v>0.12000000000000001</v>
      </c>
      <c r="K11" s="5">
        <f t="shared" si="9"/>
        <v>0.12000000000000001</v>
      </c>
      <c r="L11" s="5">
        <f t="shared" si="9"/>
        <v>0.12000000000000001</v>
      </c>
      <c r="M11" s="5">
        <f t="shared" si="9"/>
        <v>0.12000000000000001</v>
      </c>
      <c r="N11" s="5">
        <f t="shared" si="9"/>
        <v>0.12000000000000001</v>
      </c>
    </row>
    <row r="12" spans="1:14" x14ac:dyDescent="0.25">
      <c r="A12" t="s">
        <v>14</v>
      </c>
      <c r="B12" s="3">
        <v>1432</v>
      </c>
      <c r="C12" s="3">
        <v>1657</v>
      </c>
      <c r="D12" s="8">
        <v>-418</v>
      </c>
      <c r="E12" s="3">
        <v>1010</v>
      </c>
      <c r="F12" s="3">
        <v>2094</v>
      </c>
      <c r="G12" s="3">
        <v>2225</v>
      </c>
      <c r="H12" s="3">
        <f>H13*H8</f>
        <v>2139.1150000000002</v>
      </c>
      <c r="I12" s="3">
        <f t="shared" ref="I12:N12" si="10">I13*I8</f>
        <v>2353.0264999999999</v>
      </c>
      <c r="J12" s="3">
        <f t="shared" si="10"/>
        <v>2588.3291500000005</v>
      </c>
      <c r="K12" s="3">
        <f t="shared" si="10"/>
        <v>2847.1620650000009</v>
      </c>
      <c r="L12" s="3">
        <f t="shared" si="10"/>
        <v>3131.8782715000016</v>
      </c>
      <c r="M12" s="3">
        <f t="shared" si="10"/>
        <v>3445.066098650002</v>
      </c>
      <c r="N12" s="3">
        <f t="shared" si="10"/>
        <v>3789.572708515002</v>
      </c>
    </row>
    <row r="13" spans="1:14" x14ac:dyDescent="0.25">
      <c r="A13" t="s">
        <v>29</v>
      </c>
      <c r="B13" s="5">
        <f>B12/B8</f>
        <v>0.16079047832921625</v>
      </c>
      <c r="C13" s="5">
        <f t="shared" ref="C13:G13" si="11">C12/C8</f>
        <v>0.17530681337283116</v>
      </c>
      <c r="D13" s="6">
        <f t="shared" si="11"/>
        <v>-9.7051311817970748E-2</v>
      </c>
      <c r="E13" s="5">
        <f t="shared" si="11"/>
        <v>0.17449896337249482</v>
      </c>
      <c r="F13" s="5">
        <f t="shared" si="11"/>
        <v>0.23868688020061551</v>
      </c>
      <c r="G13" s="5">
        <f t="shared" si="11"/>
        <v>0.21739130434782608</v>
      </c>
      <c r="H13" s="5">
        <v>0.19</v>
      </c>
      <c r="I13" s="5">
        <v>0.19</v>
      </c>
      <c r="J13" s="5">
        <v>0.19</v>
      </c>
      <c r="K13" s="5">
        <v>0.19</v>
      </c>
      <c r="L13" s="5">
        <v>0.19</v>
      </c>
      <c r="M13" s="5">
        <v>0.19</v>
      </c>
      <c r="N13" s="5">
        <v>0.19</v>
      </c>
    </row>
    <row r="14" spans="1:14" x14ac:dyDescent="0.25">
      <c r="A14" t="s">
        <v>15</v>
      </c>
      <c r="B14" s="3">
        <v>309</v>
      </c>
      <c r="C14" s="3">
        <v>358</v>
      </c>
      <c r="D14" s="8">
        <v>-204</v>
      </c>
      <c r="E14" s="3">
        <v>153</v>
      </c>
      <c r="F14" s="3">
        <v>477</v>
      </c>
      <c r="G14" s="3">
        <v>541</v>
      </c>
      <c r="H14" s="3">
        <f>H8*H15</f>
        <v>562.92500000000007</v>
      </c>
      <c r="I14" s="3">
        <f t="shared" ref="I14:N14" si="12">I8*I15</f>
        <v>619.21750000000009</v>
      </c>
      <c r="J14" s="3">
        <f t="shared" si="12"/>
        <v>681.13925000000017</v>
      </c>
      <c r="K14" s="3">
        <f t="shared" si="12"/>
        <v>749.25317500000028</v>
      </c>
      <c r="L14" s="3">
        <f t="shared" si="12"/>
        <v>824.1784925000004</v>
      </c>
      <c r="M14" s="3">
        <f t="shared" si="12"/>
        <v>906.59634175000053</v>
      </c>
      <c r="N14" s="3">
        <f t="shared" si="12"/>
        <v>997.2559759250006</v>
      </c>
    </row>
    <row r="15" spans="1:14" x14ac:dyDescent="0.25">
      <c r="A15" t="s">
        <v>29</v>
      </c>
      <c r="B15" s="5">
        <f>B14/B8</f>
        <v>3.4695710756793174E-2</v>
      </c>
      <c r="C15" s="5">
        <f t="shared" ref="C15:F15" si="13">C14/C8</f>
        <v>3.7875581887431231E-2</v>
      </c>
      <c r="D15" s="6">
        <f t="shared" si="13"/>
        <v>-4.7364755049918737E-2</v>
      </c>
      <c r="E15" s="5">
        <f t="shared" si="13"/>
        <v>2.6434001382170006E-2</v>
      </c>
      <c r="F15" s="5">
        <f t="shared" si="13"/>
        <v>5.4371366693263423E-2</v>
      </c>
      <c r="G15" s="5">
        <v>0.05</v>
      </c>
      <c r="H15" s="5">
        <v>0.05</v>
      </c>
      <c r="I15" s="5">
        <v>0.05</v>
      </c>
      <c r="J15" s="5">
        <v>0.05</v>
      </c>
      <c r="K15" s="5">
        <v>0.05</v>
      </c>
      <c r="L15" s="5">
        <v>0.05</v>
      </c>
      <c r="M15" s="5">
        <v>0.05</v>
      </c>
      <c r="N15" s="5">
        <v>0.05</v>
      </c>
    </row>
    <row r="16" spans="1:14" x14ac:dyDescent="0.25">
      <c r="A16" t="s">
        <v>16</v>
      </c>
      <c r="B16" s="2">
        <v>769</v>
      </c>
      <c r="C16" s="2">
        <v>886</v>
      </c>
      <c r="D16" s="8">
        <v>-720</v>
      </c>
      <c r="E16" s="2">
        <v>407</v>
      </c>
      <c r="F16" s="2">
        <v>1257</v>
      </c>
      <c r="G16" s="2">
        <v>1151</v>
      </c>
      <c r="H16" s="2">
        <f>H8*H17</f>
        <v>1125.8500000000001</v>
      </c>
      <c r="I16" s="2">
        <f t="shared" ref="I16:N16" si="14">I8*I17</f>
        <v>1238.4350000000002</v>
      </c>
      <c r="J16" s="2">
        <f t="shared" si="14"/>
        <v>1362.2785000000003</v>
      </c>
      <c r="K16" s="2">
        <f t="shared" si="14"/>
        <v>1498.5063500000006</v>
      </c>
      <c r="L16" s="2">
        <f t="shared" si="14"/>
        <v>1648.3569850000008</v>
      </c>
      <c r="M16" s="2">
        <f t="shared" si="14"/>
        <v>1813.1926835000011</v>
      </c>
      <c r="N16" s="2">
        <f t="shared" si="14"/>
        <v>1994.5119518500012</v>
      </c>
    </row>
    <row r="17" spans="1:14" x14ac:dyDescent="0.25">
      <c r="A17" t="s">
        <v>29</v>
      </c>
      <c r="B17" s="5">
        <f>B16/B8</f>
        <v>8.6346283404446444E-2</v>
      </c>
      <c r="C17" s="5">
        <f t="shared" ref="C17:G17" si="15">C16/C8</f>
        <v>9.3736775285653828E-2</v>
      </c>
      <c r="D17" s="6">
        <f t="shared" si="15"/>
        <v>-0.16716972370559555</v>
      </c>
      <c r="E17" s="5">
        <f t="shared" si="15"/>
        <v>7.031789910158949E-2</v>
      </c>
      <c r="F17" s="5">
        <f t="shared" si="15"/>
        <v>0.14328051977658726</v>
      </c>
      <c r="G17" s="5">
        <f t="shared" si="15"/>
        <v>0.11245725451880802</v>
      </c>
      <c r="H17" s="5">
        <v>0.1</v>
      </c>
      <c r="I17" s="5">
        <v>0.1</v>
      </c>
      <c r="J17" s="5">
        <v>0.1</v>
      </c>
      <c r="K17" s="5">
        <v>0.1</v>
      </c>
      <c r="L17" s="5">
        <v>0.1</v>
      </c>
      <c r="M17" s="5">
        <v>0.1</v>
      </c>
      <c r="N17" s="5">
        <v>0.1</v>
      </c>
    </row>
    <row r="18" spans="1:14" x14ac:dyDescent="0.25">
      <c r="D18" s="7"/>
    </row>
    <row r="19" spans="1:14" x14ac:dyDescent="0.25">
      <c r="A19" t="s">
        <v>17</v>
      </c>
      <c r="B19" s="3">
        <f>B20+B12</f>
        <v>1757</v>
      </c>
      <c r="C19" s="3">
        <f t="shared" ref="C19:G19" si="16">C20+C12</f>
        <v>2003</v>
      </c>
      <c r="D19" s="8">
        <f t="shared" si="16"/>
        <v>-87</v>
      </c>
      <c r="E19" s="3">
        <f t="shared" si="16"/>
        <v>1198</v>
      </c>
      <c r="F19" s="3">
        <f t="shared" si="16"/>
        <v>2256</v>
      </c>
      <c r="G19" s="3">
        <f t="shared" si="16"/>
        <v>2372</v>
      </c>
      <c r="H19" s="3">
        <f t="shared" ref="H19" si="17">H20+H12</f>
        <v>2289.0550000000003</v>
      </c>
      <c r="I19" s="3">
        <f t="shared" ref="I19" si="18">I20+I12</f>
        <v>2505.9652999999998</v>
      </c>
      <c r="J19" s="3">
        <f t="shared" ref="J19" si="19">J20+J12</f>
        <v>2744.3267260000002</v>
      </c>
      <c r="K19" s="3">
        <f t="shared" ref="K19" si="20">K20+K12</f>
        <v>3006.2795925200007</v>
      </c>
      <c r="L19" s="3">
        <f t="shared" ref="L19" si="21">L20+L12</f>
        <v>3294.1781495704017</v>
      </c>
      <c r="M19" s="3">
        <f t="shared" ref="M19" si="22">M20+M12</f>
        <v>3610.61197428181</v>
      </c>
      <c r="N19" s="3">
        <f t="shared" ref="N19" si="23">N20+N12</f>
        <v>3958.429501659446</v>
      </c>
    </row>
    <row r="20" spans="1:14" x14ac:dyDescent="0.25">
      <c r="A20" t="s">
        <v>18</v>
      </c>
      <c r="B20" s="3">
        <v>325</v>
      </c>
      <c r="C20" s="3">
        <v>346</v>
      </c>
      <c r="D20" s="8">
        <v>331</v>
      </c>
      <c r="E20" s="3">
        <v>188</v>
      </c>
      <c r="F20" s="3">
        <v>162</v>
      </c>
      <c r="G20" s="3">
        <v>147</v>
      </c>
      <c r="H20" s="3">
        <f>G20*1.02</f>
        <v>149.94</v>
      </c>
      <c r="I20" s="3">
        <f t="shared" ref="I20:N20" si="24">H20*1.02</f>
        <v>152.93879999999999</v>
      </c>
      <c r="J20" s="3">
        <f t="shared" si="24"/>
        <v>155.99757599999998</v>
      </c>
      <c r="K20" s="3">
        <f t="shared" si="24"/>
        <v>159.11752751999998</v>
      </c>
      <c r="L20" s="3">
        <f t="shared" si="24"/>
        <v>162.29987807039998</v>
      </c>
      <c r="M20" s="3">
        <f t="shared" si="24"/>
        <v>165.54587563180797</v>
      </c>
      <c r="N20" s="3">
        <f t="shared" si="24"/>
        <v>168.85679314444414</v>
      </c>
    </row>
    <row r="21" spans="1:14" x14ac:dyDescent="0.25">
      <c r="A21" t="s">
        <v>19</v>
      </c>
      <c r="B21" s="3">
        <f>1983-2615</f>
        <v>-632</v>
      </c>
      <c r="C21" s="3">
        <f>2093-2871</f>
        <v>-778</v>
      </c>
      <c r="D21" s="8">
        <f>4202-2431</f>
        <v>1771</v>
      </c>
      <c r="E21" s="3">
        <f>2871-3019</f>
        <v>-148</v>
      </c>
      <c r="F21" s="3">
        <f>2870-3372</f>
        <v>-502</v>
      </c>
      <c r="G21" s="3">
        <f>2614-3722</f>
        <v>-1108</v>
      </c>
      <c r="H21" s="3">
        <f>G21*1.07</f>
        <v>-1185.5600000000002</v>
      </c>
      <c r="I21" s="3">
        <f t="shared" ref="I21:N21" si="25">H21*1.07</f>
        <v>-1268.5492000000002</v>
      </c>
      <c r="J21" s="3">
        <f t="shared" si="25"/>
        <v>-1357.3476440000002</v>
      </c>
      <c r="K21" s="3">
        <f t="shared" si="25"/>
        <v>-1452.3619790800003</v>
      </c>
      <c r="L21" s="3">
        <f t="shared" si="25"/>
        <v>-1554.0273176156004</v>
      </c>
      <c r="M21" s="3">
        <f t="shared" si="25"/>
        <v>-1662.8092298486924</v>
      </c>
      <c r="N21" s="3">
        <f t="shared" si="25"/>
        <v>-1779.2058759381009</v>
      </c>
    </row>
    <row r="22" spans="1:14" x14ac:dyDescent="0.25">
      <c r="A22" t="s">
        <v>20</v>
      </c>
      <c r="B22" s="3"/>
      <c r="C22" s="3">
        <f>C21-B21</f>
        <v>-146</v>
      </c>
      <c r="D22" s="8">
        <f t="shared" ref="D22:G22" si="26">D21-C21</f>
        <v>2549</v>
      </c>
      <c r="E22" s="3">
        <f t="shared" si="26"/>
        <v>-1919</v>
      </c>
      <c r="F22" s="3">
        <f t="shared" si="26"/>
        <v>-354</v>
      </c>
      <c r="G22" s="3">
        <f t="shared" si="26"/>
        <v>-606</v>
      </c>
      <c r="H22" s="3">
        <f t="shared" ref="H22" si="27">H21-G21</f>
        <v>-77.560000000000173</v>
      </c>
      <c r="I22" s="3">
        <f t="shared" ref="I22" si="28">I21-H21</f>
        <v>-82.989199999999983</v>
      </c>
      <c r="J22" s="3">
        <f t="shared" ref="J22" si="29">J21-I21</f>
        <v>-88.798444000000018</v>
      </c>
      <c r="K22" s="3">
        <f t="shared" ref="K22" si="30">K21-J21</f>
        <v>-95.014335080000137</v>
      </c>
      <c r="L22" s="3">
        <f t="shared" ref="L22" si="31">L21-K21</f>
        <v>-101.66533853560009</v>
      </c>
      <c r="M22" s="3">
        <f t="shared" ref="M22" si="32">M21-L21</f>
        <v>-108.78191223309204</v>
      </c>
      <c r="N22" s="3">
        <f t="shared" ref="N22" si="33">N21-M21</f>
        <v>-116.39664608940848</v>
      </c>
    </row>
    <row r="23" spans="1:14" x14ac:dyDescent="0.25">
      <c r="A23" t="s">
        <v>22</v>
      </c>
      <c r="B23" s="3">
        <v>87</v>
      </c>
      <c r="C23" s="3">
        <v>124</v>
      </c>
      <c r="D23" s="8">
        <v>46</v>
      </c>
      <c r="E23" s="3">
        <v>44</v>
      </c>
      <c r="F23" s="3">
        <v>63</v>
      </c>
      <c r="G23" s="3">
        <v>96</v>
      </c>
      <c r="H23" s="3">
        <f>G23*1.02</f>
        <v>97.92</v>
      </c>
      <c r="I23" s="3">
        <f t="shared" ref="I23:N23" si="34">H23*1.02</f>
        <v>99.878399999999999</v>
      </c>
      <c r="J23" s="3">
        <f t="shared" si="34"/>
        <v>101.875968</v>
      </c>
      <c r="K23" s="3">
        <f t="shared" si="34"/>
        <v>103.91348736</v>
      </c>
      <c r="L23" s="3">
        <f t="shared" si="34"/>
        <v>105.9917571072</v>
      </c>
      <c r="M23" s="3">
        <f t="shared" si="34"/>
        <v>108.111592249344</v>
      </c>
      <c r="N23" s="3">
        <f t="shared" si="34"/>
        <v>110.27382409433088</v>
      </c>
    </row>
    <row r="24" spans="1:14" x14ac:dyDescent="0.25">
      <c r="A24" t="s">
        <v>21</v>
      </c>
      <c r="B24" s="3">
        <f>B19-B22-B23</f>
        <v>1670</v>
      </c>
      <c r="C24" s="3">
        <f t="shared" ref="C24:G24" si="35">C19-C22-C23</f>
        <v>2025</v>
      </c>
      <c r="D24" s="8">
        <f t="shared" si="35"/>
        <v>-2682</v>
      </c>
      <c r="E24" s="3">
        <f t="shared" si="35"/>
        <v>3073</v>
      </c>
      <c r="F24" s="3">
        <f t="shared" si="35"/>
        <v>2547</v>
      </c>
      <c r="G24" s="3">
        <f t="shared" si="35"/>
        <v>2882</v>
      </c>
      <c r="H24" s="3">
        <f t="shared" ref="H24" si="36">H19-H22-H23</f>
        <v>2268.6950000000006</v>
      </c>
      <c r="I24" s="3">
        <f t="shared" ref="I24" si="37">I19-I22-I23</f>
        <v>2489.0760999999998</v>
      </c>
      <c r="J24" s="3">
        <f t="shared" ref="J24" si="38">J19-J22-J23</f>
        <v>2731.2492020000004</v>
      </c>
      <c r="K24" s="3">
        <f t="shared" ref="K24" si="39">K19-K22-K23</f>
        <v>2997.3804402400006</v>
      </c>
      <c r="L24" s="3">
        <f t="shared" ref="L24" si="40">L19-L22-L23</f>
        <v>3289.8517309988019</v>
      </c>
      <c r="M24" s="3">
        <f t="shared" ref="M24" si="41">M19-M22-M23</f>
        <v>3611.282294265558</v>
      </c>
      <c r="N24" s="3">
        <f t="shared" ref="N24" si="42">N19-N22-N23</f>
        <v>3964.5523236545237</v>
      </c>
    </row>
    <row r="25" spans="1:14" x14ac:dyDescent="0.25">
      <c r="A25" t="s">
        <v>23</v>
      </c>
      <c r="B25" s="3"/>
      <c r="C25" s="3"/>
      <c r="D25" s="3"/>
      <c r="E25" s="3"/>
      <c r="F25" s="3"/>
      <c r="G25" s="3"/>
      <c r="H25" s="3">
        <f>H24/(1+Discount_Rate)^H6</f>
        <v>2140.2783018867931</v>
      </c>
      <c r="I25" s="3">
        <f>I24/(1+Discount_Rate)^I6</f>
        <v>2215.268867924528</v>
      </c>
      <c r="J25" s="3">
        <f>J24/(1+Discount_Rate)^J6</f>
        <v>2293.2094967657863</v>
      </c>
      <c r="K25" s="3">
        <f>K24/(1+Discount_Rate)^K6</f>
        <v>2374.2060530276922</v>
      </c>
      <c r="L25" s="3">
        <f>L24/(1+Discount_Rate)^L6</f>
        <v>2458.3685935063991</v>
      </c>
      <c r="M25" s="3">
        <f>M24/(1+Discount_Rate)^M6</f>
        <v>2545.8115178456819</v>
      </c>
      <c r="N25" s="3">
        <f>N24/(1+Discount_Rate)^N6</f>
        <v>2636.653725174403</v>
      </c>
    </row>
    <row r="27" spans="1:14" x14ac:dyDescent="0.25">
      <c r="A27" t="s">
        <v>30</v>
      </c>
    </row>
    <row r="29" spans="1:14" x14ac:dyDescent="0.25">
      <c r="A29" t="s">
        <v>31</v>
      </c>
      <c r="N29" s="11">
        <f>(N24*(1-TGR))/(Discount_Rate-TGR)</f>
        <v>50548.042126595174</v>
      </c>
    </row>
    <row r="30" spans="1:14" x14ac:dyDescent="0.25">
      <c r="A30" t="s">
        <v>32</v>
      </c>
      <c r="N30" s="11">
        <f>N29/(1+Discount_Rate)^N6</f>
        <v>33617.334995973637</v>
      </c>
    </row>
    <row r="31" spans="1:14" x14ac:dyDescent="0.25">
      <c r="A31" t="s">
        <v>33</v>
      </c>
      <c r="N31" s="12">
        <f>SUM(N30,H25:N25)</f>
        <v>50281.131552104911</v>
      </c>
    </row>
    <row r="32" spans="1:14" x14ac:dyDescent="0.25">
      <c r="A32" s="13" t="s">
        <v>34</v>
      </c>
      <c r="N32" s="1">
        <f>Main!B6</f>
        <v>800</v>
      </c>
    </row>
    <row r="33" spans="1:14" x14ac:dyDescent="0.25">
      <c r="A33" s="13" t="s">
        <v>35</v>
      </c>
      <c r="N33" s="1">
        <f>Main!B7</f>
        <v>9157</v>
      </c>
    </row>
    <row r="34" spans="1:14" x14ac:dyDescent="0.25">
      <c r="A34" t="s">
        <v>36</v>
      </c>
      <c r="N34" s="12">
        <f>N31+N32-N33</f>
        <v>41924.131552104911</v>
      </c>
    </row>
    <row r="35" spans="1:14" x14ac:dyDescent="0.25">
      <c r="A35" t="s">
        <v>37</v>
      </c>
      <c r="N35" s="12">
        <f>N34/Main!B4</f>
        <v>166.26003946742114</v>
      </c>
    </row>
    <row r="37" spans="1:14" x14ac:dyDescent="0.25">
      <c r="A37" t="s">
        <v>39</v>
      </c>
    </row>
    <row r="39" spans="1:14" x14ac:dyDescent="0.25">
      <c r="A39" t="s">
        <v>31</v>
      </c>
      <c r="N39" s="11">
        <f>N19*27</f>
        <v>106877.59654480504</v>
      </c>
    </row>
    <row r="40" spans="1:14" x14ac:dyDescent="0.25">
      <c r="A40" t="s">
        <v>32</v>
      </c>
      <c r="N40" s="12">
        <f>N39/(1+Discount_Rate)^N6</f>
        <v>71079.7058689806</v>
      </c>
    </row>
    <row r="41" spans="1:14" x14ac:dyDescent="0.25">
      <c r="A41" t="s">
        <v>33</v>
      </c>
      <c r="N41" s="12">
        <f>SUM(N40,H25:N25)</f>
        <v>87743.502425111888</v>
      </c>
    </row>
    <row r="42" spans="1:14" x14ac:dyDescent="0.25">
      <c r="A42" s="13" t="s">
        <v>34</v>
      </c>
      <c r="N42" s="1">
        <f>N32</f>
        <v>800</v>
      </c>
    </row>
    <row r="43" spans="1:14" x14ac:dyDescent="0.25">
      <c r="A43" s="13" t="s">
        <v>35</v>
      </c>
      <c r="N43" s="1">
        <f>N33</f>
        <v>9157</v>
      </c>
    </row>
    <row r="44" spans="1:14" x14ac:dyDescent="0.25">
      <c r="A44" t="s">
        <v>36</v>
      </c>
      <c r="N44" s="12">
        <f>N41+N42-N43</f>
        <v>79386.502425111888</v>
      </c>
    </row>
    <row r="45" spans="1:14" x14ac:dyDescent="0.25">
      <c r="A45" t="s">
        <v>37</v>
      </c>
      <c r="N45" s="12">
        <f>N44/Main!B4</f>
        <v>314.8259138051709</v>
      </c>
    </row>
  </sheetData>
  <hyperlinks>
    <hyperlink ref="A1" location="Main!A1" display="Main" xr:uid="{6CEF7414-D5CD-4178-985D-864698428D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Model</vt:lpstr>
      <vt:lpstr>Discount_Rate</vt:lpstr>
      <vt:lpstr>TGR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2024-03-14T03:26:32Z</dcterms:created>
  <dcterms:modified xsi:type="dcterms:W3CDTF">2024-03-14T04:01:52Z</dcterms:modified>
</cp:coreProperties>
</file>