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/Dropbox/Jayden/Stocks/"/>
    </mc:Choice>
  </mc:AlternateContent>
  <xr:revisionPtr revIDLastSave="0" documentId="13_ncr:1_{584DD064-F6C1-6B4E-B0FB-BBF53A975BEE}" xr6:coauthVersionLast="47" xr6:coauthVersionMax="47" xr10:uidLastSave="{00000000-0000-0000-0000-000000000000}"/>
  <bookViews>
    <workbookView xWindow="25620" yWindow="500" windowWidth="25580" windowHeight="28300" activeTab="1" xr2:uid="{9EDA0D0A-5AAB-7145-9192-0B4C57A98027}"/>
  </bookViews>
  <sheets>
    <sheet name="Main" sheetId="1" r:id="rId1"/>
    <sheet name="Model" sheetId="2" r:id="rId2"/>
  </sheets>
  <definedNames>
    <definedName name="discount">Model!$P$34</definedName>
    <definedName name="tgr">Model!$P$35</definedName>
    <definedName name="valDate">Model!$P$32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5" i="2" l="1"/>
  <c r="P44" i="2"/>
  <c r="P39" i="2"/>
  <c r="P40" i="2" s="1"/>
  <c r="P32" i="2"/>
  <c r="P33" i="2" s="1"/>
  <c r="T37" i="2" s="1"/>
  <c r="X30" i="2"/>
  <c r="W30" i="2"/>
  <c r="V30" i="2"/>
  <c r="U30" i="2"/>
  <c r="T30" i="2"/>
  <c r="X28" i="2"/>
  <c r="V28" i="2"/>
  <c r="U28" i="2"/>
  <c r="X27" i="2"/>
  <c r="X29" i="2" s="1"/>
  <c r="W27" i="2"/>
  <c r="V27" i="2"/>
  <c r="V29" i="2" s="1"/>
  <c r="U27" i="2"/>
  <c r="U29" i="2" s="1"/>
  <c r="T27" i="2"/>
  <c r="T28" i="2" s="1"/>
  <c r="R27" i="2"/>
  <c r="R28" i="2" s="1"/>
  <c r="Q27" i="2"/>
  <c r="Q28" i="2" s="1"/>
  <c r="P28" i="2"/>
  <c r="P29" i="2" s="1"/>
  <c r="P27" i="2"/>
  <c r="X24" i="2"/>
  <c r="W24" i="2"/>
  <c r="V24" i="2"/>
  <c r="U24" i="2"/>
  <c r="T24" i="2"/>
  <c r="X23" i="2"/>
  <c r="W23" i="2"/>
  <c r="V23" i="2"/>
  <c r="U23" i="2"/>
  <c r="T23" i="2"/>
  <c r="X21" i="2"/>
  <c r="W21" i="2"/>
  <c r="V21" i="2"/>
  <c r="U21" i="2"/>
  <c r="T21" i="2"/>
  <c r="X19" i="2"/>
  <c r="W19" i="2"/>
  <c r="V19" i="2"/>
  <c r="U19" i="2"/>
  <c r="T19" i="2"/>
  <c r="X10" i="2"/>
  <c r="X9" i="2"/>
  <c r="X8" i="2"/>
  <c r="W11" i="2"/>
  <c r="V11" i="2"/>
  <c r="U11" i="2"/>
  <c r="T11" i="2"/>
  <c r="W10" i="2"/>
  <c r="V10" i="2"/>
  <c r="U10" i="2"/>
  <c r="T10" i="2"/>
  <c r="W9" i="2"/>
  <c r="V9" i="2"/>
  <c r="U9" i="2"/>
  <c r="T9" i="2"/>
  <c r="W8" i="2"/>
  <c r="V8" i="2"/>
  <c r="U8" i="2"/>
  <c r="T8" i="2"/>
  <c r="X6" i="2"/>
  <c r="W6" i="2"/>
  <c r="V6" i="2"/>
  <c r="U6" i="2"/>
  <c r="T6" i="2"/>
  <c r="X7" i="2"/>
  <c r="W7" i="2"/>
  <c r="V7" i="2"/>
  <c r="U7" i="2"/>
  <c r="T7" i="2"/>
  <c r="X4" i="2"/>
  <c r="W4" i="2"/>
  <c r="V4" i="2"/>
  <c r="U4" i="2"/>
  <c r="T4" i="2"/>
  <c r="X5" i="2"/>
  <c r="W5" i="2"/>
  <c r="V5" i="2"/>
  <c r="U5" i="2"/>
  <c r="T5" i="2"/>
  <c r="V3" i="2"/>
  <c r="W3" i="2" s="1"/>
  <c r="X3" i="2" s="1"/>
  <c r="U3" i="2"/>
  <c r="T3" i="2"/>
  <c r="R23" i="2"/>
  <c r="Q22" i="2"/>
  <c r="R22" i="2"/>
  <c r="Q21" i="2"/>
  <c r="R21" i="2"/>
  <c r="Q25" i="2"/>
  <c r="P25" i="2"/>
  <c r="R25" i="2"/>
  <c r="Q20" i="2"/>
  <c r="P20" i="2"/>
  <c r="R20" i="2"/>
  <c r="S17" i="2"/>
  <c r="S16" i="2"/>
  <c r="S15" i="2"/>
  <c r="S14" i="2"/>
  <c r="S13" i="2"/>
  <c r="V1" i="2"/>
  <c r="W1" i="2" s="1"/>
  <c r="X1" i="2" s="1"/>
  <c r="T1" i="2"/>
  <c r="U1" i="2" s="1"/>
  <c r="W2" i="2"/>
  <c r="X2" i="2" s="1"/>
  <c r="V2" i="2"/>
  <c r="U2" i="2"/>
  <c r="T2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D2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7" i="2"/>
  <c r="D16" i="2"/>
  <c r="D15" i="2"/>
  <c r="D14" i="2"/>
  <c r="C17" i="2"/>
  <c r="C16" i="2"/>
  <c r="C15" i="2"/>
  <c r="C14" i="2"/>
  <c r="D13" i="2"/>
  <c r="G7" i="1"/>
  <c r="G6" i="1"/>
  <c r="G4" i="1"/>
  <c r="P41" i="2" l="1"/>
  <c r="U37" i="2"/>
  <c r="V37" i="2"/>
  <c r="W37" i="2"/>
  <c r="X37" i="2"/>
  <c r="Q29" i="2"/>
  <c r="R29" i="2"/>
  <c r="T29" i="2"/>
  <c r="W28" i="2"/>
  <c r="W29" i="2" s="1"/>
  <c r="X11" i="2"/>
  <c r="P42" i="2" l="1"/>
  <c r="P43" i="2" s="1"/>
  <c r="P46" i="2" s="1"/>
  <c r="P47" i="2" s="1"/>
  <c r="P48" i="2" l="1"/>
  <c r="R40" i="2"/>
</calcChain>
</file>

<file path=xl/sharedStrings.xml><?xml version="1.0" encoding="utf-8"?>
<sst xmlns="http://schemas.openxmlformats.org/spreadsheetml/2006/main" count="53" uniqueCount="46">
  <si>
    <t>The Home Depot Inc.</t>
  </si>
  <si>
    <t>Price</t>
  </si>
  <si>
    <t>Shares</t>
  </si>
  <si>
    <t>MC</t>
  </si>
  <si>
    <t>Cash</t>
  </si>
  <si>
    <t>Debt</t>
  </si>
  <si>
    <t>EV</t>
  </si>
  <si>
    <t>Q2 24</t>
  </si>
  <si>
    <t>Main</t>
  </si>
  <si>
    <t>Other Income</t>
  </si>
  <si>
    <t>Net Income</t>
  </si>
  <si>
    <t>Revenue</t>
  </si>
  <si>
    <t>COGS</t>
  </si>
  <si>
    <t>Gross Profit</t>
  </si>
  <si>
    <t>OpEx</t>
  </si>
  <si>
    <t>EBIT</t>
  </si>
  <si>
    <t>EBT</t>
  </si>
  <si>
    <t>Taxes</t>
  </si>
  <si>
    <t>Revenue Growth y/y</t>
  </si>
  <si>
    <t>Operating Profit</t>
  </si>
  <si>
    <t>Tax Rate</t>
  </si>
  <si>
    <t>Other Income % of Revenue</t>
  </si>
  <si>
    <t>D&amp;A</t>
  </si>
  <si>
    <t>% of Revenue</t>
  </si>
  <si>
    <t>Working Capital</t>
  </si>
  <si>
    <t>CIWC</t>
  </si>
  <si>
    <t>CapEx</t>
  </si>
  <si>
    <t>AVG</t>
  </si>
  <si>
    <t>Operating Income</t>
  </si>
  <si>
    <t>Operating Taxes</t>
  </si>
  <si>
    <t>NOPAT</t>
  </si>
  <si>
    <t>UFCF</t>
  </si>
  <si>
    <t>Valuation Date</t>
  </si>
  <si>
    <t>Stub %</t>
  </si>
  <si>
    <t>Discount Rate</t>
  </si>
  <si>
    <t>TGR</t>
  </si>
  <si>
    <t>PV of UFCF</t>
  </si>
  <si>
    <t>Final Year FCF</t>
  </si>
  <si>
    <t>Terminal Value</t>
  </si>
  <si>
    <t>PV of Terminal Value</t>
  </si>
  <si>
    <t>Sum of Stage 1 CF</t>
  </si>
  <si>
    <t>Enterprise Value</t>
  </si>
  <si>
    <t>Equity Value</t>
  </si>
  <si>
    <t>Share Price</t>
  </si>
  <si>
    <t>Implied Upside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</si>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</sst>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72" formatCode="0.0%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 tint="0.499984740745262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43" fontId="3" fillId="0" borderId="0" xfId="1" applyFont="1"/>
    <xf numFmtId="165" fontId="3" fillId="0" borderId="0" xfId="1" applyNumberFormat="1" applyFont="1"/>
    <xf numFmtId="0" fontId="4" fillId="0" borderId="0" xfId="3" applyFont="1"/>
    <xf numFmtId="9" fontId="3" fillId="0" borderId="0" xfId="2" applyFont="1"/>
    <xf numFmtId="14" fontId="3" fillId="0" borderId="0" xfId="0" applyNumberFormat="1" applyFont="1"/>
    <xf numFmtId="0" fontId="3" fillId="0" borderId="1" xfId="0" applyFont="1" applyBorder="1"/>
    <xf numFmtId="9" fontId="5" fillId="0" borderId="0" xfId="0" applyNumberFormat="1" applyFont="1"/>
    <xf numFmtId="165" fontId="3" fillId="0" borderId="0" xfId="0" applyNumberFormat="1" applyFont="1"/>
    <xf numFmtId="0" fontId="6" fillId="0" borderId="0" xfId="0" applyFont="1"/>
    <xf numFmtId="43" fontId="6" fillId="0" borderId="0" xfId="1" applyFont="1"/>
    <xf numFmtId="172" fontId="3" fillId="0" borderId="1" xfId="2" applyNumberFormat="1" applyFont="1" applyBorder="1"/>
    <xf numFmtId="172" fontId="3" fillId="0" borderId="2" xfId="2" applyNumberFormat="1" applyFont="1" applyBorder="1"/>
    <xf numFmtId="43" fontId="7" fillId="0" borderId="0" xfId="0" applyNumberFormat="1" applyFont="1"/>
    <xf numFmtId="0" fontId="6" fillId="0" borderId="0" xfId="0" applyFont="1" applyAlignment="1">
      <alignment horizontal="center"/>
    </xf>
    <xf numFmtId="43" fontId="6" fillId="0" borderId="3" xfId="1" applyFont="1" applyBorder="1"/>
    <xf numFmtId="0" fontId="6" fillId="0" borderId="4" xfId="0" applyFont="1" applyBorder="1"/>
    <xf numFmtId="0" fontId="3" fillId="0" borderId="4" xfId="0" applyFont="1" applyBorder="1"/>
    <xf numFmtId="165" fontId="6" fillId="0" borderId="4" xfId="1" applyNumberFormat="1" applyFont="1" applyBorder="1"/>
    <xf numFmtId="165" fontId="6" fillId="0" borderId="4" xfId="0" applyNumberFormat="1" applyFont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C8EE-201F-5A49-ADFE-0258012040DE}">
  <dimension ref="A1:H7"/>
  <sheetViews>
    <sheetView zoomScale="160" zoomScaleNormal="160" workbookViewId="0">
      <selection activeCell="E15" sqref="E15"/>
    </sheetView>
  </sheetViews>
  <sheetFormatPr baseColWidth="10" defaultRowHeight="16" x14ac:dyDescent="0.2"/>
  <cols>
    <col min="7" max="7" width="11.6640625" bestFit="1" customWidth="1"/>
  </cols>
  <sheetData>
    <row r="1" spans="1:8" x14ac:dyDescent="0.2">
      <c r="A1" t="s">
        <v>0</v>
      </c>
    </row>
    <row r="2" spans="1:8" x14ac:dyDescent="0.2">
      <c r="F2" t="s">
        <v>1</v>
      </c>
      <c r="G2">
        <v>379.99</v>
      </c>
      <c r="H2" s="2">
        <v>45551</v>
      </c>
    </row>
    <row r="3" spans="1:8" x14ac:dyDescent="0.2">
      <c r="F3" t="s">
        <v>2</v>
      </c>
      <c r="G3" s="1">
        <v>993.29300000000001</v>
      </c>
      <c r="H3" s="3" t="s">
        <v>7</v>
      </c>
    </row>
    <row r="4" spans="1:8" x14ac:dyDescent="0.2">
      <c r="F4" t="s">
        <v>3</v>
      </c>
      <c r="G4" s="1">
        <f>G2*G3</f>
        <v>377441.40707000002</v>
      </c>
      <c r="H4" s="3"/>
    </row>
    <row r="5" spans="1:8" x14ac:dyDescent="0.2">
      <c r="F5" t="s">
        <v>4</v>
      </c>
      <c r="G5" s="1">
        <v>1613</v>
      </c>
      <c r="H5" s="3" t="s">
        <v>7</v>
      </c>
    </row>
    <row r="6" spans="1:8" x14ac:dyDescent="0.2">
      <c r="F6" t="s">
        <v>5</v>
      </c>
      <c r="G6" s="1">
        <f>2527+1242+51869+7635</f>
        <v>63273</v>
      </c>
      <c r="H6" s="3" t="s">
        <v>7</v>
      </c>
    </row>
    <row r="7" spans="1:8" x14ac:dyDescent="0.2">
      <c r="F7" t="s">
        <v>6</v>
      </c>
      <c r="G7" s="1">
        <f>G4-G5+G6</f>
        <v>439101.40707000002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127E-C093-4F4C-8E36-4A246776FA3F}">
  <dimension ref="A1:X48"/>
  <sheetViews>
    <sheetView tabSelected="1" topLeftCell="A9" zoomScale="170" zoomScaleNormal="170" workbookViewId="0">
      <selection activeCell="B29" sqref="B29"/>
    </sheetView>
  </sheetViews>
  <sheetFormatPr baseColWidth="10" defaultRowHeight="16" x14ac:dyDescent="0.2"/>
  <cols>
    <col min="1" max="1" width="10.83203125" style="4"/>
    <col min="2" max="2" width="27.1640625" style="4" bestFit="1" customWidth="1"/>
    <col min="3" max="11" width="11.6640625" style="4" hidden="1" customWidth="1"/>
    <col min="12" max="15" width="12.83203125" style="4" hidden="1" customWidth="1"/>
    <col min="16" max="18" width="13" style="4" bestFit="1" customWidth="1"/>
    <col min="19" max="19" width="11" style="4" bestFit="1" customWidth="1"/>
    <col min="20" max="24" width="11.6640625" style="4" bestFit="1" customWidth="1"/>
    <col min="25" max="16384" width="10.83203125" style="4"/>
  </cols>
  <sheetData>
    <row r="1" spans="1:24" x14ac:dyDescent="0.2">
      <c r="A1" s="7" t="s">
        <v>8</v>
      </c>
      <c r="R1" s="9">
        <v>45319</v>
      </c>
      <c r="T1" s="9">
        <f>EOMONTH(R1,12)</f>
        <v>45688</v>
      </c>
      <c r="U1" s="9">
        <f>EOMONTH(T1,12)</f>
        <v>46053</v>
      </c>
      <c r="V1" s="9">
        <f t="shared" ref="V1:X1" si="0">EOMONTH(U1,12)</f>
        <v>46418</v>
      </c>
      <c r="W1" s="9">
        <f t="shared" si="0"/>
        <v>46783</v>
      </c>
      <c r="X1" s="9">
        <f t="shared" si="0"/>
        <v>47149</v>
      </c>
    </row>
    <row r="2" spans="1:24" x14ac:dyDescent="0.2">
      <c r="C2" s="4">
        <v>2008</v>
      </c>
      <c r="D2" s="4">
        <f>C2+1</f>
        <v>2009</v>
      </c>
      <c r="E2" s="4">
        <f t="shared" ref="E2:T2" si="1">D2+1</f>
        <v>2010</v>
      </c>
      <c r="F2" s="4">
        <f t="shared" si="1"/>
        <v>2011</v>
      </c>
      <c r="G2" s="4">
        <f t="shared" si="1"/>
        <v>2012</v>
      </c>
      <c r="H2" s="4">
        <f t="shared" si="1"/>
        <v>2013</v>
      </c>
      <c r="I2" s="4">
        <f t="shared" si="1"/>
        <v>2014</v>
      </c>
      <c r="J2" s="4">
        <f t="shared" si="1"/>
        <v>2015</v>
      </c>
      <c r="K2" s="4">
        <f t="shared" si="1"/>
        <v>2016</v>
      </c>
      <c r="L2" s="4">
        <f t="shared" si="1"/>
        <v>2017</v>
      </c>
      <c r="M2" s="4">
        <f t="shared" si="1"/>
        <v>2018</v>
      </c>
      <c r="N2" s="4">
        <f t="shared" si="1"/>
        <v>2019</v>
      </c>
      <c r="O2" s="4">
        <f t="shared" si="1"/>
        <v>2020</v>
      </c>
      <c r="P2" s="10">
        <f t="shared" si="1"/>
        <v>2021</v>
      </c>
      <c r="Q2" s="10">
        <f t="shared" si="1"/>
        <v>2022</v>
      </c>
      <c r="R2" s="10">
        <f t="shared" si="1"/>
        <v>2023</v>
      </c>
      <c r="S2" s="10"/>
      <c r="T2" s="10">
        <f>R2+1</f>
        <v>2024</v>
      </c>
      <c r="U2" s="10">
        <f>T2+1</f>
        <v>2025</v>
      </c>
      <c r="V2" s="10">
        <f t="shared" ref="V2:X2" si="2">U2+1</f>
        <v>2026</v>
      </c>
      <c r="W2" s="10">
        <f t="shared" si="2"/>
        <v>2027</v>
      </c>
      <c r="X2" s="10">
        <f t="shared" si="2"/>
        <v>2028</v>
      </c>
    </row>
    <row r="3" spans="1:24" x14ac:dyDescent="0.2">
      <c r="B3" s="6" t="s">
        <v>11</v>
      </c>
      <c r="C3" s="6">
        <v>71288</v>
      </c>
      <c r="D3" s="6">
        <v>66176</v>
      </c>
      <c r="E3" s="6">
        <v>67997</v>
      </c>
      <c r="F3" s="6">
        <v>70395</v>
      </c>
      <c r="G3" s="6">
        <v>74754</v>
      </c>
      <c r="H3" s="6">
        <v>78812</v>
      </c>
      <c r="I3" s="6">
        <v>83176</v>
      </c>
      <c r="J3" s="6">
        <v>88519</v>
      </c>
      <c r="K3" s="6">
        <v>94595</v>
      </c>
      <c r="L3" s="6">
        <v>100904</v>
      </c>
      <c r="M3" s="6">
        <v>108203</v>
      </c>
      <c r="N3" s="6">
        <v>110225</v>
      </c>
      <c r="O3" s="6">
        <v>132110</v>
      </c>
      <c r="P3" s="6">
        <v>151157</v>
      </c>
      <c r="Q3" s="6">
        <v>157403</v>
      </c>
      <c r="R3" s="6">
        <v>152669</v>
      </c>
      <c r="T3" s="6">
        <f>R3*(1+T13)</f>
        <v>160302.45000000001</v>
      </c>
      <c r="U3" s="6">
        <f>T3*(1+U13)</f>
        <v>168317.57250000001</v>
      </c>
      <c r="V3" s="6">
        <f t="shared" ref="V3:X3" si="3">U3*(1+V13)</f>
        <v>176733.45112500002</v>
      </c>
      <c r="W3" s="6">
        <f t="shared" si="3"/>
        <v>185570.12368125003</v>
      </c>
      <c r="X3" s="6">
        <f t="shared" si="3"/>
        <v>194848.62986531254</v>
      </c>
    </row>
    <row r="4" spans="1:24" x14ac:dyDescent="0.2">
      <c r="B4" s="6" t="s">
        <v>12</v>
      </c>
      <c r="C4" s="6">
        <v>47298</v>
      </c>
      <c r="D4" s="6">
        <v>43764</v>
      </c>
      <c r="E4" s="6">
        <v>44693</v>
      </c>
      <c r="F4" s="6">
        <v>46133</v>
      </c>
      <c r="G4" s="6">
        <v>48912</v>
      </c>
      <c r="H4" s="6">
        <v>51897</v>
      </c>
      <c r="I4" s="6">
        <v>54787</v>
      </c>
      <c r="J4" s="6">
        <v>58254</v>
      </c>
      <c r="K4" s="6">
        <v>62282</v>
      </c>
      <c r="L4" s="6">
        <v>66548</v>
      </c>
      <c r="M4" s="6">
        <v>71043</v>
      </c>
      <c r="N4" s="6">
        <v>72653</v>
      </c>
      <c r="O4" s="6">
        <v>87257</v>
      </c>
      <c r="P4" s="6">
        <v>100325</v>
      </c>
      <c r="Q4" s="6">
        <v>104625</v>
      </c>
      <c r="R4" s="6">
        <v>101709</v>
      </c>
      <c r="T4" s="6">
        <f>T3-T5</f>
        <v>105799.617</v>
      </c>
      <c r="U4" s="6">
        <f t="shared" ref="U4:X4" si="4">U3-U5</f>
        <v>111089.59785000001</v>
      </c>
      <c r="V4" s="6">
        <f t="shared" si="4"/>
        <v>116644.07774250001</v>
      </c>
      <c r="W4" s="6">
        <f t="shared" si="4"/>
        <v>122476.28162962501</v>
      </c>
      <c r="X4" s="6">
        <f t="shared" si="4"/>
        <v>128600.09571110627</v>
      </c>
    </row>
    <row r="5" spans="1:24" x14ac:dyDescent="0.2">
      <c r="B5" s="6" t="s">
        <v>13</v>
      </c>
      <c r="C5" s="6">
        <v>23990</v>
      </c>
      <c r="D5" s="6">
        <v>22412</v>
      </c>
      <c r="E5" s="6">
        <v>23304</v>
      </c>
      <c r="F5" s="6">
        <v>24262</v>
      </c>
      <c r="G5" s="6">
        <v>25842</v>
      </c>
      <c r="H5" s="6">
        <v>26915</v>
      </c>
      <c r="I5" s="6">
        <v>28389</v>
      </c>
      <c r="J5" s="6">
        <v>30265</v>
      </c>
      <c r="K5" s="6">
        <v>32313</v>
      </c>
      <c r="L5" s="6">
        <v>34356</v>
      </c>
      <c r="M5" s="6">
        <v>37160</v>
      </c>
      <c r="N5" s="6">
        <v>37572</v>
      </c>
      <c r="O5" s="6">
        <v>44853</v>
      </c>
      <c r="P5" s="6">
        <v>50832</v>
      </c>
      <c r="Q5" s="6">
        <v>52778</v>
      </c>
      <c r="R5" s="6">
        <v>50960</v>
      </c>
      <c r="T5" s="6">
        <f>T3*T14</f>
        <v>54502.833000000006</v>
      </c>
      <c r="U5" s="6">
        <f t="shared" ref="U5:X5" si="5">U3*U14</f>
        <v>57227.974650000004</v>
      </c>
      <c r="V5" s="6">
        <f t="shared" si="5"/>
        <v>60089.373382500009</v>
      </c>
      <c r="W5" s="6">
        <f t="shared" si="5"/>
        <v>63093.842051625012</v>
      </c>
      <c r="X5" s="6">
        <f t="shared" si="5"/>
        <v>66248.534154206267</v>
      </c>
    </row>
    <row r="6" spans="1:24" x14ac:dyDescent="0.2">
      <c r="B6" s="6" t="s">
        <v>14</v>
      </c>
      <c r="C6" s="6">
        <v>19631</v>
      </c>
      <c r="D6" s="6">
        <v>17609</v>
      </c>
      <c r="E6" s="6">
        <v>17465</v>
      </c>
      <c r="F6" s="6">
        <v>17601</v>
      </c>
      <c r="G6" s="6">
        <v>18076</v>
      </c>
      <c r="H6" s="6">
        <v>17749</v>
      </c>
      <c r="I6" s="6">
        <v>17920</v>
      </c>
      <c r="J6" s="6">
        <v>18491</v>
      </c>
      <c r="K6" s="6">
        <v>18886</v>
      </c>
      <c r="L6" s="6">
        <v>19675</v>
      </c>
      <c r="M6" s="6">
        <v>21630</v>
      </c>
      <c r="N6" s="6">
        <v>21729</v>
      </c>
      <c r="O6" s="6">
        <v>26575</v>
      </c>
      <c r="P6" s="6">
        <v>27792</v>
      </c>
      <c r="Q6" s="6">
        <v>28739</v>
      </c>
      <c r="R6" s="6">
        <v>29271</v>
      </c>
      <c r="T6" s="6">
        <f>T5-T7</f>
        <v>30457.465500000006</v>
      </c>
      <c r="U6" s="6">
        <f t="shared" ref="U6:X6" si="6">U5-U7</f>
        <v>31980.338775000004</v>
      </c>
      <c r="V6" s="6">
        <f t="shared" si="6"/>
        <v>33579.355713750003</v>
      </c>
      <c r="W6" s="6">
        <f t="shared" si="6"/>
        <v>35258.323499437509</v>
      </c>
      <c r="X6" s="6">
        <f t="shared" si="6"/>
        <v>37021.239674409386</v>
      </c>
    </row>
    <row r="7" spans="1:24" x14ac:dyDescent="0.2">
      <c r="B7" s="6" t="s">
        <v>15</v>
      </c>
      <c r="C7" s="6">
        <v>4359</v>
      </c>
      <c r="D7" s="6">
        <v>4803</v>
      </c>
      <c r="E7" s="6">
        <v>5839</v>
      </c>
      <c r="F7" s="6">
        <v>6661</v>
      </c>
      <c r="G7" s="6">
        <v>7766</v>
      </c>
      <c r="H7" s="6">
        <v>9166</v>
      </c>
      <c r="I7" s="6">
        <v>10469</v>
      </c>
      <c r="J7" s="6">
        <v>11774</v>
      </c>
      <c r="K7" s="6">
        <v>13427</v>
      </c>
      <c r="L7" s="6">
        <v>14681</v>
      </c>
      <c r="M7" s="6">
        <v>15530</v>
      </c>
      <c r="N7" s="6">
        <v>15843</v>
      </c>
      <c r="O7" s="6">
        <v>18278</v>
      </c>
      <c r="P7" s="6">
        <v>23040</v>
      </c>
      <c r="Q7" s="6">
        <v>24039</v>
      </c>
      <c r="R7" s="6">
        <v>21689</v>
      </c>
      <c r="T7" s="6">
        <f>T3*T15</f>
        <v>24045.3675</v>
      </c>
      <c r="U7" s="6">
        <f t="shared" ref="U7:X7" si="7">U3*U15</f>
        <v>25247.635875</v>
      </c>
      <c r="V7" s="6">
        <f t="shared" si="7"/>
        <v>26510.017668750002</v>
      </c>
      <c r="W7" s="6">
        <f t="shared" si="7"/>
        <v>27835.518552187503</v>
      </c>
      <c r="X7" s="6">
        <f t="shared" si="7"/>
        <v>29227.294479796881</v>
      </c>
    </row>
    <row r="8" spans="1:24" x14ac:dyDescent="0.2">
      <c r="B8" s="6" t="s">
        <v>9</v>
      </c>
      <c r="C8" s="6">
        <v>-769</v>
      </c>
      <c r="D8" s="6">
        <v>-821</v>
      </c>
      <c r="E8" s="6">
        <v>-566</v>
      </c>
      <c r="F8" s="6">
        <v>-593</v>
      </c>
      <c r="G8" s="6">
        <v>-545</v>
      </c>
      <c r="H8" s="6">
        <v>-699</v>
      </c>
      <c r="I8" s="6">
        <v>-493</v>
      </c>
      <c r="J8" s="6">
        <v>-753</v>
      </c>
      <c r="K8" s="6">
        <v>-936</v>
      </c>
      <c r="L8" s="6">
        <v>-983</v>
      </c>
      <c r="M8" s="6">
        <v>-974</v>
      </c>
      <c r="N8" s="6">
        <v>-1128</v>
      </c>
      <c r="O8" s="6">
        <v>-1300</v>
      </c>
      <c r="P8" s="6">
        <v>-1303</v>
      </c>
      <c r="Q8" s="6">
        <v>-1562</v>
      </c>
      <c r="R8" s="6">
        <v>-1765</v>
      </c>
      <c r="T8" s="6">
        <f>T3*T17</f>
        <v>-1603.0245000000002</v>
      </c>
      <c r="U8" s="6">
        <f t="shared" ref="U8:X8" si="8">U3*U17</f>
        <v>-1683.1757250000001</v>
      </c>
      <c r="V8" s="6">
        <f t="shared" si="8"/>
        <v>-1767.3345112500003</v>
      </c>
      <c r="W8" s="6">
        <f t="shared" si="8"/>
        <v>-1855.7012368125004</v>
      </c>
      <c r="X8" s="6">
        <f t="shared" si="8"/>
        <v>-1948.4862986531255</v>
      </c>
    </row>
    <row r="9" spans="1:24" x14ac:dyDescent="0.2">
      <c r="B9" s="6" t="s">
        <v>16</v>
      </c>
      <c r="C9" s="6">
        <v>3590</v>
      </c>
      <c r="D9" s="6">
        <v>3982</v>
      </c>
      <c r="E9" s="6">
        <v>5273</v>
      </c>
      <c r="F9" s="6">
        <v>6068</v>
      </c>
      <c r="G9" s="6">
        <v>7221</v>
      </c>
      <c r="H9" s="6">
        <v>8467</v>
      </c>
      <c r="I9" s="6">
        <v>9976</v>
      </c>
      <c r="J9" s="6">
        <v>11021</v>
      </c>
      <c r="K9" s="6">
        <v>12491</v>
      </c>
      <c r="L9" s="6">
        <v>13698</v>
      </c>
      <c r="M9" s="6">
        <v>14556</v>
      </c>
      <c r="N9" s="6">
        <v>14715</v>
      </c>
      <c r="O9" s="6">
        <v>16978</v>
      </c>
      <c r="P9" s="6">
        <v>21737</v>
      </c>
      <c r="Q9" s="6">
        <v>22477</v>
      </c>
      <c r="R9" s="6">
        <v>19924</v>
      </c>
      <c r="T9" s="6">
        <f>T7+T8</f>
        <v>22442.343000000001</v>
      </c>
      <c r="U9" s="6">
        <f t="shared" ref="U9:X9" si="9">U7+U8</f>
        <v>23564.460149999999</v>
      </c>
      <c r="V9" s="6">
        <f t="shared" si="9"/>
        <v>24742.683157500003</v>
      </c>
      <c r="W9" s="6">
        <f t="shared" si="9"/>
        <v>25979.817315375003</v>
      </c>
      <c r="X9" s="6">
        <f t="shared" si="9"/>
        <v>27278.808181143755</v>
      </c>
    </row>
    <row r="10" spans="1:24" x14ac:dyDescent="0.2">
      <c r="B10" s="6" t="s">
        <v>17</v>
      </c>
      <c r="C10" s="6">
        <v>1278</v>
      </c>
      <c r="D10" s="6">
        <v>1362</v>
      </c>
      <c r="E10" s="6">
        <v>1935</v>
      </c>
      <c r="F10" s="6">
        <v>2185</v>
      </c>
      <c r="G10" s="6">
        <v>2686</v>
      </c>
      <c r="H10" s="6">
        <v>3082</v>
      </c>
      <c r="I10" s="6">
        <v>3631</v>
      </c>
      <c r="J10" s="6">
        <v>4012</v>
      </c>
      <c r="K10" s="6">
        <v>4534</v>
      </c>
      <c r="L10" s="6">
        <v>5068</v>
      </c>
      <c r="M10" s="6">
        <v>3435</v>
      </c>
      <c r="N10" s="6">
        <v>3473</v>
      </c>
      <c r="O10" s="6">
        <v>4112</v>
      </c>
      <c r="P10" s="6">
        <v>5304</v>
      </c>
      <c r="Q10" s="6">
        <v>5372</v>
      </c>
      <c r="R10" s="6">
        <v>4781</v>
      </c>
      <c r="T10" s="6">
        <f>T9*T16</f>
        <v>5386.1623200000004</v>
      </c>
      <c r="U10" s="6">
        <f t="shared" ref="U10:X10" si="10">U9*U16</f>
        <v>5655.4704359999996</v>
      </c>
      <c r="V10" s="6">
        <f t="shared" si="10"/>
        <v>5938.2439578000003</v>
      </c>
      <c r="W10" s="6">
        <f t="shared" si="10"/>
        <v>6235.1561556900006</v>
      </c>
      <c r="X10" s="6">
        <f t="shared" si="10"/>
        <v>6546.9139634745006</v>
      </c>
    </row>
    <row r="11" spans="1:24" x14ac:dyDescent="0.2">
      <c r="B11" s="6" t="s">
        <v>10</v>
      </c>
      <c r="C11" s="6">
        <v>2260</v>
      </c>
      <c r="D11" s="6">
        <v>2661</v>
      </c>
      <c r="E11" s="6">
        <v>3338</v>
      </c>
      <c r="F11" s="6">
        <v>3883</v>
      </c>
      <c r="G11" s="6">
        <v>4535</v>
      </c>
      <c r="H11" s="6">
        <v>5385</v>
      </c>
      <c r="I11" s="6">
        <v>6345</v>
      </c>
      <c r="J11" s="6">
        <v>7009</v>
      </c>
      <c r="K11" s="6">
        <v>7957</v>
      </c>
      <c r="L11" s="6">
        <v>8630</v>
      </c>
      <c r="M11" s="6">
        <v>11121</v>
      </c>
      <c r="N11" s="6">
        <v>11242</v>
      </c>
      <c r="O11" s="6">
        <v>12866</v>
      </c>
      <c r="P11" s="6">
        <v>16433</v>
      </c>
      <c r="Q11" s="6">
        <v>17105</v>
      </c>
      <c r="R11" s="6">
        <v>15143</v>
      </c>
      <c r="T11" s="6">
        <f>T9-T10</f>
        <v>17056.180680000001</v>
      </c>
      <c r="U11" s="6">
        <f t="shared" ref="U11:X11" si="11">U9-U10</f>
        <v>17908.989713999999</v>
      </c>
      <c r="V11" s="6">
        <f t="shared" si="11"/>
        <v>18804.439199700002</v>
      </c>
      <c r="W11" s="6">
        <f t="shared" si="11"/>
        <v>19744.661159685002</v>
      </c>
      <c r="X11" s="6">
        <f t="shared" si="11"/>
        <v>20731.894217669254</v>
      </c>
    </row>
    <row r="12" spans="1:24" x14ac:dyDescent="0.2">
      <c r="S12" s="4" t="s">
        <v>27</v>
      </c>
    </row>
    <row r="13" spans="1:24" x14ac:dyDescent="0.2">
      <c r="B13" s="4" t="s">
        <v>18</v>
      </c>
      <c r="C13" s="8"/>
      <c r="D13" s="8">
        <f>(D3/C3)-1</f>
        <v>-7.1709123555156573E-2</v>
      </c>
      <c r="E13" s="8">
        <f t="shared" ref="E13:R13" si="12">(E3/D3)-1</f>
        <v>2.7517529013539654E-2</v>
      </c>
      <c r="F13" s="8">
        <f t="shared" si="12"/>
        <v>3.5266261746841776E-2</v>
      </c>
      <c r="G13" s="8">
        <f t="shared" si="12"/>
        <v>6.1922011506499119E-2</v>
      </c>
      <c r="H13" s="8">
        <f t="shared" si="12"/>
        <v>5.4284720550070942E-2</v>
      </c>
      <c r="I13" s="8">
        <f t="shared" si="12"/>
        <v>5.5372278333248648E-2</v>
      </c>
      <c r="J13" s="8">
        <f t="shared" si="12"/>
        <v>6.4237279984610929E-2</v>
      </c>
      <c r="K13" s="8">
        <f t="shared" si="12"/>
        <v>6.8640630825020699E-2</v>
      </c>
      <c r="L13" s="8">
        <f t="shared" si="12"/>
        <v>6.6694857022041365E-2</v>
      </c>
      <c r="M13" s="8">
        <f t="shared" si="12"/>
        <v>7.2336081820344011E-2</v>
      </c>
      <c r="N13" s="8">
        <f t="shared" si="12"/>
        <v>1.8687097400256869E-2</v>
      </c>
      <c r="O13" s="8">
        <f t="shared" si="12"/>
        <v>0.19854842367883885</v>
      </c>
      <c r="P13" s="8">
        <f t="shared" si="12"/>
        <v>0.14417530845507542</v>
      </c>
      <c r="Q13" s="8">
        <f t="shared" si="12"/>
        <v>4.1321275230389531E-2</v>
      </c>
      <c r="R13" s="8">
        <f t="shared" si="12"/>
        <v>-3.0075665648049865E-2</v>
      </c>
      <c r="S13" s="11">
        <f>AVERAGE(P13:R13)</f>
        <v>5.1806972679138363E-2</v>
      </c>
      <c r="T13" s="8">
        <v>0.05</v>
      </c>
      <c r="U13" s="8">
        <v>0.05</v>
      </c>
      <c r="V13" s="8">
        <v>0.05</v>
      </c>
      <c r="W13" s="8">
        <v>0.05</v>
      </c>
      <c r="X13" s="8">
        <v>0.05</v>
      </c>
    </row>
    <row r="14" spans="1:24" x14ac:dyDescent="0.2">
      <c r="B14" s="4" t="s">
        <v>13</v>
      </c>
      <c r="C14" s="8">
        <f>C5/C3</f>
        <v>0.33652227583885086</v>
      </c>
      <c r="D14" s="8">
        <f>D5/D3</f>
        <v>0.33867263056092844</v>
      </c>
      <c r="E14" s="8">
        <f t="shared" ref="E14:R14" si="13">E5/E3</f>
        <v>0.34272100239716458</v>
      </c>
      <c r="F14" s="8">
        <f t="shared" si="13"/>
        <v>0.34465516016762554</v>
      </c>
      <c r="G14" s="8">
        <f t="shared" si="13"/>
        <v>0.34569387591299461</v>
      </c>
      <c r="H14" s="8">
        <f t="shared" si="13"/>
        <v>0.34150890727300409</v>
      </c>
      <c r="I14" s="8">
        <f t="shared" si="13"/>
        <v>0.34131239780705974</v>
      </c>
      <c r="J14" s="8">
        <f t="shared" si="13"/>
        <v>0.34190399801172627</v>
      </c>
      <c r="K14" s="8">
        <f t="shared" si="13"/>
        <v>0.34159310745811089</v>
      </c>
      <c r="L14" s="8">
        <f t="shared" si="13"/>
        <v>0.34048204233727108</v>
      </c>
      <c r="M14" s="8">
        <f t="shared" si="13"/>
        <v>0.34342855558533497</v>
      </c>
      <c r="N14" s="8">
        <f t="shared" si="13"/>
        <v>0.34086640961669312</v>
      </c>
      <c r="O14" s="8">
        <f t="shared" si="13"/>
        <v>0.33951252743925514</v>
      </c>
      <c r="P14" s="8">
        <f t="shared" si="13"/>
        <v>0.33628611311417927</v>
      </c>
      <c r="Q14" s="8">
        <f t="shared" si="13"/>
        <v>0.33530491794946732</v>
      </c>
      <c r="R14" s="8">
        <f t="shared" si="13"/>
        <v>0.33379402498215094</v>
      </c>
      <c r="S14" s="11">
        <f t="shared" ref="S14:S17" si="14">AVERAGE(P14:R14)</f>
        <v>0.33512835201526586</v>
      </c>
      <c r="T14" s="8">
        <v>0.34</v>
      </c>
      <c r="U14" s="8">
        <v>0.34</v>
      </c>
      <c r="V14" s="8">
        <v>0.34</v>
      </c>
      <c r="W14" s="8">
        <v>0.34</v>
      </c>
      <c r="X14" s="8">
        <v>0.34</v>
      </c>
    </row>
    <row r="15" spans="1:24" x14ac:dyDescent="0.2">
      <c r="B15" s="4" t="s">
        <v>19</v>
      </c>
      <c r="C15" s="8">
        <f>C7/C3</f>
        <v>6.1146335989226801E-2</v>
      </c>
      <c r="D15" s="8">
        <f>D7/D3</f>
        <v>7.2579182785299803E-2</v>
      </c>
      <c r="E15" s="8">
        <f t="shared" ref="E15:R15" si="15">E7/E3</f>
        <v>8.5871435504507557E-2</v>
      </c>
      <c r="F15" s="8">
        <f t="shared" si="15"/>
        <v>9.462319767028908E-2</v>
      </c>
      <c r="G15" s="8">
        <f t="shared" si="15"/>
        <v>0.10388741739572464</v>
      </c>
      <c r="H15" s="8">
        <f t="shared" si="15"/>
        <v>0.11630208597675482</v>
      </c>
      <c r="I15" s="8">
        <f t="shared" si="15"/>
        <v>0.12586563431759162</v>
      </c>
      <c r="J15" s="8">
        <f t="shared" si="15"/>
        <v>0.13301099199042013</v>
      </c>
      <c r="K15" s="8">
        <f t="shared" si="15"/>
        <v>0.1419419631058724</v>
      </c>
      <c r="L15" s="8">
        <f t="shared" si="15"/>
        <v>0.14549472766193611</v>
      </c>
      <c r="M15" s="8">
        <f t="shared" si="15"/>
        <v>0.14352651959742335</v>
      </c>
      <c r="N15" s="8">
        <f t="shared" si="15"/>
        <v>0.14373327285098661</v>
      </c>
      <c r="O15" s="8">
        <f t="shared" si="15"/>
        <v>0.13835440163500112</v>
      </c>
      <c r="P15" s="8">
        <f t="shared" si="15"/>
        <v>0.15242430056166767</v>
      </c>
      <c r="Q15" s="8">
        <f t="shared" si="15"/>
        <v>0.15272262917479337</v>
      </c>
      <c r="R15" s="8">
        <f t="shared" si="15"/>
        <v>0.14206551428253281</v>
      </c>
      <c r="S15" s="11">
        <f t="shared" si="14"/>
        <v>0.14907081467299796</v>
      </c>
      <c r="T15" s="8">
        <v>0.15</v>
      </c>
      <c r="U15" s="8">
        <v>0.15</v>
      </c>
      <c r="V15" s="8">
        <v>0.15</v>
      </c>
      <c r="W15" s="8">
        <v>0.15</v>
      </c>
      <c r="X15" s="8">
        <v>0.15</v>
      </c>
    </row>
    <row r="16" spans="1:24" x14ac:dyDescent="0.2">
      <c r="B16" s="4" t="s">
        <v>20</v>
      </c>
      <c r="C16" s="8">
        <f>C10/C9</f>
        <v>0.35598885793871865</v>
      </c>
      <c r="D16" s="8">
        <f>D10/D9</f>
        <v>0.34203917629331992</v>
      </c>
      <c r="E16" s="8">
        <f t="shared" ref="E16:R16" si="16">E10/E9</f>
        <v>0.36696377773563438</v>
      </c>
      <c r="F16" s="8">
        <f t="shared" si="16"/>
        <v>0.36008569545154911</v>
      </c>
      <c r="G16" s="8">
        <f t="shared" si="16"/>
        <v>0.37197064118543138</v>
      </c>
      <c r="H16" s="8">
        <f t="shared" si="16"/>
        <v>0.36400141726703672</v>
      </c>
      <c r="I16" s="8">
        <f t="shared" si="16"/>
        <v>0.36397353648757019</v>
      </c>
      <c r="J16" s="8">
        <f t="shared" si="16"/>
        <v>0.36403230196896835</v>
      </c>
      <c r="K16" s="8">
        <f t="shared" si="16"/>
        <v>0.36298134656953007</v>
      </c>
      <c r="L16" s="8">
        <f t="shared" si="16"/>
        <v>0.36998101912687986</v>
      </c>
      <c r="M16" s="8">
        <f t="shared" si="16"/>
        <v>0.23598516075845014</v>
      </c>
      <c r="N16" s="8">
        <f t="shared" si="16"/>
        <v>0.23601766904519197</v>
      </c>
      <c r="O16" s="8">
        <f t="shared" si="16"/>
        <v>0.24219578277771234</v>
      </c>
      <c r="P16" s="8">
        <f t="shared" si="16"/>
        <v>0.244007912775452</v>
      </c>
      <c r="Q16" s="8">
        <f t="shared" si="16"/>
        <v>0.23899986653023089</v>
      </c>
      <c r="R16" s="8">
        <f t="shared" si="16"/>
        <v>0.23996185504918691</v>
      </c>
      <c r="S16" s="11">
        <f t="shared" si="14"/>
        <v>0.24098987811828995</v>
      </c>
      <c r="T16" s="8">
        <v>0.24</v>
      </c>
      <c r="U16" s="8">
        <v>0.24</v>
      </c>
      <c r="V16" s="8">
        <v>0.24</v>
      </c>
      <c r="W16" s="8">
        <v>0.24</v>
      </c>
      <c r="X16" s="8">
        <v>0.24</v>
      </c>
    </row>
    <row r="17" spans="1:24" x14ac:dyDescent="0.2">
      <c r="B17" s="4" t="s">
        <v>21</v>
      </c>
      <c r="C17" s="8">
        <f>C8/C3</f>
        <v>-1.0787229267197846E-2</v>
      </c>
      <c r="D17" s="8">
        <f>D8/D3</f>
        <v>-1.2406310444874275E-2</v>
      </c>
      <c r="E17" s="8">
        <f t="shared" ref="E17:R17" si="17">E8/E3</f>
        <v>-8.3238966424989333E-3</v>
      </c>
      <c r="F17" s="8">
        <f t="shared" si="17"/>
        <v>-8.4238937424532985E-3</v>
      </c>
      <c r="G17" s="8">
        <f t="shared" si="17"/>
        <v>-7.2905797683067127E-3</v>
      </c>
      <c r="H17" s="8">
        <f t="shared" si="17"/>
        <v>-8.8692077348627111E-3</v>
      </c>
      <c r="I17" s="8">
        <f t="shared" si="17"/>
        <v>-5.9271905357314606E-3</v>
      </c>
      <c r="J17" s="8">
        <f t="shared" si="17"/>
        <v>-8.506648290197585E-3</v>
      </c>
      <c r="K17" s="8">
        <f t="shared" si="17"/>
        <v>-9.8948147365082728E-3</v>
      </c>
      <c r="L17" s="8">
        <f t="shared" si="17"/>
        <v>-9.7419329263458334E-3</v>
      </c>
      <c r="M17" s="8">
        <f t="shared" si="17"/>
        <v>-9.0015988466123856E-3</v>
      </c>
      <c r="N17" s="8">
        <f t="shared" si="17"/>
        <v>-1.0233613064186891E-2</v>
      </c>
      <c r="O17" s="8">
        <f t="shared" si="17"/>
        <v>-9.8402846113087583E-3</v>
      </c>
      <c r="P17" s="8">
        <f t="shared" si="17"/>
        <v>-8.6201763729102845E-3</v>
      </c>
      <c r="Q17" s="8">
        <f t="shared" si="17"/>
        <v>-9.9235719776624327E-3</v>
      </c>
      <c r="R17" s="8">
        <f t="shared" si="17"/>
        <v>-1.156095867530409E-2</v>
      </c>
      <c r="S17" s="11">
        <f t="shared" si="14"/>
        <v>-1.0034902341958935E-2</v>
      </c>
      <c r="T17" s="8">
        <v>-0.01</v>
      </c>
      <c r="U17" s="8">
        <v>-0.01</v>
      </c>
      <c r="V17" s="8">
        <v>-0.01</v>
      </c>
      <c r="W17" s="8">
        <v>-0.01</v>
      </c>
      <c r="X17" s="8">
        <v>-0.01</v>
      </c>
    </row>
    <row r="19" spans="1:24" s="6" customFormat="1" x14ac:dyDescent="0.2">
      <c r="A19" s="4"/>
      <c r="B19" s="4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6">
        <v>2862</v>
      </c>
      <c r="Q19" s="6">
        <v>2975</v>
      </c>
      <c r="R19" s="6">
        <v>3247</v>
      </c>
      <c r="T19" s="6">
        <f>T3*T20</f>
        <v>3206.0490000000004</v>
      </c>
      <c r="U19" s="6">
        <f t="shared" ref="U19:X19" si="18">U3*U20</f>
        <v>3366.3514500000001</v>
      </c>
      <c r="V19" s="6">
        <f t="shared" si="18"/>
        <v>3534.6690225000007</v>
      </c>
      <c r="W19" s="6">
        <f t="shared" si="18"/>
        <v>3711.4024736250008</v>
      </c>
      <c r="X19" s="6">
        <f t="shared" si="18"/>
        <v>3896.9725973062509</v>
      </c>
    </row>
    <row r="20" spans="1:24" s="8" customFormat="1" x14ac:dyDescent="0.2">
      <c r="A20" s="4"/>
      <c r="B20" s="4" t="s">
        <v>23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8">
        <f t="shared" ref="P20:Q20" si="19">P19/P3</f>
        <v>1.8933956085394655E-2</v>
      </c>
      <c r="Q20" s="8">
        <f t="shared" si="19"/>
        <v>1.8900529214818013E-2</v>
      </c>
      <c r="R20" s="8">
        <f>R19/R3</f>
        <v>2.1268233891621743E-2</v>
      </c>
      <c r="T20" s="8">
        <v>0.02</v>
      </c>
      <c r="U20" s="8">
        <v>0.02</v>
      </c>
      <c r="V20" s="8">
        <v>0.02</v>
      </c>
      <c r="W20" s="8">
        <v>0.02</v>
      </c>
      <c r="X20" s="8">
        <v>0.02</v>
      </c>
    </row>
    <row r="21" spans="1:24" s="6" customFormat="1" x14ac:dyDescent="0.2">
      <c r="A21" s="4"/>
      <c r="B21" s="4" t="s">
        <v>24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6">
        <f>3317+24886+1511-11443-1991-3064-3858</f>
        <v>9358</v>
      </c>
      <c r="R21" s="6">
        <f>3328+20976+1711-10037-2096-2762-4225</f>
        <v>6895</v>
      </c>
      <c r="T21" s="6">
        <f>T3*T22</f>
        <v>8015.1225000000013</v>
      </c>
      <c r="U21" s="6">
        <f t="shared" ref="U21:X21" si="20">U3*U22</f>
        <v>8415.8786250000012</v>
      </c>
      <c r="V21" s="6">
        <f t="shared" si="20"/>
        <v>8836.6725562500014</v>
      </c>
      <c r="W21" s="6">
        <f t="shared" si="20"/>
        <v>9278.5061840625021</v>
      </c>
      <c r="X21" s="6">
        <f t="shared" si="20"/>
        <v>9742.4314932656271</v>
      </c>
    </row>
    <row r="22" spans="1:24" s="8" customFormat="1" x14ac:dyDescent="0.2">
      <c r="A22" s="4"/>
      <c r="B22" s="4" t="s">
        <v>23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8">
        <f>Q21/Q3</f>
        <v>5.9452488199081339E-2</v>
      </c>
      <c r="R22" s="8">
        <f>R21/R3</f>
        <v>4.5163065193326739E-2</v>
      </c>
      <c r="T22" s="8">
        <v>0.05</v>
      </c>
      <c r="U22" s="8">
        <v>0.05</v>
      </c>
      <c r="V22" s="8">
        <v>0.05</v>
      </c>
      <c r="W22" s="8">
        <v>0.05</v>
      </c>
      <c r="X22" s="8">
        <v>0.05</v>
      </c>
    </row>
    <row r="23" spans="1:24" x14ac:dyDescent="0.2">
      <c r="B23" s="4" t="s">
        <v>25</v>
      </c>
      <c r="R23" s="12">
        <f>Q21-R21</f>
        <v>2463</v>
      </c>
      <c r="T23" s="12">
        <f>R21-T21</f>
        <v>-1120.1225000000013</v>
      </c>
      <c r="U23" s="12">
        <f>T21-U21</f>
        <v>-400.75612499999988</v>
      </c>
      <c r="V23" s="12">
        <f t="shared" ref="V23:X23" si="21">U21-V21</f>
        <v>-420.79393125000024</v>
      </c>
      <c r="W23" s="12">
        <f t="shared" si="21"/>
        <v>-441.83362781250071</v>
      </c>
      <c r="X23" s="12">
        <f t="shared" si="21"/>
        <v>-463.92530920312493</v>
      </c>
    </row>
    <row r="24" spans="1:24" s="6" customFormat="1" x14ac:dyDescent="0.2">
      <c r="A24" s="4"/>
      <c r="B24" s="4" t="s">
        <v>26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6">
        <v>2566</v>
      </c>
      <c r="Q24" s="6">
        <v>3119</v>
      </c>
      <c r="R24" s="6">
        <v>3226</v>
      </c>
      <c r="T24" s="6">
        <f>T3*T25</f>
        <v>3206.0490000000004</v>
      </c>
      <c r="U24" s="6">
        <f t="shared" ref="U24:X24" si="22">U3*U25</f>
        <v>3366.3514500000001</v>
      </c>
      <c r="V24" s="6">
        <f t="shared" si="22"/>
        <v>3534.6690225000007</v>
      </c>
      <c r="W24" s="6">
        <f t="shared" si="22"/>
        <v>3711.4024736250008</v>
      </c>
      <c r="X24" s="6">
        <f t="shared" si="22"/>
        <v>3896.9725973062509</v>
      </c>
    </row>
    <row r="25" spans="1:24" s="8" customFormat="1" x14ac:dyDescent="0.2">
      <c r="A25" s="4"/>
      <c r="B25" s="4" t="s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8">
        <f t="shared" ref="P25:Q25" si="23">P24/P3</f>
        <v>1.6975727224012121E-2</v>
      </c>
      <c r="Q25" s="8">
        <f t="shared" si="23"/>
        <v>1.9815378360005846E-2</v>
      </c>
      <c r="R25" s="8">
        <f>R24/R3</f>
        <v>2.113068140879943E-2</v>
      </c>
      <c r="T25" s="8">
        <v>0.02</v>
      </c>
      <c r="U25" s="8">
        <v>0.02</v>
      </c>
      <c r="V25" s="8">
        <v>0.02</v>
      </c>
      <c r="W25" s="8">
        <v>0.02</v>
      </c>
      <c r="X25" s="8">
        <v>0.02</v>
      </c>
    </row>
    <row r="27" spans="1:24" x14ac:dyDescent="0.2">
      <c r="B27" s="4" t="s">
        <v>28</v>
      </c>
      <c r="P27" s="6">
        <f>P7</f>
        <v>23040</v>
      </c>
      <c r="Q27" s="6">
        <f t="shared" ref="Q27:X27" si="24">Q7</f>
        <v>24039</v>
      </c>
      <c r="R27" s="6">
        <f t="shared" si="24"/>
        <v>21689</v>
      </c>
      <c r="S27" s="6"/>
      <c r="T27" s="6">
        <f t="shared" si="24"/>
        <v>24045.3675</v>
      </c>
      <c r="U27" s="6">
        <f t="shared" si="24"/>
        <v>25247.635875</v>
      </c>
      <c r="V27" s="6">
        <f t="shared" si="24"/>
        <v>26510.017668750002</v>
      </c>
      <c r="W27" s="6">
        <f t="shared" si="24"/>
        <v>27835.518552187503</v>
      </c>
      <c r="X27" s="6">
        <f t="shared" si="24"/>
        <v>29227.294479796881</v>
      </c>
    </row>
    <row r="28" spans="1:24" x14ac:dyDescent="0.2">
      <c r="B28" s="4" t="s">
        <v>29</v>
      </c>
      <c r="P28" s="6">
        <f>P27*P16</f>
        <v>5621.9423103464142</v>
      </c>
      <c r="Q28" s="6">
        <f t="shared" ref="Q28:X28" si="25">Q27*Q16</f>
        <v>5745.3177915202205</v>
      </c>
      <c r="R28" s="6">
        <f t="shared" si="25"/>
        <v>5204.5326741618146</v>
      </c>
      <c r="S28" s="6"/>
      <c r="T28" s="6">
        <f t="shared" si="25"/>
        <v>5770.8881999999994</v>
      </c>
      <c r="U28" s="6">
        <f t="shared" si="25"/>
        <v>6059.4326099999998</v>
      </c>
      <c r="V28" s="6">
        <f t="shared" si="25"/>
        <v>6362.4042405</v>
      </c>
      <c r="W28" s="6">
        <f t="shared" si="25"/>
        <v>6680.524452525</v>
      </c>
      <c r="X28" s="6">
        <f t="shared" si="25"/>
        <v>7014.5506751512512</v>
      </c>
    </row>
    <row r="29" spans="1:24" x14ac:dyDescent="0.2">
      <c r="B29" s="4" t="s">
        <v>30</v>
      </c>
      <c r="P29" s="6">
        <f>P27-P28</f>
        <v>17418.057689653586</v>
      </c>
      <c r="Q29" s="6">
        <f t="shared" ref="Q29:X29" si="26">Q27-Q28</f>
        <v>18293.682208479779</v>
      </c>
      <c r="R29" s="6">
        <f t="shared" si="26"/>
        <v>16484.467325838184</v>
      </c>
      <c r="S29" s="6"/>
      <c r="T29" s="6">
        <f t="shared" si="26"/>
        <v>18274.479299999999</v>
      </c>
      <c r="U29" s="6">
        <f t="shared" si="26"/>
        <v>19188.203265</v>
      </c>
      <c r="V29" s="6">
        <f t="shared" si="26"/>
        <v>20147.613428250002</v>
      </c>
      <c r="W29" s="6">
        <f t="shared" si="26"/>
        <v>21154.994099662501</v>
      </c>
      <c r="X29" s="6">
        <f t="shared" si="26"/>
        <v>22212.74380464563</v>
      </c>
    </row>
    <row r="30" spans="1:24" x14ac:dyDescent="0.2">
      <c r="B30" s="20" t="s">
        <v>31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3">
        <f>T29+T19+T23-T24</f>
        <v>17154.356799999998</v>
      </c>
      <c r="U30" s="23">
        <f t="shared" ref="U30:X30" si="27">U29+U19+U23-U24</f>
        <v>18787.447139999997</v>
      </c>
      <c r="V30" s="23">
        <f t="shared" si="27"/>
        <v>19726.819497</v>
      </c>
      <c r="W30" s="23">
        <f t="shared" si="27"/>
        <v>20713.160471850002</v>
      </c>
      <c r="X30" s="23">
        <f t="shared" si="27"/>
        <v>21748.818495442505</v>
      </c>
    </row>
    <row r="32" spans="1:24" x14ac:dyDescent="0.2">
      <c r="B32" s="4" t="s">
        <v>32</v>
      </c>
      <c r="P32" s="9">
        <f ca="1">TODAY()</f>
        <v>45551</v>
      </c>
    </row>
    <row r="33" spans="2:24" x14ac:dyDescent="0.2">
      <c r="B33" s="4" t="s">
        <v>33</v>
      </c>
      <c r="P33" s="8">
        <f ca="1">(T1-P32)/365</f>
        <v>0.37534246575342467</v>
      </c>
    </row>
    <row r="34" spans="2:24" x14ac:dyDescent="0.2">
      <c r="B34" s="4" t="s">
        <v>34</v>
      </c>
      <c r="P34" s="8">
        <v>0.08</v>
      </c>
    </row>
    <row r="35" spans="2:24" x14ac:dyDescent="0.2">
      <c r="B35" s="4" t="s">
        <v>35</v>
      </c>
      <c r="P35" s="8">
        <v>0.02</v>
      </c>
    </row>
    <row r="37" spans="2:24" x14ac:dyDescent="0.2">
      <c r="B37" s="20" t="s">
        <v>36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2">
        <f ca="1">P33*T30/(1+discount)^((T1-valDate)/365)</f>
        <v>6255.4245008787857</v>
      </c>
      <c r="U37" s="22">
        <f ca="1">U30/(1+discount)^((U1-valDate)/365)</f>
        <v>16900.465288588362</v>
      </c>
      <c r="V37" s="22">
        <f ca="1">V30/(1+discount)^((V1-valDate)/365)</f>
        <v>16431.00791946091</v>
      </c>
      <c r="W37" s="22">
        <f ca="1">W30/(1+discount)^((W1-valDate)/365)</f>
        <v>15974.59103280922</v>
      </c>
      <c r="X37" s="22">
        <f ca="1">X30/(1+discount)^((X1-valDate)/365)</f>
        <v>15527.578024334829</v>
      </c>
    </row>
    <row r="39" spans="2:24" x14ac:dyDescent="0.2">
      <c r="B39" s="4" t="s">
        <v>37</v>
      </c>
      <c r="P39" s="6">
        <f>X30*(1+discount)</f>
        <v>23488.723975077908</v>
      </c>
      <c r="T39" s="18" t="s">
        <v>45</v>
      </c>
      <c r="U39" s="18"/>
      <c r="V39" s="18"/>
    </row>
    <row r="40" spans="2:24" x14ac:dyDescent="0.2">
      <c r="B40" s="4" t="s">
        <v>38</v>
      </c>
      <c r="P40" s="6">
        <f>P39/(discount-tgr)</f>
        <v>391478.73291796516</v>
      </c>
      <c r="R40" s="17">
        <f ca="1">P47</f>
        <v>415.02907118453379</v>
      </c>
      <c r="S40" s="15">
        <v>7.0000000000000007E-2</v>
      </c>
      <c r="T40" s="15">
        <v>7.4999999999999997E-2</v>
      </c>
      <c r="U40" s="15">
        <v>0.08</v>
      </c>
      <c r="V40" s="15">
        <v>8.5000000000000006E-2</v>
      </c>
      <c r="W40" s="15">
        <v>0.09</v>
      </c>
    </row>
    <row r="41" spans="2:24" x14ac:dyDescent="0.2">
      <c r="B41" s="4" t="s">
        <v>39</v>
      </c>
      <c r="P41" s="6">
        <f ca="1">P40/(1+discount)^((X1-valDate)/365)</f>
        <v>279496.40443802701</v>
      </c>
      <c r="R41" s="16">
        <v>-0.01</v>
      </c>
      <c r="S41" s="5">
        <f t="dataTable" ref="S41:W45" dt2D="1" dtr="1" r1="P34" r2="P35" ca="1"/>
        <v>353.19363420805371</v>
      </c>
      <c r="T41" s="5">
        <v>336.28522320061751</v>
      </c>
      <c r="U41" s="5">
        <v>321.23452300387709</v>
      </c>
      <c r="V41" s="5">
        <v>307.74911126523313</v>
      </c>
      <c r="W41" s="5">
        <v>295.59501428248404</v>
      </c>
    </row>
    <row r="42" spans="2:24" x14ac:dyDescent="0.2">
      <c r="B42" s="4" t="s">
        <v>40</v>
      </c>
      <c r="P42" s="6">
        <f ca="1">SUM(T37:X37)</f>
        <v>71089.066766072108</v>
      </c>
      <c r="R42" s="16">
        <v>0.01</v>
      </c>
      <c r="S42" s="5">
        <v>425.78521202885622</v>
      </c>
      <c r="T42" s="5">
        <v>398.36578430130476</v>
      </c>
      <c r="U42" s="5">
        <v>374.83140767853803</v>
      </c>
      <c r="V42" s="5">
        <v>354.40633071788375</v>
      </c>
      <c r="W42" s="5">
        <v>336.50869168175802</v>
      </c>
    </row>
    <row r="43" spans="2:24" x14ac:dyDescent="0.2">
      <c r="B43" s="4" t="s">
        <v>41</v>
      </c>
      <c r="P43" s="6">
        <f ca="1">P41+P42</f>
        <v>350585.47120409913</v>
      </c>
      <c r="R43" s="16">
        <v>0.02</v>
      </c>
      <c r="S43" s="5">
        <v>483.85847428549818</v>
      </c>
      <c r="T43" s="5">
        <v>446.33712697001761</v>
      </c>
      <c r="U43" s="19">
        <v>415.02907118453379</v>
      </c>
      <c r="V43" s="5">
        <v>388.50199108712837</v>
      </c>
      <c r="W43" s="5">
        <v>365.73274696695387</v>
      </c>
    </row>
    <row r="44" spans="2:24" x14ac:dyDescent="0.2">
      <c r="B44" s="4" t="s">
        <v>4</v>
      </c>
      <c r="P44" s="6">
        <f>Main!G5</f>
        <v>1613</v>
      </c>
      <c r="R44" s="16">
        <v>2.5000000000000001E-2</v>
      </c>
      <c r="S44" s="5">
        <v>522.57398245659283</v>
      </c>
      <c r="T44" s="5">
        <v>477.51849970468101</v>
      </c>
      <c r="U44" s="5">
        <v>440.60940250653101</v>
      </c>
      <c r="V44" s="5">
        <v>409.81177881790637</v>
      </c>
      <c r="W44" s="5">
        <v>383.7167809886127</v>
      </c>
    </row>
    <row r="45" spans="2:24" x14ac:dyDescent="0.2">
      <c r="B45" s="4" t="s">
        <v>5</v>
      </c>
      <c r="P45" s="6">
        <f>Main!G6</f>
        <v>63273</v>
      </c>
      <c r="R45" s="16">
        <v>0.03</v>
      </c>
      <c r="S45" s="5">
        <v>570.96836767046125</v>
      </c>
      <c r="T45" s="5">
        <v>515.62906638038066</v>
      </c>
      <c r="U45" s="5">
        <v>471.30580009292771</v>
      </c>
      <c r="V45" s="5">
        <v>434.99607340882568</v>
      </c>
      <c r="W45" s="5">
        <v>404.69815401388149</v>
      </c>
    </row>
    <row r="46" spans="2:24" x14ac:dyDescent="0.2">
      <c r="B46" s="4" t="s">
        <v>42</v>
      </c>
      <c r="P46" s="6">
        <f ca="1">P43-P44+P45</f>
        <v>412245.47120409913</v>
      </c>
    </row>
    <row r="47" spans="2:24" x14ac:dyDescent="0.2">
      <c r="B47" s="13" t="s">
        <v>43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>
        <f ca="1">P46/Main!G3</f>
        <v>415.02907118453379</v>
      </c>
    </row>
    <row r="48" spans="2:24" x14ac:dyDescent="0.2">
      <c r="B48" s="4" t="s">
        <v>44</v>
      </c>
      <c r="P48" s="8">
        <f ca="1">(P47/Main!G2)-1</f>
        <v>9.2210508656895618E-2</v>
      </c>
    </row>
  </sheetData>
  <mergeCells count="1">
    <mergeCell ref="T39:V39"/>
  </mergeCells>
  <hyperlinks>
    <hyperlink ref="A1" location="Main!A1" display="Main" xr:uid="{16D1C01E-5266-4749-A0F9-84C3E304FE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Main</vt:lpstr>
      <vt:lpstr>Model</vt:lpstr>
      <vt:lpstr>discount</vt:lpstr>
      <vt:lpstr>tgr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2024-09-16T19:49:44Z</dcterms:created>
  <dcterms:modified xsi:type="dcterms:W3CDTF">2024-09-16T20:18:17Z</dcterms:modified>
</cp:coreProperties>
</file>