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ther/Dropbox/Jayden/Stocks/"/>
    </mc:Choice>
  </mc:AlternateContent>
  <xr:revisionPtr revIDLastSave="0" documentId="13_ncr:1_{622C74D8-96E3-DB4F-A8D7-2094A94D4827}" xr6:coauthVersionLast="47" xr6:coauthVersionMax="47" xr10:uidLastSave="{00000000-0000-0000-0000-000000000000}"/>
  <bookViews>
    <workbookView xWindow="25620" yWindow="500" windowWidth="25580" windowHeight="28300" xr2:uid="{FCF38222-CE70-DE4C-BF5D-70A1F97AEF7B}"/>
  </bookViews>
  <sheets>
    <sheet name="Main" sheetId="1" r:id="rId1"/>
    <sheet name="Model" sheetId="2" r:id="rId2"/>
  </sheets>
  <definedNames>
    <definedName name="discount">Model!$Q$37</definedName>
    <definedName name="tgr">Model!$Q$38</definedName>
    <definedName name="valDate">Model!$Q$35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8" i="2" l="1"/>
  <c r="Q47" i="2"/>
  <c r="Q42" i="2"/>
  <c r="Q43" i="2" s="1"/>
  <c r="Q35" i="2"/>
  <c r="Q36" i="2" s="1"/>
  <c r="U40" i="2" s="1"/>
  <c r="W1" i="2"/>
  <c r="X1" i="2" s="1"/>
  <c r="Y1" i="2" s="1"/>
  <c r="V1" i="2"/>
  <c r="U1" i="2"/>
  <c r="Q1" i="2"/>
  <c r="R1" i="2"/>
  <c r="Y33" i="2"/>
  <c r="X33" i="2"/>
  <c r="W33" i="2"/>
  <c r="V33" i="2"/>
  <c r="U33" i="2"/>
  <c r="Y31" i="2"/>
  <c r="X31" i="2"/>
  <c r="W31" i="2"/>
  <c r="Y30" i="2"/>
  <c r="Y32" i="2" s="1"/>
  <c r="X30" i="2"/>
  <c r="X32" i="2" s="1"/>
  <c r="W30" i="2"/>
  <c r="W32" i="2" s="1"/>
  <c r="V30" i="2"/>
  <c r="U30" i="2"/>
  <c r="U31" i="2" s="1"/>
  <c r="S30" i="2"/>
  <c r="S31" i="2" s="1"/>
  <c r="R30" i="2"/>
  <c r="Q31" i="2"/>
  <c r="Q32" i="2" s="1"/>
  <c r="Q30" i="2"/>
  <c r="Y27" i="2"/>
  <c r="X27" i="2"/>
  <c r="W27" i="2"/>
  <c r="V27" i="2"/>
  <c r="U27" i="2"/>
  <c r="Y26" i="2"/>
  <c r="X26" i="2"/>
  <c r="W26" i="2"/>
  <c r="V26" i="2"/>
  <c r="U26" i="2"/>
  <c r="Y24" i="2"/>
  <c r="X24" i="2"/>
  <c r="W24" i="2"/>
  <c r="V24" i="2"/>
  <c r="U24" i="2"/>
  <c r="Y22" i="2"/>
  <c r="X22" i="2"/>
  <c r="W22" i="2"/>
  <c r="V22" i="2"/>
  <c r="U22" i="2"/>
  <c r="Y13" i="2"/>
  <c r="X13" i="2"/>
  <c r="W13" i="2"/>
  <c r="V13" i="2"/>
  <c r="U13" i="2"/>
  <c r="Y12" i="2"/>
  <c r="X12" i="2"/>
  <c r="W12" i="2"/>
  <c r="V12" i="2"/>
  <c r="U12" i="2"/>
  <c r="Y11" i="2"/>
  <c r="X11" i="2"/>
  <c r="W11" i="2"/>
  <c r="V11" i="2"/>
  <c r="U11" i="2"/>
  <c r="Y10" i="2"/>
  <c r="X10" i="2"/>
  <c r="W10" i="2"/>
  <c r="V10" i="2"/>
  <c r="U10" i="2"/>
  <c r="Y7" i="2"/>
  <c r="X7" i="2"/>
  <c r="W7" i="2"/>
  <c r="V7" i="2"/>
  <c r="U7" i="2"/>
  <c r="Y8" i="2"/>
  <c r="X8" i="2"/>
  <c r="W8" i="2"/>
  <c r="V8" i="2"/>
  <c r="U8" i="2"/>
  <c r="Y6" i="2"/>
  <c r="X6" i="2"/>
  <c r="W6" i="2"/>
  <c r="V6" i="2"/>
  <c r="U6" i="2"/>
  <c r="Y9" i="2"/>
  <c r="X9" i="2"/>
  <c r="W9" i="2"/>
  <c r="V9" i="2"/>
  <c r="U9" i="2"/>
  <c r="Y4" i="2"/>
  <c r="X4" i="2"/>
  <c r="W4" i="2"/>
  <c r="V4" i="2"/>
  <c r="U4" i="2"/>
  <c r="Y5" i="2"/>
  <c r="X5" i="2"/>
  <c r="W5" i="2"/>
  <c r="V5" i="2"/>
  <c r="U5" i="2"/>
  <c r="X3" i="2"/>
  <c r="Y3" i="2" s="1"/>
  <c r="W3" i="2"/>
  <c r="V3" i="2"/>
  <c r="U3" i="2"/>
  <c r="S26" i="2"/>
  <c r="R25" i="2"/>
  <c r="S25" i="2"/>
  <c r="R24" i="2"/>
  <c r="S24" i="2"/>
  <c r="R28" i="2"/>
  <c r="Q28" i="2"/>
  <c r="S28" i="2"/>
  <c r="R23" i="2"/>
  <c r="Q23" i="2"/>
  <c r="S23" i="2"/>
  <c r="T20" i="2"/>
  <c r="T19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S18" i="2"/>
  <c r="R18" i="2"/>
  <c r="Q18" i="2"/>
  <c r="T18" i="2" s="1"/>
  <c r="P18" i="2"/>
  <c r="O18" i="2"/>
  <c r="N18" i="2"/>
  <c r="M18" i="2"/>
  <c r="L18" i="2"/>
  <c r="K18" i="2"/>
  <c r="J18" i="2"/>
  <c r="I18" i="2"/>
  <c r="H18" i="2"/>
  <c r="G18" i="2"/>
  <c r="F18" i="2"/>
  <c r="E18" i="2"/>
  <c r="S17" i="2"/>
  <c r="R17" i="2"/>
  <c r="T17" i="2" s="1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S16" i="2"/>
  <c r="R16" i="2"/>
  <c r="Q16" i="2"/>
  <c r="T16" i="2" s="1"/>
  <c r="P16" i="2"/>
  <c r="O16" i="2"/>
  <c r="N16" i="2"/>
  <c r="M16" i="2"/>
  <c r="L16" i="2"/>
  <c r="K16" i="2"/>
  <c r="J16" i="2"/>
  <c r="I16" i="2"/>
  <c r="H16" i="2"/>
  <c r="G16" i="2"/>
  <c r="F16" i="2"/>
  <c r="E16" i="2"/>
  <c r="S15" i="2"/>
  <c r="R15" i="2"/>
  <c r="T15" i="2" s="1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20" i="2"/>
  <c r="D19" i="2"/>
  <c r="D18" i="2"/>
  <c r="D17" i="2"/>
  <c r="D16" i="2"/>
  <c r="C20" i="2"/>
  <c r="C19" i="2"/>
  <c r="C18" i="2"/>
  <c r="C17" i="2"/>
  <c r="C16" i="2"/>
  <c r="D15" i="2"/>
  <c r="D2" i="2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U2" i="2" s="1"/>
  <c r="V2" i="2" s="1"/>
  <c r="W2" i="2" s="1"/>
  <c r="X2" i="2" s="1"/>
  <c r="Y2" i="2" s="1"/>
  <c r="G6" i="1"/>
  <c r="G4" i="1"/>
  <c r="G7" i="1" s="1"/>
  <c r="Q44" i="2" l="1"/>
  <c r="V40" i="2"/>
  <c r="W40" i="2"/>
  <c r="X40" i="2"/>
  <c r="Y40" i="2"/>
  <c r="S32" i="2"/>
  <c r="V31" i="2"/>
  <c r="V32" i="2" s="1"/>
  <c r="U32" i="2"/>
  <c r="R31" i="2"/>
  <c r="R32" i="2" s="1"/>
  <c r="Q45" i="2" l="1"/>
  <c r="Q46" i="2" s="1"/>
  <c r="Q49" i="2" s="1"/>
  <c r="Q50" i="2" s="1"/>
  <c r="Q51" i="2" l="1"/>
  <c r="S43" i="2"/>
</calcChain>
</file>

<file path=xl/sharedStrings.xml><?xml version="1.0" encoding="utf-8"?>
<sst xmlns="http://schemas.openxmlformats.org/spreadsheetml/2006/main" count="58" uniqueCount="52">
  <si>
    <t>International Business Machines Corp.</t>
  </si>
  <si>
    <t xml:space="preserve">Ticker </t>
  </si>
  <si>
    <t>IBM</t>
  </si>
  <si>
    <t>Price</t>
  </si>
  <si>
    <t>Shares</t>
  </si>
  <si>
    <t>MC</t>
  </si>
  <si>
    <t>Cash</t>
  </si>
  <si>
    <t>Debt</t>
  </si>
  <si>
    <t>EV</t>
  </si>
  <si>
    <t>Main</t>
  </si>
  <si>
    <t>Other Income</t>
  </si>
  <si>
    <t>Net Income</t>
  </si>
  <si>
    <t>Revenue</t>
  </si>
  <si>
    <t>COGS</t>
  </si>
  <si>
    <t>Gross Profit</t>
  </si>
  <si>
    <t>OpEx</t>
  </si>
  <si>
    <t>SG&amp;A</t>
  </si>
  <si>
    <t>R&amp;D</t>
  </si>
  <si>
    <t>EBIT</t>
  </si>
  <si>
    <t>EBT</t>
  </si>
  <si>
    <t>Taxes</t>
  </si>
  <si>
    <t>Revenue Growth y/y</t>
  </si>
  <si>
    <t>Gross Margin</t>
  </si>
  <si>
    <t>Operating Margin</t>
  </si>
  <si>
    <t xml:space="preserve">Tax Rate </t>
  </si>
  <si>
    <t>Other Income % of Revenue</t>
  </si>
  <si>
    <t>R&amp;D % of Revenue</t>
  </si>
  <si>
    <t>D&amp;A</t>
  </si>
  <si>
    <t>% of Revenue</t>
  </si>
  <si>
    <t>Working Capital</t>
  </si>
  <si>
    <t>CIWC</t>
  </si>
  <si>
    <t>CapEx</t>
  </si>
  <si>
    <t>AVG</t>
  </si>
  <si>
    <t>Operating Revenue</t>
  </si>
  <si>
    <t>Operating Taxes</t>
  </si>
  <si>
    <t>NOPAT</t>
  </si>
  <si>
    <t>UFCF</t>
  </si>
  <si>
    <t>Valuation Date</t>
  </si>
  <si>
    <t>Stub %</t>
  </si>
  <si>
    <t>Discount Rate</t>
  </si>
  <si>
    <t>TGR</t>
  </si>
  <si>
    <t>PV of UFCF</t>
  </si>
  <si>
    <t>Final Year FCF</t>
  </si>
  <si>
    <t>Terminal Value</t>
  </si>
  <si>
    <t>PV of Terminal Value</t>
  </si>
  <si>
    <t>Sum of Stage 1 CF</t>
  </si>
  <si>
    <t>Enterprise Value</t>
  </si>
  <si>
    <t>Equity Value</t>
  </si>
  <si>
    <t>Share Price</t>
  </si>
  <si>
    <t>Implied Upside</t>
  </si>
  <si>
    <t>Sensitivity Analysis</t>
  </si>
  <si>
    <t>Q2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</si>
</sst>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8" formatCode="0.0%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3" tint="0.499984740745262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1" applyNumberFormat="1" applyFont="1"/>
    <xf numFmtId="0" fontId="3" fillId="0" borderId="0" xfId="0" applyFont="1"/>
    <xf numFmtId="164" fontId="3" fillId="0" borderId="0" xfId="1" applyNumberFormat="1" applyFont="1"/>
    <xf numFmtId="0" fontId="4" fillId="0" borderId="0" xfId="2" applyFont="1"/>
    <xf numFmtId="9" fontId="3" fillId="0" borderId="0" xfId="3" applyFont="1"/>
    <xf numFmtId="9" fontId="5" fillId="0" borderId="0" xfId="0" applyNumberFormat="1" applyFont="1"/>
    <xf numFmtId="43" fontId="3" fillId="0" borderId="0" xfId="1" applyFont="1"/>
    <xf numFmtId="164" fontId="3" fillId="0" borderId="0" xfId="0" applyNumberFormat="1" applyFont="1"/>
    <xf numFmtId="0" fontId="6" fillId="0" borderId="0" xfId="0" applyFont="1"/>
    <xf numFmtId="14" fontId="3" fillId="0" borderId="0" xfId="0" applyNumberFormat="1" applyFont="1"/>
    <xf numFmtId="0" fontId="3" fillId="0" borderId="1" xfId="0" applyFont="1" applyBorder="1"/>
    <xf numFmtId="43" fontId="6" fillId="0" borderId="0" xfId="1" applyFont="1"/>
    <xf numFmtId="0" fontId="6" fillId="0" borderId="2" xfId="0" applyFont="1" applyBorder="1"/>
    <xf numFmtId="0" fontId="3" fillId="0" borderId="2" xfId="0" applyFont="1" applyBorder="1"/>
    <xf numFmtId="164" fontId="6" fillId="0" borderId="2" xfId="1" applyNumberFormat="1" applyFont="1" applyBorder="1"/>
    <xf numFmtId="164" fontId="6" fillId="0" borderId="2" xfId="0" applyNumberFormat="1" applyFont="1" applyBorder="1"/>
    <xf numFmtId="168" fontId="3" fillId="0" borderId="1" xfId="3" applyNumberFormat="1" applyFont="1" applyBorder="1"/>
    <xf numFmtId="168" fontId="3" fillId="0" borderId="3" xfId="3" applyNumberFormat="1" applyFont="1" applyBorder="1"/>
    <xf numFmtId="43" fontId="7" fillId="0" borderId="0" xfId="0" applyNumberFormat="1" applyFont="1"/>
    <xf numFmtId="0" fontId="6" fillId="0" borderId="0" xfId="0" applyFont="1" applyAlignment="1">
      <alignment horizontal="center"/>
    </xf>
    <xf numFmtId="43" fontId="6" fillId="0" borderId="4" xfId="1" applyFont="1" applyBorder="1"/>
    <xf numFmtId="14" fontId="0" fillId="0" borderId="0" xfId="0" applyNumberFormat="1"/>
    <xf numFmtId="0" fontId="0" fillId="0" borderId="0" xfId="0" applyAlignment="1">
      <alignment horizontal="right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325A-9AAD-DE4B-BE44-2139DBE0E831}">
  <dimension ref="A1:H7"/>
  <sheetViews>
    <sheetView tabSelected="1" zoomScale="170" zoomScaleNormal="170" workbookViewId="0">
      <selection activeCell="G11" sqref="G11"/>
    </sheetView>
  </sheetViews>
  <sheetFormatPr baseColWidth="10" defaultRowHeight="16" x14ac:dyDescent="0.2"/>
  <cols>
    <col min="7" max="7" width="11.5" bestFit="1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F2" t="s">
        <v>3</v>
      </c>
      <c r="G2">
        <v>214.79</v>
      </c>
      <c r="H2" s="22">
        <v>45551</v>
      </c>
    </row>
    <row r="3" spans="1:8" x14ac:dyDescent="0.2">
      <c r="F3" t="s">
        <v>4</v>
      </c>
      <c r="G3" s="1">
        <v>921.94799999999998</v>
      </c>
      <c r="H3" s="23" t="s">
        <v>51</v>
      </c>
    </row>
    <row r="4" spans="1:8" x14ac:dyDescent="0.2">
      <c r="F4" t="s">
        <v>5</v>
      </c>
      <c r="G4" s="1">
        <f>G2*G3</f>
        <v>198025.21091999998</v>
      </c>
      <c r="H4" s="23"/>
    </row>
    <row r="5" spans="1:8" x14ac:dyDescent="0.2">
      <c r="F5" t="s">
        <v>6</v>
      </c>
      <c r="G5" s="1">
        <v>12210</v>
      </c>
      <c r="H5" s="23" t="s">
        <v>51</v>
      </c>
    </row>
    <row r="6" spans="1:8" x14ac:dyDescent="0.2">
      <c r="F6" t="s">
        <v>7</v>
      </c>
      <c r="G6" s="1">
        <f>3602+762+52929+2546</f>
        <v>59839</v>
      </c>
      <c r="H6" s="23" t="s">
        <v>51</v>
      </c>
    </row>
    <row r="7" spans="1:8" x14ac:dyDescent="0.2">
      <c r="F7" t="s">
        <v>8</v>
      </c>
      <c r="G7" s="1">
        <f>G4-G5+G6</f>
        <v>245654.21091999998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F7AB-FE22-3E4E-9A00-9A91C9D9B8F5}">
  <dimension ref="A1:Y51"/>
  <sheetViews>
    <sheetView zoomScale="160" zoomScaleNormal="160" workbookViewId="0">
      <selection activeCell="V50" sqref="V50"/>
    </sheetView>
  </sheetViews>
  <sheetFormatPr baseColWidth="10" defaultRowHeight="16" x14ac:dyDescent="0.2"/>
  <cols>
    <col min="1" max="1" width="10.83203125" style="2"/>
    <col min="2" max="2" width="27.1640625" style="2" bestFit="1" customWidth="1"/>
    <col min="3" max="3" width="11.6640625" style="2" hidden="1" customWidth="1"/>
    <col min="4" max="4" width="12.83203125" style="2" hidden="1" customWidth="1"/>
    <col min="5" max="6" width="11.6640625" style="2" hidden="1" customWidth="1"/>
    <col min="7" max="8" width="12.83203125" style="2" hidden="1" customWidth="1"/>
    <col min="9" max="16" width="11.6640625" style="2" hidden="1" customWidth="1"/>
    <col min="17" max="17" width="12.83203125" style="2" bestFit="1" customWidth="1"/>
    <col min="18" max="18" width="11.83203125" style="2" bestFit="1" customWidth="1"/>
    <col min="19" max="19" width="12.5" style="2" bestFit="1" customWidth="1"/>
    <col min="20" max="23" width="11" style="2" bestFit="1" customWidth="1"/>
    <col min="24" max="25" width="11.6640625" style="2" bestFit="1" customWidth="1"/>
    <col min="26" max="16384" width="10.83203125" style="2"/>
  </cols>
  <sheetData>
    <row r="1" spans="1:25" x14ac:dyDescent="0.2">
      <c r="A1" s="4" t="s">
        <v>9</v>
      </c>
      <c r="Q1" s="10">
        <f>EOMONTH(R1,-12)</f>
        <v>44561</v>
      </c>
      <c r="R1" s="10">
        <f>EOMONTH(S1,-12)</f>
        <v>44926</v>
      </c>
      <c r="S1" s="10">
        <v>45291</v>
      </c>
      <c r="U1" s="10">
        <f>EOMONTH(S1,12)</f>
        <v>45657</v>
      </c>
      <c r="V1" s="10">
        <f>EOMONTH(U1,12)</f>
        <v>46022</v>
      </c>
      <c r="W1" s="10">
        <f t="shared" ref="W1:Y1" si="0">EOMONTH(V1,12)</f>
        <v>46387</v>
      </c>
      <c r="X1" s="10">
        <f t="shared" si="0"/>
        <v>46752</v>
      </c>
      <c r="Y1" s="10">
        <f t="shared" si="0"/>
        <v>47118</v>
      </c>
    </row>
    <row r="2" spans="1:25" x14ac:dyDescent="0.2">
      <c r="C2" s="2">
        <v>2007</v>
      </c>
      <c r="D2" s="2">
        <f>C2+1</f>
        <v>2008</v>
      </c>
      <c r="E2" s="2">
        <f t="shared" ref="E2:S2" si="1">D2+1</f>
        <v>2009</v>
      </c>
      <c r="F2" s="2">
        <f t="shared" si="1"/>
        <v>2010</v>
      </c>
      <c r="G2" s="2">
        <f t="shared" si="1"/>
        <v>2011</v>
      </c>
      <c r="H2" s="2">
        <f t="shared" si="1"/>
        <v>2012</v>
      </c>
      <c r="I2" s="2">
        <f t="shared" si="1"/>
        <v>2013</v>
      </c>
      <c r="J2" s="2">
        <f t="shared" si="1"/>
        <v>2014</v>
      </c>
      <c r="K2" s="2">
        <f t="shared" si="1"/>
        <v>2015</v>
      </c>
      <c r="L2" s="2">
        <f t="shared" si="1"/>
        <v>2016</v>
      </c>
      <c r="M2" s="2">
        <f t="shared" si="1"/>
        <v>2017</v>
      </c>
      <c r="N2" s="2">
        <f t="shared" si="1"/>
        <v>2018</v>
      </c>
      <c r="O2" s="2">
        <f t="shared" si="1"/>
        <v>2019</v>
      </c>
      <c r="P2" s="2">
        <f t="shared" si="1"/>
        <v>2020</v>
      </c>
      <c r="Q2" s="11">
        <f t="shared" si="1"/>
        <v>2021</v>
      </c>
      <c r="R2" s="11">
        <f t="shared" si="1"/>
        <v>2022</v>
      </c>
      <c r="S2" s="11">
        <f t="shared" si="1"/>
        <v>2023</v>
      </c>
      <c r="T2" s="11"/>
      <c r="U2" s="11">
        <f>S2+1</f>
        <v>2024</v>
      </c>
      <c r="V2" s="11">
        <f>U2+1</f>
        <v>2025</v>
      </c>
      <c r="W2" s="11">
        <f t="shared" ref="W2:Y2" si="2">V2+1</f>
        <v>2026</v>
      </c>
      <c r="X2" s="11">
        <f t="shared" si="2"/>
        <v>2027</v>
      </c>
      <c r="Y2" s="11">
        <f t="shared" si="2"/>
        <v>2028</v>
      </c>
    </row>
    <row r="3" spans="1:25" x14ac:dyDescent="0.2">
      <c r="B3" s="2" t="s">
        <v>12</v>
      </c>
      <c r="C3" s="3">
        <v>98785</v>
      </c>
      <c r="D3" s="3">
        <v>103630</v>
      </c>
      <c r="E3" s="3">
        <v>95759</v>
      </c>
      <c r="F3" s="3">
        <v>99871</v>
      </c>
      <c r="G3" s="3">
        <v>106916</v>
      </c>
      <c r="H3" s="3">
        <v>102874</v>
      </c>
      <c r="I3" s="3">
        <v>98368</v>
      </c>
      <c r="J3" s="3">
        <v>92793</v>
      </c>
      <c r="K3" s="3">
        <v>81742</v>
      </c>
      <c r="L3" s="3">
        <v>79919</v>
      </c>
      <c r="M3" s="3">
        <v>79139</v>
      </c>
      <c r="N3" s="3">
        <v>79591</v>
      </c>
      <c r="O3" s="3">
        <v>57714</v>
      </c>
      <c r="P3" s="3">
        <v>55179</v>
      </c>
      <c r="Q3" s="3">
        <v>57350</v>
      </c>
      <c r="R3" s="3">
        <v>60530</v>
      </c>
      <c r="S3" s="3">
        <v>61860</v>
      </c>
      <c r="U3" s="3">
        <f>S3*(1+U15)</f>
        <v>64334.400000000001</v>
      </c>
      <c r="V3" s="3">
        <f>U3*(1+V15)</f>
        <v>66907.775999999998</v>
      </c>
      <c r="W3" s="3">
        <f t="shared" ref="W3:Y3" si="3">V3*(1+W15)</f>
        <v>69584.087039999999</v>
      </c>
      <c r="X3" s="3">
        <f t="shared" si="3"/>
        <v>72367.450521599996</v>
      </c>
      <c r="Y3" s="3">
        <f t="shared" si="3"/>
        <v>75262.148542463998</v>
      </c>
    </row>
    <row r="4" spans="1:25" x14ac:dyDescent="0.2">
      <c r="B4" s="2" t="s">
        <v>13</v>
      </c>
      <c r="C4" s="3">
        <v>57057</v>
      </c>
      <c r="D4" s="3">
        <v>57969</v>
      </c>
      <c r="E4" s="3">
        <v>51973</v>
      </c>
      <c r="F4" s="3">
        <v>53857</v>
      </c>
      <c r="G4" s="3">
        <v>56778</v>
      </c>
      <c r="H4" s="3">
        <v>52513</v>
      </c>
      <c r="I4" s="3">
        <v>49683</v>
      </c>
      <c r="J4" s="3">
        <v>46386</v>
      </c>
      <c r="K4" s="3">
        <v>41057</v>
      </c>
      <c r="L4" s="3">
        <v>41403</v>
      </c>
      <c r="M4" s="3">
        <v>42196</v>
      </c>
      <c r="N4" s="3">
        <v>42655</v>
      </c>
      <c r="O4" s="3">
        <v>26181</v>
      </c>
      <c r="P4" s="3">
        <v>24314</v>
      </c>
      <c r="Q4" s="3">
        <v>25865</v>
      </c>
      <c r="R4" s="3">
        <v>27842</v>
      </c>
      <c r="S4" s="3">
        <v>27560</v>
      </c>
      <c r="U4" s="3">
        <f>U3-U5</f>
        <v>28950.479999999996</v>
      </c>
      <c r="V4" s="3">
        <f t="shared" ref="V4:Y4" si="4">V3-V5</f>
        <v>30108.499199999998</v>
      </c>
      <c r="W4" s="3">
        <f t="shared" si="4"/>
        <v>31312.839167999999</v>
      </c>
      <c r="X4" s="3">
        <f t="shared" si="4"/>
        <v>32565.352734719992</v>
      </c>
      <c r="Y4" s="3">
        <f t="shared" si="4"/>
        <v>33867.966844108792</v>
      </c>
    </row>
    <row r="5" spans="1:25" x14ac:dyDescent="0.2">
      <c r="B5" s="2" t="s">
        <v>14</v>
      </c>
      <c r="C5" s="3">
        <v>41729</v>
      </c>
      <c r="D5" s="3">
        <v>45661</v>
      </c>
      <c r="E5" s="3">
        <v>43785</v>
      </c>
      <c r="F5" s="3">
        <v>46014</v>
      </c>
      <c r="G5" s="3">
        <v>50138</v>
      </c>
      <c r="H5" s="3">
        <v>50361</v>
      </c>
      <c r="I5" s="3">
        <v>48684</v>
      </c>
      <c r="J5" s="3">
        <v>46407</v>
      </c>
      <c r="K5" s="3">
        <v>40684</v>
      </c>
      <c r="L5" s="3">
        <v>38516</v>
      </c>
      <c r="M5" s="3">
        <v>36943</v>
      </c>
      <c r="N5" s="3">
        <v>36936</v>
      </c>
      <c r="O5" s="3">
        <v>31533</v>
      </c>
      <c r="P5" s="3">
        <v>30865</v>
      </c>
      <c r="Q5" s="3">
        <v>31486</v>
      </c>
      <c r="R5" s="3">
        <v>32687</v>
      </c>
      <c r="S5" s="3">
        <v>34300</v>
      </c>
      <c r="U5" s="3">
        <f>U3*U16</f>
        <v>35383.920000000006</v>
      </c>
      <c r="V5" s="3">
        <f t="shared" ref="V5:Y5" si="5">V3*V16</f>
        <v>36799.2768</v>
      </c>
      <c r="W5" s="3">
        <f t="shared" si="5"/>
        <v>38271.247872</v>
      </c>
      <c r="X5" s="3">
        <f t="shared" si="5"/>
        <v>39802.097786880004</v>
      </c>
      <c r="Y5" s="3">
        <f t="shared" si="5"/>
        <v>41394.181698355205</v>
      </c>
    </row>
    <row r="6" spans="1:25" x14ac:dyDescent="0.2">
      <c r="B6" s="2" t="s">
        <v>15</v>
      </c>
      <c r="C6" s="3">
        <v>26629</v>
      </c>
      <c r="D6" s="3">
        <v>28272</v>
      </c>
      <c r="E6" s="3">
        <v>25244</v>
      </c>
      <c r="F6" s="3">
        <v>25922</v>
      </c>
      <c r="G6" s="3">
        <v>28724</v>
      </c>
      <c r="H6" s="3">
        <v>27362</v>
      </c>
      <c r="I6" s="3">
        <v>28039</v>
      </c>
      <c r="J6" s="3">
        <v>25937</v>
      </c>
      <c r="K6" s="3">
        <v>24271</v>
      </c>
      <c r="L6" s="3">
        <v>25557</v>
      </c>
      <c r="M6" s="3">
        <v>24930</v>
      </c>
      <c r="N6" s="3">
        <v>24871</v>
      </c>
      <c r="O6" s="3">
        <v>23995</v>
      </c>
      <c r="P6" s="3">
        <v>26203</v>
      </c>
      <c r="Q6" s="3">
        <v>24621</v>
      </c>
      <c r="R6" s="3">
        <v>24513</v>
      </c>
      <c r="S6" s="3">
        <v>24918</v>
      </c>
      <c r="U6" s="3">
        <f>U3-U9</f>
        <v>55327.584000000003</v>
      </c>
      <c r="V6" s="3">
        <f t="shared" ref="V6:Y6" si="6">V3-V9</f>
        <v>57540.687359999996</v>
      </c>
      <c r="W6" s="3">
        <f t="shared" si="6"/>
        <v>59842.3148544</v>
      </c>
      <c r="X6" s="3">
        <f t="shared" si="6"/>
        <v>62236.007448575998</v>
      </c>
      <c r="Y6" s="3">
        <f t="shared" si="6"/>
        <v>64725.447746519036</v>
      </c>
    </row>
    <row r="7" spans="1:25" x14ac:dyDescent="0.2">
      <c r="B7" s="2" t="s">
        <v>16</v>
      </c>
      <c r="C7" s="3">
        <v>22060</v>
      </c>
      <c r="D7" s="3">
        <v>23386</v>
      </c>
      <c r="E7" s="3">
        <v>20952</v>
      </c>
      <c r="F7" s="3">
        <v>21837</v>
      </c>
      <c r="G7" s="3">
        <v>23594</v>
      </c>
      <c r="H7" s="3">
        <v>23463</v>
      </c>
      <c r="I7" s="3">
        <v>23451</v>
      </c>
      <c r="J7" s="3">
        <v>23180</v>
      </c>
      <c r="K7" s="3">
        <v>20430</v>
      </c>
      <c r="L7" s="3">
        <v>20869</v>
      </c>
      <c r="M7" s="3">
        <v>19680</v>
      </c>
      <c r="N7" s="3">
        <v>19366</v>
      </c>
      <c r="O7" s="3">
        <v>18724</v>
      </c>
      <c r="P7" s="3">
        <v>20561</v>
      </c>
      <c r="Q7" s="3">
        <v>18745</v>
      </c>
      <c r="R7" s="3">
        <v>18609</v>
      </c>
      <c r="S7" s="3">
        <v>19003</v>
      </c>
      <c r="U7" s="3">
        <f>U6-U8</f>
        <v>48894.144</v>
      </c>
      <c r="V7" s="3">
        <f t="shared" ref="V7:Y7" si="7">V6-V8</f>
        <v>50849.909759999995</v>
      </c>
      <c r="W7" s="3">
        <f t="shared" si="7"/>
        <v>52883.906150399998</v>
      </c>
      <c r="X7" s="3">
        <f t="shared" si="7"/>
        <v>54999.262396416001</v>
      </c>
      <c r="Y7" s="3">
        <f t="shared" si="7"/>
        <v>57199.232892272637</v>
      </c>
    </row>
    <row r="8" spans="1:25" x14ac:dyDescent="0.2">
      <c r="B8" s="2" t="s">
        <v>17</v>
      </c>
      <c r="C8" s="3">
        <v>5195</v>
      </c>
      <c r="D8" s="3">
        <v>5184</v>
      </c>
      <c r="E8" s="3">
        <v>4643</v>
      </c>
      <c r="F8" s="3">
        <v>4872</v>
      </c>
      <c r="G8" s="3">
        <v>5150</v>
      </c>
      <c r="H8" s="3">
        <v>4742</v>
      </c>
      <c r="I8" s="3">
        <v>4921</v>
      </c>
      <c r="J8" s="3">
        <v>4695</v>
      </c>
      <c r="K8" s="3">
        <v>4565</v>
      </c>
      <c r="L8" s="3">
        <v>4095</v>
      </c>
      <c r="M8" s="3">
        <v>4124</v>
      </c>
      <c r="N8" s="3">
        <v>4353</v>
      </c>
      <c r="O8" s="3">
        <v>5271</v>
      </c>
      <c r="P8" s="3">
        <v>5642</v>
      </c>
      <c r="Q8" s="3">
        <v>5876</v>
      </c>
      <c r="R8" s="3">
        <v>5904</v>
      </c>
      <c r="S8" s="3">
        <v>5915</v>
      </c>
      <c r="U8" s="3">
        <f>U3*U20</f>
        <v>6433.4400000000005</v>
      </c>
      <c r="V8" s="3">
        <f t="shared" ref="V8:Y8" si="8">V3*V20</f>
        <v>6690.7776000000003</v>
      </c>
      <c r="W8" s="3">
        <f t="shared" si="8"/>
        <v>6958.4087040000004</v>
      </c>
      <c r="X8" s="3">
        <f t="shared" si="8"/>
        <v>7236.7450521600003</v>
      </c>
      <c r="Y8" s="3">
        <f t="shared" si="8"/>
        <v>7526.2148542464001</v>
      </c>
    </row>
    <row r="9" spans="1:25" x14ac:dyDescent="0.2">
      <c r="B9" s="2" t="s">
        <v>18</v>
      </c>
      <c r="C9" s="3">
        <v>15099</v>
      </c>
      <c r="D9" s="3">
        <v>17389</v>
      </c>
      <c r="E9" s="3">
        <v>18542</v>
      </c>
      <c r="F9" s="3">
        <v>20092</v>
      </c>
      <c r="G9" s="3">
        <v>21414</v>
      </c>
      <c r="H9" s="3">
        <v>22999</v>
      </c>
      <c r="I9" s="3">
        <v>20646</v>
      </c>
      <c r="J9" s="3">
        <v>20470</v>
      </c>
      <c r="K9" s="3">
        <v>16414</v>
      </c>
      <c r="L9" s="3">
        <v>12959</v>
      </c>
      <c r="M9" s="3">
        <v>12013</v>
      </c>
      <c r="N9" s="3">
        <v>12065</v>
      </c>
      <c r="O9" s="3">
        <v>7538</v>
      </c>
      <c r="P9" s="3">
        <v>4662</v>
      </c>
      <c r="Q9" s="3">
        <v>6865</v>
      </c>
      <c r="R9" s="3">
        <v>8174</v>
      </c>
      <c r="S9" s="3">
        <v>9382</v>
      </c>
      <c r="U9" s="3">
        <f>U3*U17</f>
        <v>9006.8160000000007</v>
      </c>
      <c r="V9" s="3">
        <f t="shared" ref="V9:Y9" si="9">V3*V17</f>
        <v>9367.0886399999999</v>
      </c>
      <c r="W9" s="3">
        <f t="shared" si="9"/>
        <v>9741.7721856000007</v>
      </c>
      <c r="X9" s="3">
        <f t="shared" si="9"/>
        <v>10131.443073024</v>
      </c>
      <c r="Y9" s="3">
        <f t="shared" si="9"/>
        <v>10536.70079594496</v>
      </c>
    </row>
    <row r="10" spans="1:25" x14ac:dyDescent="0.2">
      <c r="B10" s="2" t="s">
        <v>10</v>
      </c>
      <c r="C10" s="3">
        <v>-611</v>
      </c>
      <c r="D10" s="3">
        <v>-673</v>
      </c>
      <c r="E10" s="3">
        <v>-402</v>
      </c>
      <c r="F10" s="3">
        <v>-368</v>
      </c>
      <c r="G10" s="3">
        <v>-411</v>
      </c>
      <c r="H10" s="3">
        <v>-459</v>
      </c>
      <c r="I10" s="3">
        <v>-402</v>
      </c>
      <c r="J10" s="3">
        <v>-484</v>
      </c>
      <c r="K10" s="3">
        <v>-468</v>
      </c>
      <c r="L10" s="3">
        <v>-630</v>
      </c>
      <c r="M10" s="3">
        <v>-615</v>
      </c>
      <c r="N10" s="3">
        <v>-723</v>
      </c>
      <c r="O10" s="3">
        <v>-332</v>
      </c>
      <c r="P10" s="3">
        <v>-2090</v>
      </c>
      <c r="Q10" s="3">
        <v>-2028</v>
      </c>
      <c r="R10" s="3">
        <v>-7019</v>
      </c>
      <c r="S10" s="3">
        <v>-693</v>
      </c>
      <c r="U10" s="3">
        <f>U3*U19</f>
        <v>-3216.7200000000003</v>
      </c>
      <c r="V10" s="3">
        <f t="shared" ref="V10:Y10" si="10">V3*V19</f>
        <v>-3345.3888000000002</v>
      </c>
      <c r="W10" s="3">
        <f t="shared" si="10"/>
        <v>-3479.2043520000002</v>
      </c>
      <c r="X10" s="3">
        <f t="shared" si="10"/>
        <v>-3618.3725260800002</v>
      </c>
      <c r="Y10" s="3">
        <f t="shared" si="10"/>
        <v>-3763.1074271232001</v>
      </c>
    </row>
    <row r="11" spans="1:25" x14ac:dyDescent="0.2">
      <c r="B11" s="2" t="s">
        <v>19</v>
      </c>
      <c r="C11" s="3">
        <v>14489</v>
      </c>
      <c r="D11" s="3">
        <v>16715</v>
      </c>
      <c r="E11" s="3">
        <v>18138</v>
      </c>
      <c r="F11" s="3">
        <v>19723</v>
      </c>
      <c r="G11" s="3">
        <v>21003</v>
      </c>
      <c r="H11" s="3">
        <v>22540</v>
      </c>
      <c r="I11" s="3">
        <v>20244</v>
      </c>
      <c r="J11" s="3">
        <v>19986</v>
      </c>
      <c r="K11" s="3">
        <v>15945</v>
      </c>
      <c r="L11" s="3">
        <v>12330</v>
      </c>
      <c r="M11" s="3">
        <v>11400</v>
      </c>
      <c r="N11" s="3">
        <v>11342</v>
      </c>
      <c r="O11" s="3">
        <v>7206</v>
      </c>
      <c r="P11" s="3">
        <v>2572</v>
      </c>
      <c r="Q11" s="3">
        <v>4837</v>
      </c>
      <c r="R11" s="3">
        <v>1156</v>
      </c>
      <c r="S11" s="3">
        <v>8690</v>
      </c>
      <c r="U11" s="3">
        <f>U9+U10</f>
        <v>5790.0960000000005</v>
      </c>
      <c r="V11" s="3">
        <f t="shared" ref="V11:Y11" si="11">V9+V10</f>
        <v>6021.6998399999993</v>
      </c>
      <c r="W11" s="3">
        <f t="shared" si="11"/>
        <v>6262.5678336000001</v>
      </c>
      <c r="X11" s="3">
        <f t="shared" si="11"/>
        <v>6513.0705469439999</v>
      </c>
      <c r="Y11" s="3">
        <f t="shared" si="11"/>
        <v>6773.5933688217601</v>
      </c>
    </row>
    <row r="12" spans="1:25" x14ac:dyDescent="0.2">
      <c r="B12" s="2" t="s">
        <v>20</v>
      </c>
      <c r="C12" s="3">
        <v>4071</v>
      </c>
      <c r="D12" s="3">
        <v>4381</v>
      </c>
      <c r="E12" s="3">
        <v>4713</v>
      </c>
      <c r="F12" s="3">
        <v>4890</v>
      </c>
      <c r="G12" s="3">
        <v>5148</v>
      </c>
      <c r="H12" s="3">
        <v>5541</v>
      </c>
      <c r="I12" s="3">
        <v>3363</v>
      </c>
      <c r="J12" s="3">
        <v>4234</v>
      </c>
      <c r="K12" s="3">
        <v>2581</v>
      </c>
      <c r="L12" s="3">
        <v>449</v>
      </c>
      <c r="M12" s="3">
        <v>5642</v>
      </c>
      <c r="N12" s="3">
        <v>2619</v>
      </c>
      <c r="O12" s="3">
        <v>60</v>
      </c>
      <c r="P12" s="3">
        <v>-1360</v>
      </c>
      <c r="Q12" s="3">
        <v>124</v>
      </c>
      <c r="R12" s="3">
        <v>-626</v>
      </c>
      <c r="S12" s="3">
        <v>1176</v>
      </c>
      <c r="U12" s="3">
        <f>U11*U18</f>
        <v>868.51440000000002</v>
      </c>
      <c r="V12" s="3">
        <f t="shared" ref="V12:Y12" si="12">V11*V18</f>
        <v>903.25497599999983</v>
      </c>
      <c r="W12" s="3">
        <f t="shared" si="12"/>
        <v>939.38517503999992</v>
      </c>
      <c r="X12" s="3">
        <f t="shared" si="12"/>
        <v>976.96058204159999</v>
      </c>
      <c r="Y12" s="3">
        <f t="shared" si="12"/>
        <v>1016.039005323264</v>
      </c>
    </row>
    <row r="13" spans="1:25" x14ac:dyDescent="0.2">
      <c r="B13" s="2" t="s">
        <v>11</v>
      </c>
      <c r="C13" s="3">
        <v>10418</v>
      </c>
      <c r="D13" s="3">
        <v>12334</v>
      </c>
      <c r="E13" s="3">
        <v>13425</v>
      </c>
      <c r="F13" s="3">
        <v>14833</v>
      </c>
      <c r="G13" s="3">
        <v>15855</v>
      </c>
      <c r="H13" s="3">
        <v>16604</v>
      </c>
      <c r="I13" s="3">
        <v>16483</v>
      </c>
      <c r="J13" s="3">
        <v>12022</v>
      </c>
      <c r="K13" s="3">
        <v>13190</v>
      </c>
      <c r="L13" s="3">
        <v>11872</v>
      </c>
      <c r="M13" s="3">
        <v>5753</v>
      </c>
      <c r="N13" s="3">
        <v>8728</v>
      </c>
      <c r="O13" s="3">
        <v>9431</v>
      </c>
      <c r="P13" s="3">
        <v>5590</v>
      </c>
      <c r="Q13" s="3">
        <v>5743</v>
      </c>
      <c r="R13" s="3">
        <v>1639</v>
      </c>
      <c r="S13" s="3">
        <v>7502</v>
      </c>
      <c r="U13" s="3">
        <f>U11-U12</f>
        <v>4921.5816000000004</v>
      </c>
      <c r="V13" s="3">
        <f t="shared" ref="V13:Y13" si="13">V11-V12</f>
        <v>5118.4448639999991</v>
      </c>
      <c r="W13" s="3">
        <f t="shared" si="13"/>
        <v>5323.1826585600002</v>
      </c>
      <c r="X13" s="3">
        <f t="shared" si="13"/>
        <v>5536.1099649024</v>
      </c>
      <c r="Y13" s="3">
        <f t="shared" si="13"/>
        <v>5757.5543634984961</v>
      </c>
    </row>
    <row r="14" spans="1:25" x14ac:dyDescent="0.2">
      <c r="T14" s="2" t="s">
        <v>32</v>
      </c>
    </row>
    <row r="15" spans="1:25" x14ac:dyDescent="0.2">
      <c r="B15" s="2" t="s">
        <v>21</v>
      </c>
      <c r="C15" s="5"/>
      <c r="D15" s="5">
        <f>(D3/C3)-1</f>
        <v>4.9045907779521114E-2</v>
      </c>
      <c r="E15" s="5">
        <f t="shared" ref="E15:S15" si="14">(E3/D3)-1</f>
        <v>-7.5952909389172985E-2</v>
      </c>
      <c r="F15" s="5">
        <f t="shared" si="14"/>
        <v>4.2941133470483228E-2</v>
      </c>
      <c r="G15" s="5">
        <f t="shared" si="14"/>
        <v>7.0540997887274637E-2</v>
      </c>
      <c r="H15" s="5">
        <f t="shared" si="14"/>
        <v>-3.7805379924426674E-2</v>
      </c>
      <c r="I15" s="5">
        <f t="shared" si="14"/>
        <v>-4.3801154810739318E-2</v>
      </c>
      <c r="J15" s="5">
        <f t="shared" si="14"/>
        <v>-5.6674934938191313E-2</v>
      </c>
      <c r="K15" s="5">
        <f t="shared" si="14"/>
        <v>-0.11909303503497026</v>
      </c>
      <c r="L15" s="5">
        <f t="shared" si="14"/>
        <v>-2.2301876636245721E-2</v>
      </c>
      <c r="M15" s="5">
        <f t="shared" si="14"/>
        <v>-9.7598818804038867E-3</v>
      </c>
      <c r="N15" s="5">
        <f t="shared" si="14"/>
        <v>5.7114696925661956E-3</v>
      </c>
      <c r="O15" s="5">
        <f t="shared" si="14"/>
        <v>-0.27486776143031244</v>
      </c>
      <c r="P15" s="5">
        <f t="shared" si="14"/>
        <v>-4.3923484769726628E-2</v>
      </c>
      <c r="Q15" s="5">
        <f t="shared" si="14"/>
        <v>3.9344678229036312E-2</v>
      </c>
      <c r="R15" s="5">
        <f t="shared" si="14"/>
        <v>5.5448997384481169E-2</v>
      </c>
      <c r="S15" s="5">
        <f t="shared" si="14"/>
        <v>2.197257558235588E-2</v>
      </c>
      <c r="T15" s="6">
        <f>AVERAGE(Q15:S15)</f>
        <v>3.8922083731957789E-2</v>
      </c>
      <c r="U15" s="5">
        <v>0.04</v>
      </c>
      <c r="V15" s="5">
        <v>0.04</v>
      </c>
      <c r="W15" s="5">
        <v>0.04</v>
      </c>
      <c r="X15" s="5">
        <v>0.04</v>
      </c>
      <c r="Y15" s="5">
        <v>0.04</v>
      </c>
    </row>
    <row r="16" spans="1:25" x14ac:dyDescent="0.2">
      <c r="B16" s="2" t="s">
        <v>22</v>
      </c>
      <c r="C16" s="5">
        <f>C5/C3</f>
        <v>0.42242243255554995</v>
      </c>
      <c r="D16" s="5">
        <f>D5/D3</f>
        <v>0.44061565183827078</v>
      </c>
      <c r="E16" s="5">
        <f t="shared" ref="E16:S16" si="15">E5/E3</f>
        <v>0.45724161697595006</v>
      </c>
      <c r="F16" s="5">
        <f t="shared" si="15"/>
        <v>0.46073434730802737</v>
      </c>
      <c r="G16" s="5">
        <f t="shared" si="15"/>
        <v>0.46894758502001571</v>
      </c>
      <c r="H16" s="5">
        <f t="shared" si="15"/>
        <v>0.48954060306783054</v>
      </c>
      <c r="I16" s="5">
        <f t="shared" si="15"/>
        <v>0.49491704619388421</v>
      </c>
      <c r="J16" s="5">
        <f t="shared" si="15"/>
        <v>0.50011315508712939</v>
      </c>
      <c r="K16" s="5">
        <f t="shared" si="15"/>
        <v>0.49771231435492158</v>
      </c>
      <c r="L16" s="5">
        <f t="shared" si="15"/>
        <v>0.48193796218671403</v>
      </c>
      <c r="M16" s="5">
        <f t="shared" si="15"/>
        <v>0.46681155940813002</v>
      </c>
      <c r="N16" s="5">
        <f t="shared" si="15"/>
        <v>0.46407257101933636</v>
      </c>
      <c r="O16" s="5">
        <f t="shared" si="15"/>
        <v>0.54636656617111967</v>
      </c>
      <c r="P16" s="5">
        <f t="shared" si="15"/>
        <v>0.5593613512386959</v>
      </c>
      <c r="Q16" s="5">
        <f t="shared" si="15"/>
        <v>0.54901482127288581</v>
      </c>
      <c r="R16" s="5">
        <f t="shared" si="15"/>
        <v>0.54001321658681645</v>
      </c>
      <c r="S16" s="5">
        <f t="shared" si="15"/>
        <v>0.55447785321694143</v>
      </c>
      <c r="T16" s="6">
        <f t="shared" ref="T16:T20" si="16">AVERAGE(Q16:S16)</f>
        <v>0.5478352970255479</v>
      </c>
      <c r="U16" s="5">
        <v>0.55000000000000004</v>
      </c>
      <c r="V16" s="5">
        <v>0.55000000000000004</v>
      </c>
      <c r="W16" s="5">
        <v>0.55000000000000004</v>
      </c>
      <c r="X16" s="5">
        <v>0.55000000000000004</v>
      </c>
      <c r="Y16" s="5">
        <v>0.55000000000000004</v>
      </c>
    </row>
    <row r="17" spans="1:25" x14ac:dyDescent="0.2">
      <c r="B17" s="2" t="s">
        <v>23</v>
      </c>
      <c r="C17" s="5">
        <f>C9/C3</f>
        <v>0.15284709216986384</v>
      </c>
      <c r="D17" s="5">
        <f>D9/D3</f>
        <v>0.16779889993245201</v>
      </c>
      <c r="E17" s="5">
        <f t="shared" ref="E17:S17" si="17">E9/E3</f>
        <v>0.19363193015800081</v>
      </c>
      <c r="F17" s="5">
        <f t="shared" si="17"/>
        <v>0.20117952158284186</v>
      </c>
      <c r="G17" s="5">
        <f t="shared" si="17"/>
        <v>0.20028807662089865</v>
      </c>
      <c r="H17" s="5">
        <f t="shared" si="17"/>
        <v>0.22356474911056243</v>
      </c>
      <c r="I17" s="5">
        <f t="shared" si="17"/>
        <v>0.20988532856213402</v>
      </c>
      <c r="J17" s="5">
        <f t="shared" si="17"/>
        <v>0.2205985365275398</v>
      </c>
      <c r="K17" s="5">
        <f t="shared" si="17"/>
        <v>0.20080252501773874</v>
      </c>
      <c r="L17" s="5">
        <f t="shared" si="17"/>
        <v>0.16215167857455673</v>
      </c>
      <c r="M17" s="5">
        <f t="shared" si="17"/>
        <v>0.1517962066743325</v>
      </c>
      <c r="N17" s="5">
        <f t="shared" si="17"/>
        <v>0.1515874910479828</v>
      </c>
      <c r="O17" s="5">
        <f t="shared" si="17"/>
        <v>0.1306095574730568</v>
      </c>
      <c r="P17" s="5">
        <f t="shared" si="17"/>
        <v>8.4488664165715224E-2</v>
      </c>
      <c r="Q17" s="5">
        <f t="shared" si="17"/>
        <v>0.11970357454228422</v>
      </c>
      <c r="R17" s="5">
        <f t="shared" si="17"/>
        <v>0.13504047579712539</v>
      </c>
      <c r="S17" s="5">
        <f t="shared" si="17"/>
        <v>0.15166505011315876</v>
      </c>
      <c r="T17" s="6">
        <f t="shared" si="16"/>
        <v>0.13546970015085613</v>
      </c>
      <c r="U17" s="5">
        <v>0.14000000000000001</v>
      </c>
      <c r="V17" s="5">
        <v>0.14000000000000001</v>
      </c>
      <c r="W17" s="5">
        <v>0.14000000000000001</v>
      </c>
      <c r="X17" s="5">
        <v>0.14000000000000001</v>
      </c>
      <c r="Y17" s="5">
        <v>0.14000000000000001</v>
      </c>
    </row>
    <row r="18" spans="1:25" x14ac:dyDescent="0.2">
      <c r="B18" s="2" t="s">
        <v>24</v>
      </c>
      <c r="C18" s="5">
        <f>C12/C11</f>
        <v>0.28097177168886744</v>
      </c>
      <c r="D18" s="5">
        <f>D12/D11</f>
        <v>0.26209991026024526</v>
      </c>
      <c r="E18" s="5">
        <f t="shared" ref="E18:S18" si="18">E12/E11</f>
        <v>0.25984121733377441</v>
      </c>
      <c r="F18" s="5">
        <f t="shared" si="18"/>
        <v>0.24793388429752067</v>
      </c>
      <c r="G18" s="5">
        <f t="shared" si="18"/>
        <v>0.24510784173689473</v>
      </c>
      <c r="H18" s="5">
        <f t="shared" si="18"/>
        <v>0.24582963620230702</v>
      </c>
      <c r="I18" s="5">
        <f t="shared" si="18"/>
        <v>0.16612329579134558</v>
      </c>
      <c r="J18" s="5">
        <f t="shared" si="18"/>
        <v>0.21184829380566397</v>
      </c>
      <c r="K18" s="5">
        <f t="shared" si="18"/>
        <v>0.1618689244277203</v>
      </c>
      <c r="L18" s="5">
        <f t="shared" si="18"/>
        <v>3.6415247364152477E-2</v>
      </c>
      <c r="M18" s="5">
        <f t="shared" si="18"/>
        <v>0.49491228070175436</v>
      </c>
      <c r="N18" s="5">
        <f t="shared" si="18"/>
        <v>0.23091165579262918</v>
      </c>
      <c r="O18" s="5">
        <f t="shared" si="18"/>
        <v>8.3263946711074101E-3</v>
      </c>
      <c r="P18" s="5">
        <f t="shared" si="18"/>
        <v>-0.52877138413685842</v>
      </c>
      <c r="Q18" s="5">
        <f t="shared" si="18"/>
        <v>2.5635724622700022E-2</v>
      </c>
      <c r="R18" s="5">
        <f t="shared" si="18"/>
        <v>-0.54152249134948094</v>
      </c>
      <c r="S18" s="5">
        <f t="shared" si="18"/>
        <v>0.13532796317606444</v>
      </c>
      <c r="T18" s="6">
        <f t="shared" si="16"/>
        <v>-0.12685293451690549</v>
      </c>
      <c r="U18" s="5">
        <v>0.15</v>
      </c>
      <c r="V18" s="5">
        <v>0.15</v>
      </c>
      <c r="W18" s="5">
        <v>0.15</v>
      </c>
      <c r="X18" s="5">
        <v>0.15</v>
      </c>
      <c r="Y18" s="5">
        <v>0.15</v>
      </c>
    </row>
    <row r="19" spans="1:25" x14ac:dyDescent="0.2">
      <c r="B19" s="2" t="s">
        <v>25</v>
      </c>
      <c r="C19" s="5">
        <f>C10/C3</f>
        <v>-6.1851495672419904E-3</v>
      </c>
      <c r="D19" s="5">
        <f>D10/D3</f>
        <v>-6.4942584193766282E-3</v>
      </c>
      <c r="E19" s="5">
        <f t="shared" ref="E19:S19" si="19">E10/E3</f>
        <v>-4.1980388266377048E-3</v>
      </c>
      <c r="F19" s="5">
        <f t="shared" si="19"/>
        <v>-3.6847533317980194E-3</v>
      </c>
      <c r="G19" s="5">
        <f t="shared" si="19"/>
        <v>-3.8441393243293801E-3</v>
      </c>
      <c r="H19" s="5">
        <f t="shared" si="19"/>
        <v>-4.4617687656745147E-3</v>
      </c>
      <c r="I19" s="5">
        <f t="shared" si="19"/>
        <v>-4.0866948601171113E-3</v>
      </c>
      <c r="J19" s="5">
        <f t="shared" si="19"/>
        <v>-5.2159106829178922E-3</v>
      </c>
      <c r="K19" s="5">
        <f t="shared" si="19"/>
        <v>-5.7253309192336864E-3</v>
      </c>
      <c r="L19" s="5">
        <f t="shared" si="19"/>
        <v>-7.8829815187877721E-3</v>
      </c>
      <c r="M19" s="5">
        <f t="shared" si="19"/>
        <v>-7.7711368604607084E-3</v>
      </c>
      <c r="N19" s="5">
        <f t="shared" si="19"/>
        <v>-9.083941651694287E-3</v>
      </c>
      <c r="O19" s="5">
        <f t="shared" si="19"/>
        <v>-5.752503725265967E-3</v>
      </c>
      <c r="P19" s="5">
        <f t="shared" si="19"/>
        <v>-3.7876728465539425E-2</v>
      </c>
      <c r="Q19" s="5">
        <f t="shared" si="19"/>
        <v>-3.5361813426329554E-2</v>
      </c>
      <c r="R19" s="5">
        <f t="shared" si="19"/>
        <v>-0.115959028580869</v>
      </c>
      <c r="S19" s="5">
        <f t="shared" si="19"/>
        <v>-1.1202715809893307E-2</v>
      </c>
      <c r="T19" s="6">
        <f t="shared" si="16"/>
        <v>-5.4174519272363962E-2</v>
      </c>
      <c r="U19" s="5">
        <v>-0.05</v>
      </c>
      <c r="V19" s="5">
        <v>-0.05</v>
      </c>
      <c r="W19" s="5">
        <v>-0.05</v>
      </c>
      <c r="X19" s="5">
        <v>-0.05</v>
      </c>
      <c r="Y19" s="5">
        <v>-0.05</v>
      </c>
    </row>
    <row r="20" spans="1:25" x14ac:dyDescent="0.2">
      <c r="B20" s="2" t="s">
        <v>26</v>
      </c>
      <c r="C20" s="5">
        <f>C8/C3</f>
        <v>5.2588955813129522E-2</v>
      </c>
      <c r="D20" s="5">
        <f>D8/D3</f>
        <v>5.0024124288333492E-2</v>
      </c>
      <c r="E20" s="5">
        <f t="shared" ref="E20:S20" si="20">E8/E3</f>
        <v>4.8486304159400161E-2</v>
      </c>
      <c r="F20" s="5">
        <f t="shared" si="20"/>
        <v>4.8782929979673782E-2</v>
      </c>
      <c r="G20" s="5">
        <f t="shared" si="20"/>
        <v>4.8168655767144297E-2</v>
      </c>
      <c r="H20" s="5">
        <f t="shared" si="20"/>
        <v>4.6095223282850865E-2</v>
      </c>
      <c r="I20" s="5">
        <f t="shared" si="20"/>
        <v>5.0026431359791804E-2</v>
      </c>
      <c r="J20" s="5">
        <f t="shared" si="20"/>
        <v>5.0596488959296498E-2</v>
      </c>
      <c r="K20" s="5">
        <f t="shared" si="20"/>
        <v>5.5846443688679012E-2</v>
      </c>
      <c r="L20" s="5">
        <f t="shared" si="20"/>
        <v>5.1239379872120523E-2</v>
      </c>
      <c r="M20" s="5">
        <f t="shared" si="20"/>
        <v>5.2110842947219446E-2</v>
      </c>
      <c r="N20" s="5">
        <f t="shared" si="20"/>
        <v>5.469211342991042E-2</v>
      </c>
      <c r="O20" s="5">
        <f t="shared" si="20"/>
        <v>9.1329660047822017E-2</v>
      </c>
      <c r="P20" s="5">
        <f t="shared" si="20"/>
        <v>0.10224904402037006</v>
      </c>
      <c r="Q20" s="5">
        <f t="shared" si="20"/>
        <v>0.10245858761987794</v>
      </c>
      <c r="R20" s="5">
        <f t="shared" si="20"/>
        <v>9.7538410705435327E-2</v>
      </c>
      <c r="S20" s="5">
        <f t="shared" si="20"/>
        <v>9.5619139993533789E-2</v>
      </c>
      <c r="T20" s="6">
        <f t="shared" si="16"/>
        <v>9.8538712772949011E-2</v>
      </c>
      <c r="U20" s="5">
        <v>0.1</v>
      </c>
      <c r="V20" s="5">
        <v>0.1</v>
      </c>
      <c r="W20" s="5">
        <v>0.1</v>
      </c>
      <c r="X20" s="5">
        <v>0.1</v>
      </c>
      <c r="Y20" s="5">
        <v>0.1</v>
      </c>
    </row>
    <row r="22" spans="1:25" s="3" customFormat="1" x14ac:dyDescent="0.2">
      <c r="A22" s="2"/>
      <c r="B22" s="2" t="s">
        <v>27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>
        <v>3888</v>
      </c>
      <c r="R22" s="3">
        <v>2407</v>
      </c>
      <c r="S22" s="3">
        <v>2109</v>
      </c>
      <c r="U22" s="3">
        <f>U3*U23</f>
        <v>2573.3760000000002</v>
      </c>
      <c r="V22" s="3">
        <f t="shared" ref="V22:Y22" si="21">V3*V23</f>
        <v>2676.31104</v>
      </c>
      <c r="W22" s="3">
        <f t="shared" si="21"/>
        <v>2783.3634815999999</v>
      </c>
      <c r="X22" s="3">
        <f t="shared" si="21"/>
        <v>2894.6980208639998</v>
      </c>
      <c r="Y22" s="3">
        <f t="shared" si="21"/>
        <v>3010.4859416985601</v>
      </c>
    </row>
    <row r="23" spans="1:25" s="5" customFormat="1" x14ac:dyDescent="0.2">
      <c r="A23" s="2"/>
      <c r="B23" s="2" t="s">
        <v>28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5">
        <f t="shared" ref="Q23:R23" si="22">Q22/Q3</f>
        <v>6.7794245858761981E-2</v>
      </c>
      <c r="R23" s="5">
        <f t="shared" si="22"/>
        <v>3.9765405584007929E-2</v>
      </c>
      <c r="S23" s="5">
        <f>S22/S3</f>
        <v>3.4093113482056257E-2</v>
      </c>
      <c r="U23" s="5">
        <v>0.04</v>
      </c>
      <c r="V23" s="5">
        <v>0.04</v>
      </c>
      <c r="W23" s="5">
        <v>0.04</v>
      </c>
      <c r="X23" s="5">
        <v>0.04</v>
      </c>
      <c r="Y23" s="5">
        <v>0.04</v>
      </c>
    </row>
    <row r="24" spans="1:25" s="3" customFormat="1" x14ac:dyDescent="0.2">
      <c r="A24" s="2"/>
      <c r="B24" s="2" t="s">
        <v>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R24" s="3">
        <f>817+1522+967+2611-4051-3481-12032-4111</f>
        <v>-17758</v>
      </c>
      <c r="S24" s="3">
        <f>640+1161+998+2639-4132-3501-13451-3521</f>
        <v>-19167</v>
      </c>
      <c r="U24" s="3">
        <f>U3*U25</f>
        <v>-19300.32</v>
      </c>
      <c r="V24" s="3">
        <f t="shared" ref="V24:Y24" si="23">V3*V25</f>
        <v>-20072.3328</v>
      </c>
      <c r="W24" s="3">
        <f t="shared" si="23"/>
        <v>-20875.226112</v>
      </c>
      <c r="X24" s="3">
        <f t="shared" si="23"/>
        <v>-21710.235156479997</v>
      </c>
      <c r="Y24" s="3">
        <f t="shared" si="23"/>
        <v>-22578.644562739199</v>
      </c>
    </row>
    <row r="25" spans="1:25" s="5" customFormat="1" x14ac:dyDescent="0.2">
      <c r="A25" s="2"/>
      <c r="B25" s="2" t="s">
        <v>28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R25" s="5">
        <f>R24/R3</f>
        <v>-0.29337518585825212</v>
      </c>
      <c r="S25" s="5">
        <f>S24/S3</f>
        <v>-0.30984481086323956</v>
      </c>
      <c r="U25" s="5">
        <v>-0.3</v>
      </c>
      <c r="V25" s="5">
        <v>-0.3</v>
      </c>
      <c r="W25" s="5">
        <v>-0.3</v>
      </c>
      <c r="X25" s="5">
        <v>-0.3</v>
      </c>
      <c r="Y25" s="5">
        <v>-0.3</v>
      </c>
    </row>
    <row r="26" spans="1:25" x14ac:dyDescent="0.2">
      <c r="B26" s="2" t="s">
        <v>30</v>
      </c>
      <c r="S26" s="8">
        <f>R24-S24</f>
        <v>1409</v>
      </c>
      <c r="U26" s="8">
        <f>S24-U24</f>
        <v>133.31999999999971</v>
      </c>
      <c r="V26" s="8">
        <f>V24-U24</f>
        <v>-772.01280000000042</v>
      </c>
      <c r="W26" s="8">
        <f t="shared" ref="W26:Y26" si="24">W24-V24</f>
        <v>-802.89331200000015</v>
      </c>
      <c r="X26" s="8">
        <f t="shared" si="24"/>
        <v>-835.0090444799971</v>
      </c>
      <c r="Y26" s="8">
        <f t="shared" si="24"/>
        <v>-868.40940625920121</v>
      </c>
    </row>
    <row r="27" spans="1:25" s="3" customFormat="1" x14ac:dyDescent="0.2">
      <c r="A27" s="2"/>
      <c r="B27" s="2" t="s">
        <v>31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>
        <v>2062</v>
      </c>
      <c r="R27" s="3">
        <v>1346</v>
      </c>
      <c r="S27" s="3">
        <v>1245</v>
      </c>
      <c r="U27" s="3">
        <f>U3*U28</f>
        <v>1286.6880000000001</v>
      </c>
      <c r="V27" s="3">
        <f t="shared" ref="V27:Y27" si="25">V3*V28</f>
        <v>1338.15552</v>
      </c>
      <c r="W27" s="3">
        <f t="shared" si="25"/>
        <v>1391.6817407999999</v>
      </c>
      <c r="X27" s="3">
        <f t="shared" si="25"/>
        <v>1447.3490104319999</v>
      </c>
      <c r="Y27" s="3">
        <f t="shared" si="25"/>
        <v>1505.24297084928</v>
      </c>
    </row>
    <row r="28" spans="1:25" s="5" customFormat="1" x14ac:dyDescent="0.2">
      <c r="A28" s="2"/>
      <c r="B28" s="2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5">
        <f t="shared" ref="Q28:R28" si="26">Q27/Q3</f>
        <v>3.5954664341761117E-2</v>
      </c>
      <c r="R28" s="5">
        <f t="shared" si="26"/>
        <v>2.223690731868495E-2</v>
      </c>
      <c r="S28" s="5">
        <f>S27/S3</f>
        <v>2.0126091173617848E-2</v>
      </c>
      <c r="U28" s="5">
        <v>0.02</v>
      </c>
      <c r="V28" s="5">
        <v>0.02</v>
      </c>
      <c r="W28" s="5">
        <v>0.02</v>
      </c>
      <c r="X28" s="5">
        <v>0.02</v>
      </c>
      <c r="Y28" s="5">
        <v>0.02</v>
      </c>
    </row>
    <row r="30" spans="1:25" x14ac:dyDescent="0.2">
      <c r="B30" s="2" t="s">
        <v>33</v>
      </c>
      <c r="Q30" s="3">
        <f>Q9</f>
        <v>6865</v>
      </c>
      <c r="R30" s="3">
        <f t="shared" ref="R30:Y30" si="27">R9</f>
        <v>8174</v>
      </c>
      <c r="S30" s="3">
        <f t="shared" si="27"/>
        <v>9382</v>
      </c>
      <c r="T30" s="3"/>
      <c r="U30" s="3">
        <f t="shared" si="27"/>
        <v>9006.8160000000007</v>
      </c>
      <c r="V30" s="3">
        <f t="shared" si="27"/>
        <v>9367.0886399999999</v>
      </c>
      <c r="W30" s="3">
        <f t="shared" si="27"/>
        <v>9741.7721856000007</v>
      </c>
      <c r="X30" s="3">
        <f t="shared" si="27"/>
        <v>10131.443073024</v>
      </c>
      <c r="Y30" s="3">
        <f t="shared" si="27"/>
        <v>10536.70079594496</v>
      </c>
    </row>
    <row r="31" spans="1:25" x14ac:dyDescent="0.2">
      <c r="B31" s="2" t="s">
        <v>34</v>
      </c>
      <c r="Q31" s="3">
        <f>Q30*Q18</f>
        <v>175.98924953483566</v>
      </c>
      <c r="R31" s="3">
        <f t="shared" ref="R31:Y31" si="28">R30*R18</f>
        <v>-4426.4048442906569</v>
      </c>
      <c r="S31" s="3">
        <f t="shared" si="28"/>
        <v>1269.6469505178366</v>
      </c>
      <c r="T31" s="3"/>
      <c r="U31" s="3">
        <f t="shared" si="28"/>
        <v>1351.0224000000001</v>
      </c>
      <c r="V31" s="3">
        <f t="shared" si="28"/>
        <v>1405.063296</v>
      </c>
      <c r="W31" s="3">
        <f t="shared" si="28"/>
        <v>1461.2658278400002</v>
      </c>
      <c r="X31" s="3">
        <f t="shared" si="28"/>
        <v>1519.7164609536001</v>
      </c>
      <c r="Y31" s="3">
        <f t="shared" si="28"/>
        <v>1580.5051193917441</v>
      </c>
    </row>
    <row r="32" spans="1:25" x14ac:dyDescent="0.2">
      <c r="B32" s="2" t="s">
        <v>35</v>
      </c>
      <c r="Q32" s="3">
        <f>Q30-Q31</f>
        <v>6689.0107504651642</v>
      </c>
      <c r="R32" s="3">
        <f t="shared" ref="R32:Y32" si="29">R30-R31</f>
        <v>12600.404844290657</v>
      </c>
      <c r="S32" s="3">
        <f t="shared" si="29"/>
        <v>8112.3530494821634</v>
      </c>
      <c r="T32" s="3"/>
      <c r="U32" s="3">
        <f t="shared" si="29"/>
        <v>7655.7936000000009</v>
      </c>
      <c r="V32" s="3">
        <f t="shared" si="29"/>
        <v>7962.0253439999997</v>
      </c>
      <c r="W32" s="3">
        <f t="shared" si="29"/>
        <v>8280.5063577600013</v>
      </c>
      <c r="X32" s="3">
        <f t="shared" si="29"/>
        <v>8611.7266120704007</v>
      </c>
      <c r="Y32" s="3">
        <f t="shared" si="29"/>
        <v>8956.1956765532159</v>
      </c>
    </row>
    <row r="33" spans="2:25" x14ac:dyDescent="0.2">
      <c r="B33" s="13" t="s">
        <v>36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6">
        <f>U32+U22+U26-U27</f>
        <v>9075.8016000000007</v>
      </c>
      <c r="V33" s="16">
        <f t="shared" ref="V33:Y33" si="30">V32+V22+V26-V27</f>
        <v>8528.1680639999995</v>
      </c>
      <c r="W33" s="16">
        <f t="shared" si="30"/>
        <v>8869.2947865599999</v>
      </c>
      <c r="X33" s="16">
        <f t="shared" si="30"/>
        <v>9224.0665780224044</v>
      </c>
      <c r="Y33" s="16">
        <f t="shared" si="30"/>
        <v>9593.0292411432947</v>
      </c>
    </row>
    <row r="35" spans="2:25" x14ac:dyDescent="0.2">
      <c r="B35" s="2" t="s">
        <v>37</v>
      </c>
      <c r="Q35" s="10">
        <f ca="1">TODAY()</f>
        <v>45551</v>
      </c>
    </row>
    <row r="36" spans="2:25" x14ac:dyDescent="0.2">
      <c r="B36" s="2" t="s">
        <v>38</v>
      </c>
      <c r="Q36" s="5">
        <f ca="1">(U1-Q35)/365</f>
        <v>0.29041095890410956</v>
      </c>
    </row>
    <row r="37" spans="2:25" x14ac:dyDescent="0.2">
      <c r="B37" s="2" t="s">
        <v>39</v>
      </c>
      <c r="Q37" s="5">
        <v>0.08</v>
      </c>
    </row>
    <row r="38" spans="2:25" x14ac:dyDescent="0.2">
      <c r="B38" s="2" t="s">
        <v>40</v>
      </c>
      <c r="Q38" s="5">
        <v>0.02</v>
      </c>
    </row>
    <row r="40" spans="2:25" x14ac:dyDescent="0.2">
      <c r="B40" s="13" t="s">
        <v>41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5">
        <f ca="1">Q36*U33/(1+discount)^((U1-valDate)/365)</f>
        <v>2577.4566486046633</v>
      </c>
      <c r="V40" s="15">
        <f ca="1">V33/(1+discount)^((V1-valDate)/365)</f>
        <v>7721.9212808938628</v>
      </c>
      <c r="W40" s="15">
        <f ca="1">W33/(1+discount)^((W1-valDate)/365)</f>
        <v>7435.924196416312</v>
      </c>
      <c r="X40" s="15">
        <f ca="1">X33/(1+discount)^((X1-valDate)/365)</f>
        <v>7160.5195965490448</v>
      </c>
      <c r="Y40" s="15">
        <f ca="1">Y33/(1+discount)^((Y1-valDate)/365)</f>
        <v>6893.8614281660639</v>
      </c>
    </row>
    <row r="42" spans="2:25" x14ac:dyDescent="0.2">
      <c r="B42" s="2" t="s">
        <v>42</v>
      </c>
      <c r="Q42" s="3">
        <f>Y33*(1+discount)</f>
        <v>10360.47158043476</v>
      </c>
      <c r="U42" s="20" t="s">
        <v>50</v>
      </c>
      <c r="V42" s="20"/>
      <c r="W42" s="20"/>
    </row>
    <row r="43" spans="2:25" x14ac:dyDescent="0.2">
      <c r="B43" s="2" t="s">
        <v>43</v>
      </c>
      <c r="Q43" s="3">
        <f>Q42/(discount-tgr)</f>
        <v>172674.52634057932</v>
      </c>
      <c r="S43" s="19">
        <f ca="1">Q50</f>
        <v>220.73716614995541</v>
      </c>
      <c r="T43" s="17">
        <v>7.0000000000000007E-2</v>
      </c>
      <c r="U43" s="17">
        <v>7.4999999999999997E-2</v>
      </c>
      <c r="V43" s="17">
        <v>0.08</v>
      </c>
      <c r="W43" s="17">
        <v>8.5000000000000006E-2</v>
      </c>
      <c r="X43" s="17">
        <v>0.09</v>
      </c>
    </row>
    <row r="44" spans="2:25" x14ac:dyDescent="0.2">
      <c r="B44" s="2" t="s">
        <v>44</v>
      </c>
      <c r="Q44" s="3">
        <f ca="1">Q43/(1+discount)^((Y1-valDate)/365)</f>
        <v>124089.50570698916</v>
      </c>
      <c r="S44" s="18">
        <v>-0.01</v>
      </c>
      <c r="T44" s="7">
        <f t="dataTable" ref="T44:X48" dt2D="1" dtr="1" r1="Q37" r2="Q38" ca="1"/>
        <v>191.05716861940061</v>
      </c>
      <c r="U44" s="7">
        <v>183.0236543128681</v>
      </c>
      <c r="V44" s="7">
        <v>175.87219700961739</v>
      </c>
      <c r="W44" s="7">
        <v>169.4639539572357</v>
      </c>
      <c r="X44" s="7">
        <v>163.68783429760387</v>
      </c>
    </row>
    <row r="45" spans="2:25" x14ac:dyDescent="0.2">
      <c r="B45" s="2" t="s">
        <v>45</v>
      </c>
      <c r="Q45" s="3">
        <f ca="1">SUM(U40:Y40)</f>
        <v>31789.683150629946</v>
      </c>
      <c r="S45" s="18">
        <v>0.01</v>
      </c>
      <c r="T45" s="7">
        <v>225.75264799936832</v>
      </c>
      <c r="U45" s="7">
        <v>212.70709566468739</v>
      </c>
      <c r="V45" s="7">
        <v>201.50932223266767</v>
      </c>
      <c r="W45" s="7">
        <v>191.79036942386065</v>
      </c>
      <c r="X45" s="7">
        <v>183.27349619383003</v>
      </c>
    </row>
    <row r="46" spans="2:25" x14ac:dyDescent="0.2">
      <c r="B46" s="2" t="s">
        <v>46</v>
      </c>
      <c r="Q46" s="3">
        <f ca="1">Q44+Q45</f>
        <v>155879.1888576191</v>
      </c>
      <c r="S46" s="18">
        <v>0.02</v>
      </c>
      <c r="T46" s="7">
        <v>253.50903150334241</v>
      </c>
      <c r="U46" s="7">
        <v>235.64430034563873</v>
      </c>
      <c r="V46" s="21">
        <v>220.73716614995541</v>
      </c>
      <c r="W46" s="7">
        <v>208.10582688024047</v>
      </c>
      <c r="X46" s="7">
        <v>197.26325469113445</v>
      </c>
    </row>
    <row r="47" spans="2:25" x14ac:dyDescent="0.2">
      <c r="B47" s="2" t="s">
        <v>6</v>
      </c>
      <c r="Q47" s="3">
        <f>Main!G5</f>
        <v>12210</v>
      </c>
      <c r="S47" s="18">
        <v>2.5000000000000001E-2</v>
      </c>
      <c r="T47" s="7">
        <v>272.01328717265852</v>
      </c>
      <c r="U47" s="7">
        <v>250.55348338825704</v>
      </c>
      <c r="V47" s="7">
        <v>232.9730668245931</v>
      </c>
      <c r="W47" s="7">
        <v>218.30298779047783</v>
      </c>
      <c r="X47" s="7">
        <v>205.87233684332179</v>
      </c>
    </row>
    <row r="48" spans="2:25" x14ac:dyDescent="0.2">
      <c r="B48" s="2" t="s">
        <v>7</v>
      </c>
      <c r="Q48" s="3">
        <f>Main!G6</f>
        <v>59839</v>
      </c>
      <c r="S48" s="18">
        <v>0.03</v>
      </c>
      <c r="T48" s="7">
        <v>295.14360675930362</v>
      </c>
      <c r="U48" s="7">
        <v>268.7758182181239</v>
      </c>
      <c r="V48" s="7">
        <v>247.65614763415829</v>
      </c>
      <c r="W48" s="7">
        <v>230.35417795712198</v>
      </c>
      <c r="X48" s="7">
        <v>215.91626602087368</v>
      </c>
    </row>
    <row r="49" spans="2:17" x14ac:dyDescent="0.2">
      <c r="B49" s="2" t="s">
        <v>47</v>
      </c>
      <c r="Q49" s="3">
        <f ca="1">Q46-Q47+Q48</f>
        <v>203508.1888576191</v>
      </c>
    </row>
    <row r="50" spans="2:17" x14ac:dyDescent="0.2">
      <c r="B50" s="9" t="s">
        <v>48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2">
        <f ca="1">Q49/Main!G3</f>
        <v>220.73716614995541</v>
      </c>
    </row>
    <row r="51" spans="2:17" x14ac:dyDescent="0.2">
      <c r="B51" s="2" t="s">
        <v>49</v>
      </c>
      <c r="Q51" s="5">
        <f ca="1">(Q50/Main!G2)-1</f>
        <v>2.7688282275503573E-2</v>
      </c>
    </row>
  </sheetData>
  <mergeCells count="1">
    <mergeCell ref="U42:W42"/>
  </mergeCells>
  <hyperlinks>
    <hyperlink ref="A1" location="Main!A1" display="Main" xr:uid="{F823E847-E847-4B4D-B31E-F5C8A79A2F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Main</vt:lpstr>
      <vt:lpstr>Model</vt:lpstr>
      <vt:lpstr>discount</vt:lpstr>
      <vt:lpstr>tgr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Hammen</dc:creator>
  <cp:lastModifiedBy>Jayden Hammen</cp:lastModifiedBy>
  <dcterms:created xsi:type="dcterms:W3CDTF">2024-09-16T19:11:08Z</dcterms:created>
  <dcterms:modified xsi:type="dcterms:W3CDTF">2024-09-16T19:43:55Z</dcterms:modified>
</cp:coreProperties>
</file>