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/Dropbox/Jayden/Stocks/"/>
    </mc:Choice>
  </mc:AlternateContent>
  <xr:revisionPtr revIDLastSave="0" documentId="13_ncr:1_{3D2E5409-3DDE-1D4B-92CF-CA67A011721C}" xr6:coauthVersionLast="47" xr6:coauthVersionMax="47" xr10:uidLastSave="{00000000-0000-0000-0000-000000000000}"/>
  <bookViews>
    <workbookView xWindow="25620" yWindow="500" windowWidth="25580" windowHeight="28300" activeTab="2" xr2:uid="{B818AB2B-672E-414C-A0A7-4CBF5CAAD20F}"/>
  </bookViews>
  <sheets>
    <sheet name="Main" sheetId="1" r:id="rId1"/>
    <sheet name="Model" sheetId="2" r:id="rId2"/>
    <sheet name="ALT" sheetId="3" r:id="rId3"/>
  </sheets>
  <definedNames>
    <definedName name="discount">Model!$Q$46</definedName>
    <definedName name="tgr">Model!$Q$47</definedName>
    <definedName name="valDate">Model!$Q$44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3" l="1"/>
  <c r="C13" i="3"/>
  <c r="E13" i="3"/>
  <c r="E7" i="3"/>
  <c r="D7" i="3"/>
  <c r="C7" i="3"/>
  <c r="S29" i="2"/>
  <c r="R29" i="2"/>
  <c r="Q29" i="2"/>
  <c r="S28" i="2"/>
  <c r="R28" i="2"/>
  <c r="Q28" i="2"/>
  <c r="S27" i="2"/>
  <c r="R27" i="2"/>
  <c r="Q27" i="2"/>
  <c r="R26" i="2"/>
  <c r="Q26" i="2"/>
  <c r="S26" i="2"/>
  <c r="Q56" i="2"/>
  <c r="Q44" i="2"/>
  <c r="S39" i="2"/>
  <c r="R39" i="2"/>
  <c r="Q39" i="2"/>
  <c r="U7" i="2"/>
  <c r="U33" i="2" s="1"/>
  <c r="R33" i="2"/>
  <c r="S33" i="2"/>
  <c r="S34" i="2" s="1"/>
  <c r="R37" i="2"/>
  <c r="Q37" i="2"/>
  <c r="S37" i="2"/>
  <c r="R32" i="2"/>
  <c r="Q32" i="2"/>
  <c r="S32" i="2"/>
  <c r="U1" i="2"/>
  <c r="V1" i="2" s="1"/>
  <c r="W1" i="2" s="1"/>
  <c r="X1" i="2" s="1"/>
  <c r="Y1" i="2" s="1"/>
  <c r="R1" i="2"/>
  <c r="Q1" i="2" s="1"/>
  <c r="S25" i="2"/>
  <c r="R25" i="2"/>
  <c r="Q25" i="2"/>
  <c r="T25" i="2" s="1"/>
  <c r="P25" i="2"/>
  <c r="O25" i="2"/>
  <c r="N25" i="2"/>
  <c r="M25" i="2"/>
  <c r="L25" i="2"/>
  <c r="K25" i="2"/>
  <c r="J25" i="2"/>
  <c r="I25" i="2"/>
  <c r="H25" i="2"/>
  <c r="G25" i="2"/>
  <c r="F25" i="2"/>
  <c r="E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S21" i="2"/>
  <c r="R21" i="2"/>
  <c r="Q21" i="2"/>
  <c r="T21" i="2" s="1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D22" i="2"/>
  <c r="D23" i="2"/>
  <c r="D24" i="2"/>
  <c r="D25" i="2"/>
  <c r="C25" i="2"/>
  <c r="C24" i="2"/>
  <c r="C23" i="2"/>
  <c r="C22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U2" i="2" s="1"/>
  <c r="V2" i="2" s="1"/>
  <c r="W2" i="2" s="1"/>
  <c r="X2" i="2" s="1"/>
  <c r="Y2" i="2" s="1"/>
  <c r="G7" i="1"/>
  <c r="G6" i="1"/>
  <c r="Q57" i="2" s="1"/>
  <c r="G4" i="1"/>
  <c r="R40" i="2" l="1"/>
  <c r="R41" i="2" s="1"/>
  <c r="T24" i="2"/>
  <c r="Q45" i="2"/>
  <c r="T23" i="2"/>
  <c r="T22" i="2"/>
  <c r="S35" i="2"/>
  <c r="V7" i="2"/>
  <c r="V16" i="2" s="1"/>
  <c r="U9" i="2"/>
  <c r="U8" i="2" s="1"/>
  <c r="U15" i="2"/>
  <c r="U39" i="2" s="1"/>
  <c r="U40" i="2" s="1"/>
  <c r="U41" i="2" s="1"/>
  <c r="U31" i="2"/>
  <c r="Q40" i="2"/>
  <c r="Q41" i="2" s="1"/>
  <c r="S40" i="2"/>
  <c r="S41" i="2" s="1"/>
  <c r="U35" i="2"/>
  <c r="R34" i="2"/>
  <c r="U36" i="2"/>
  <c r="U16" i="2"/>
  <c r="U17" i="2" s="1"/>
  <c r="V36" i="2"/>
  <c r="U42" i="2" l="1"/>
  <c r="U49" i="2" s="1"/>
  <c r="U10" i="2"/>
  <c r="V31" i="2"/>
  <c r="W7" i="2"/>
  <c r="W31" i="2" s="1"/>
  <c r="V15" i="2"/>
  <c r="V33" i="2"/>
  <c r="V35" i="2" s="1"/>
  <c r="V9" i="2"/>
  <c r="V10" i="2" s="1"/>
  <c r="U18" i="2"/>
  <c r="U19" i="2"/>
  <c r="X7" i="2"/>
  <c r="W36" i="2"/>
  <c r="W9" i="2"/>
  <c r="W8" i="2" s="1"/>
  <c r="W15" i="2"/>
  <c r="W16" i="2"/>
  <c r="V17" i="2"/>
  <c r="V39" i="2"/>
  <c r="W33" i="2" l="1"/>
  <c r="V8" i="2"/>
  <c r="V40" i="2"/>
  <c r="V41" i="2" s="1"/>
  <c r="V42" i="2" s="1"/>
  <c r="V49" i="2" s="1"/>
  <c r="W10" i="2"/>
  <c r="Y7" i="2"/>
  <c r="X33" i="2"/>
  <c r="X16" i="2"/>
  <c r="X31" i="2"/>
  <c r="X15" i="2"/>
  <c r="X9" i="2"/>
  <c r="X10" i="2" s="1"/>
  <c r="X36" i="2"/>
  <c r="V18" i="2"/>
  <c r="V19" i="2" s="1"/>
  <c r="W39" i="2"/>
  <c r="W17" i="2"/>
  <c r="W35" i="2"/>
  <c r="X8" i="2" l="1"/>
  <c r="X39" i="2"/>
  <c r="X17" i="2"/>
  <c r="W18" i="2"/>
  <c r="W19" i="2" s="1"/>
  <c r="Y31" i="2"/>
  <c r="Y9" i="2"/>
  <c r="Y33" i="2"/>
  <c r="Y35" i="2" s="1"/>
  <c r="Y16" i="2"/>
  <c r="Y36" i="2"/>
  <c r="Y15" i="2"/>
  <c r="W40" i="2"/>
  <c r="W41" i="2" s="1"/>
  <c r="W42" i="2" s="1"/>
  <c r="W49" i="2" s="1"/>
  <c r="X35" i="2"/>
  <c r="Y10" i="2" l="1"/>
  <c r="Y39" i="2"/>
  <c r="Y17" i="2"/>
  <c r="X40" i="2"/>
  <c r="X41" i="2" s="1"/>
  <c r="X42" i="2" s="1"/>
  <c r="X49" i="2" s="1"/>
  <c r="Y8" i="2"/>
  <c r="X18" i="2"/>
  <c r="X19" i="2"/>
  <c r="Y18" i="2" l="1"/>
  <c r="Y19" i="2" s="1"/>
  <c r="Y40" i="2"/>
  <c r="Y41" i="2" s="1"/>
  <c r="Y42" i="2" s="1"/>
  <c r="Q51" i="2" l="1"/>
  <c r="Q52" i="2" s="1"/>
  <c r="Q53" i="2" s="1"/>
  <c r="Y49" i="2"/>
  <c r="Q54" i="2" s="1"/>
  <c r="Q55" i="2" l="1"/>
  <c r="Q58" i="2" s="1"/>
  <c r="Q59" i="2" s="1"/>
  <c r="S52" i="2" s="1"/>
  <c r="Q60" i="2" l="1"/>
</calcChain>
</file>

<file path=xl/sharedStrings.xml><?xml version="1.0" encoding="utf-8"?>
<sst xmlns="http://schemas.openxmlformats.org/spreadsheetml/2006/main" count="112" uniqueCount="93">
  <si>
    <t>Lockheed Martin Corp.</t>
  </si>
  <si>
    <t>Price</t>
  </si>
  <si>
    <t>Shares</t>
  </si>
  <si>
    <t>MC</t>
  </si>
  <si>
    <t>Cash</t>
  </si>
  <si>
    <t>Debt</t>
  </si>
  <si>
    <t>EV</t>
  </si>
  <si>
    <t>Main</t>
  </si>
  <si>
    <t>Other Income</t>
  </si>
  <si>
    <t>Net Income</t>
  </si>
  <si>
    <t>Revenue</t>
  </si>
  <si>
    <t>COGS</t>
  </si>
  <si>
    <t>Gross Profit</t>
  </si>
  <si>
    <t>OpEx</t>
  </si>
  <si>
    <t>EBIT</t>
  </si>
  <si>
    <t>EBT</t>
  </si>
  <si>
    <t>Taxes</t>
  </si>
  <si>
    <t>Revenue Growth y/y</t>
  </si>
  <si>
    <t>Gross Margin</t>
  </si>
  <si>
    <t>Operating Margin</t>
  </si>
  <si>
    <t>Tax Rate</t>
  </si>
  <si>
    <t>Other Income % of Revenue</t>
  </si>
  <si>
    <t>D&amp;A</t>
  </si>
  <si>
    <t>% of Revenue</t>
  </si>
  <si>
    <t>Working Capital</t>
  </si>
  <si>
    <t>CIWC</t>
  </si>
  <si>
    <t>CapEx</t>
  </si>
  <si>
    <t>AVG</t>
  </si>
  <si>
    <t>Operating Income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</si>
  <si>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</si>
  <si>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</si>
  <si>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</si>
  <si>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</si>
  <si>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</si>
  <si>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</si>
  <si>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</si>
  <si>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</si>
  <si>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FCF</t>
  </si>
  <si>
    <t>Terminal Value</t>
  </si>
  <si>
    <t>PV of Terminal</t>
  </si>
  <si>
    <t>Sum of Stage 1 CF</t>
  </si>
  <si>
    <t>Enterprise Value</t>
  </si>
  <si>
    <t>Equity Value</t>
  </si>
  <si>
    <t>Share Price</t>
  </si>
  <si>
    <t>Implied Upside</t>
  </si>
  <si>
    <t>Sensitivity Analysis</t>
  </si>
  <si>
    <t>Ticker</t>
  </si>
  <si>
    <t>LMT</t>
  </si>
  <si>
    <t>Inc. in Maryland</t>
  </si>
  <si>
    <t>HQ in Maryland</t>
  </si>
  <si>
    <t>Aeronautics</t>
  </si>
  <si>
    <t>F-35 Lightning II, 5th gen stealth fighter</t>
  </si>
  <si>
    <t>C-130 Hercules, tactical airlifer</t>
  </si>
  <si>
    <t>F-16 Fighting Falcon, multi-role fighter</t>
  </si>
  <si>
    <t>F-22 Raptor, air dominance and multi-role 5th gen stealth fighter</t>
  </si>
  <si>
    <t>Missles and Fire Control</t>
  </si>
  <si>
    <t>PAC-3 and THAAD for US and intl customers, engage enemies in and out of atmosphere</t>
  </si>
  <si>
    <t>Space</t>
  </si>
  <si>
    <t>Next gen OIPR provides space force w worldwide missle warning capabilities</t>
  </si>
  <si>
    <t>Trident II ballistic missle</t>
  </si>
  <si>
    <t>Orion spacecraft for NASA</t>
  </si>
  <si>
    <t>Next gen interceptor for homeland defense</t>
  </si>
  <si>
    <t>Global positioning system modernizes GPS for space force</t>
  </si>
  <si>
    <t>Hypersonic weapons for US army and navy (5x speed of sound)</t>
  </si>
  <si>
    <t>Competition</t>
  </si>
  <si>
    <t>Boeing</t>
  </si>
  <si>
    <t>General Dynamics</t>
  </si>
  <si>
    <t>L3Harris Technologies</t>
  </si>
  <si>
    <t>Northrop Grumman</t>
  </si>
  <si>
    <t>RTX, formerly Raytheon</t>
  </si>
  <si>
    <t>CEO</t>
  </si>
  <si>
    <t>James D. Taiclet</t>
  </si>
  <si>
    <t>COO</t>
  </si>
  <si>
    <t>Frank A. St. John</t>
  </si>
  <si>
    <t>EVP Missles</t>
  </si>
  <si>
    <t>Timothy S. Cahill</t>
  </si>
  <si>
    <t>Gen Counsel</t>
  </si>
  <si>
    <t>Maryanne R. Lavan</t>
  </si>
  <si>
    <t>EVP Space</t>
  </si>
  <si>
    <t>Robert M. Lightfoot Jr.</t>
  </si>
  <si>
    <t>Rotary and Mission Systems</t>
  </si>
  <si>
    <t>Aeronautics OPM</t>
  </si>
  <si>
    <t>MFC OPM</t>
  </si>
  <si>
    <t>RMS OPM</t>
  </si>
  <si>
    <t>Space OPM</t>
  </si>
  <si>
    <t>Q2 24</t>
  </si>
  <si>
    <t>Deliveries began 7/19/24</t>
  </si>
  <si>
    <t>US Government</t>
  </si>
  <si>
    <t>International</t>
  </si>
  <si>
    <t>US Commercial and Other</t>
  </si>
  <si>
    <t>Sales By Product Type</t>
  </si>
  <si>
    <t>Total</t>
  </si>
  <si>
    <t>Sales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</si>
</sst>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2" formatCode="0.0%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 tint="0.499984740745262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65" fontId="0" fillId="0" borderId="0" xfId="1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3" applyFont="1"/>
    <xf numFmtId="9" fontId="3" fillId="0" borderId="0" xfId="2" applyFont="1"/>
    <xf numFmtId="9" fontId="5" fillId="0" borderId="0" xfId="0" applyNumberFormat="1" applyFont="1"/>
    <xf numFmtId="43" fontId="3" fillId="0" borderId="0" xfId="1" applyFont="1"/>
    <xf numFmtId="165" fontId="3" fillId="0" borderId="0" xfId="1" applyNumberFormat="1" applyFont="1"/>
    <xf numFmtId="1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43" fontId="6" fillId="0" borderId="0" xfId="1" applyFont="1"/>
    <xf numFmtId="9" fontId="5" fillId="0" borderId="0" xfId="2" applyFont="1"/>
    <xf numFmtId="43" fontId="3" fillId="0" borderId="1" xfId="1" applyFont="1" applyBorder="1"/>
    <xf numFmtId="172" fontId="3" fillId="0" borderId="2" xfId="2" applyNumberFormat="1" applyFont="1" applyBorder="1"/>
    <xf numFmtId="172" fontId="3" fillId="0" borderId="3" xfId="2" applyNumberFormat="1" applyFont="1" applyBorder="1"/>
    <xf numFmtId="43" fontId="7" fillId="0" borderId="0" xfId="0" applyNumberFormat="1" applyFont="1"/>
    <xf numFmtId="0" fontId="6" fillId="0" borderId="0" xfId="0" applyFont="1" applyAlignment="1">
      <alignment horizontal="center"/>
    </xf>
    <xf numFmtId="165" fontId="6" fillId="0" borderId="0" xfId="1" applyNumberFormat="1" applyFont="1"/>
    <xf numFmtId="0" fontId="6" fillId="0" borderId="4" xfId="0" applyFont="1" applyBorder="1"/>
    <xf numFmtId="0" fontId="3" fillId="0" borderId="4" xfId="0" applyFont="1" applyBorder="1"/>
    <xf numFmtId="165" fontId="6" fillId="0" borderId="4" xfId="1" applyNumberFormat="1" applyFont="1" applyBorder="1"/>
    <xf numFmtId="165" fontId="6" fillId="0" borderId="4" xfId="0" applyNumberFormat="1" applyFont="1" applyBorder="1"/>
    <xf numFmtId="0" fontId="3" fillId="0" borderId="2" xfId="0" applyFont="1" applyBorder="1"/>
    <xf numFmtId="0" fontId="8" fillId="0" borderId="0" xfId="0" applyFont="1"/>
    <xf numFmtId="0" fontId="9" fillId="0" borderId="0" xfId="0" applyFont="1"/>
    <xf numFmtId="0" fontId="3" fillId="0" borderId="0" xfId="0" applyFont="1" applyBorder="1"/>
    <xf numFmtId="165" fontId="3" fillId="0" borderId="0" xfId="1" applyNumberFormat="1" applyFont="1" applyBorder="1"/>
    <xf numFmtId="3" fontId="6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14" fontId="3" fillId="0" borderId="7" xfId="0" applyNumberFormat="1" applyFont="1" applyBorder="1"/>
    <xf numFmtId="0" fontId="3" fillId="0" borderId="8" xfId="0" applyFont="1" applyBorder="1"/>
    <xf numFmtId="9" fontId="3" fillId="0" borderId="3" xfId="2" applyFont="1" applyBorder="1"/>
    <xf numFmtId="0" fontId="3" fillId="0" borderId="9" xfId="0" applyFont="1" applyBorder="1"/>
    <xf numFmtId="9" fontId="3" fillId="0" borderId="10" xfId="2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ADA4-A90E-8D4D-B3D6-5BC4FA673E8D}">
  <dimension ref="A1:H40"/>
  <sheetViews>
    <sheetView zoomScale="180" zoomScaleNormal="180" workbookViewId="0">
      <selection activeCell="H12" sqref="H12"/>
    </sheetView>
  </sheetViews>
  <sheetFormatPr baseColWidth="10" defaultRowHeight="16" x14ac:dyDescent="0.2"/>
  <cols>
    <col min="2" max="2" width="11.33203125" customWidth="1"/>
    <col min="7" max="7" width="11.5" bestFit="1" customWidth="1"/>
  </cols>
  <sheetData>
    <row r="1" spans="1:8" x14ac:dyDescent="0.2">
      <c r="A1" t="s">
        <v>0</v>
      </c>
    </row>
    <row r="2" spans="1:8" x14ac:dyDescent="0.2">
      <c r="A2" t="s">
        <v>46</v>
      </c>
      <c r="B2" t="s">
        <v>47</v>
      </c>
      <c r="F2" t="s">
        <v>1</v>
      </c>
      <c r="G2">
        <v>569.91</v>
      </c>
      <c r="H2" s="30">
        <v>45551</v>
      </c>
    </row>
    <row r="3" spans="1:8" x14ac:dyDescent="0.2">
      <c r="F3" t="s">
        <v>2</v>
      </c>
      <c r="G3" s="1">
        <v>238.358</v>
      </c>
      <c r="H3" s="31" t="s">
        <v>85</v>
      </c>
    </row>
    <row r="4" spans="1:8" x14ac:dyDescent="0.2">
      <c r="A4" t="s">
        <v>48</v>
      </c>
      <c r="F4" t="s">
        <v>3</v>
      </c>
      <c r="G4" s="1">
        <f>G2*G3</f>
        <v>135842.60777999999</v>
      </c>
      <c r="H4" s="31"/>
    </row>
    <row r="5" spans="1:8" x14ac:dyDescent="0.2">
      <c r="A5" t="s">
        <v>49</v>
      </c>
      <c r="F5" t="s">
        <v>4</v>
      </c>
      <c r="G5" s="1">
        <v>2523</v>
      </c>
      <c r="H5" s="31" t="s">
        <v>85</v>
      </c>
    </row>
    <row r="6" spans="1:8" x14ac:dyDescent="0.2">
      <c r="F6" t="s">
        <v>5</v>
      </c>
      <c r="G6" s="1">
        <f>142+19115</f>
        <v>19257</v>
      </c>
      <c r="H6" s="31" t="s">
        <v>85</v>
      </c>
    </row>
    <row r="7" spans="1:8" x14ac:dyDescent="0.2">
      <c r="F7" t="s">
        <v>6</v>
      </c>
      <c r="G7" s="1">
        <f>G4-G5+G6</f>
        <v>152576.60777999999</v>
      </c>
    </row>
    <row r="10" spans="1:8" x14ac:dyDescent="0.2">
      <c r="D10" s="25" t="s">
        <v>50</v>
      </c>
    </row>
    <row r="11" spans="1:8" x14ac:dyDescent="0.2">
      <c r="E11" t="s">
        <v>51</v>
      </c>
      <c r="H11" t="s">
        <v>86</v>
      </c>
    </row>
    <row r="12" spans="1:8" x14ac:dyDescent="0.2">
      <c r="E12" t="s">
        <v>52</v>
      </c>
    </row>
    <row r="13" spans="1:8" x14ac:dyDescent="0.2">
      <c r="E13" t="s">
        <v>53</v>
      </c>
    </row>
    <row r="14" spans="1:8" x14ac:dyDescent="0.2">
      <c r="E14" t="s">
        <v>54</v>
      </c>
    </row>
    <row r="16" spans="1:8" x14ac:dyDescent="0.2">
      <c r="D16" s="25" t="s">
        <v>55</v>
      </c>
    </row>
    <row r="17" spans="4:5" x14ac:dyDescent="0.2">
      <c r="E17" t="s">
        <v>56</v>
      </c>
    </row>
    <row r="19" spans="4:5" x14ac:dyDescent="0.2">
      <c r="D19" s="25" t="s">
        <v>57</v>
      </c>
    </row>
    <row r="20" spans="4:5" x14ac:dyDescent="0.2">
      <c r="E20" s="26" t="s">
        <v>58</v>
      </c>
    </row>
    <row r="21" spans="4:5" x14ac:dyDescent="0.2">
      <c r="E21" s="26" t="s">
        <v>59</v>
      </c>
    </row>
    <row r="22" spans="4:5" x14ac:dyDescent="0.2">
      <c r="E22" s="26" t="s">
        <v>60</v>
      </c>
    </row>
    <row r="23" spans="4:5" x14ac:dyDescent="0.2">
      <c r="E23" s="26" t="s">
        <v>61</v>
      </c>
    </row>
    <row r="24" spans="4:5" x14ac:dyDescent="0.2">
      <c r="E24" s="26" t="s">
        <v>62</v>
      </c>
    </row>
    <row r="25" spans="4:5" x14ac:dyDescent="0.2">
      <c r="E25" s="26" t="s">
        <v>63</v>
      </c>
    </row>
    <row r="27" spans="4:5" x14ac:dyDescent="0.2">
      <c r="D27" s="25" t="s">
        <v>64</v>
      </c>
    </row>
    <row r="28" spans="4:5" x14ac:dyDescent="0.2">
      <c r="E28" t="s">
        <v>65</v>
      </c>
    </row>
    <row r="29" spans="4:5" x14ac:dyDescent="0.2">
      <c r="E29" t="s">
        <v>66</v>
      </c>
    </row>
    <row r="30" spans="4:5" x14ac:dyDescent="0.2">
      <c r="E30" t="s">
        <v>67</v>
      </c>
    </row>
    <row r="31" spans="4:5" x14ac:dyDescent="0.2">
      <c r="E31" t="s">
        <v>68</v>
      </c>
    </row>
    <row r="32" spans="4:5" x14ac:dyDescent="0.2">
      <c r="E32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74</v>
      </c>
      <c r="C38" t="s">
        <v>75</v>
      </c>
    </row>
    <row r="39" spans="2:3" x14ac:dyDescent="0.2">
      <c r="B39" t="s">
        <v>76</v>
      </c>
      <c r="C39" t="s">
        <v>77</v>
      </c>
    </row>
    <row r="40" spans="2:3" x14ac:dyDescent="0.2">
      <c r="B40" t="s">
        <v>78</v>
      </c>
      <c r="C4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079A-0A05-414F-8111-3C438DC252F3}">
  <dimension ref="A1:Y60"/>
  <sheetViews>
    <sheetView topLeftCell="G1" zoomScale="130" zoomScaleNormal="130" workbookViewId="0">
      <selection activeCell="B2" sqref="B2:S29"/>
    </sheetView>
  </sheetViews>
  <sheetFormatPr baseColWidth="10" defaultRowHeight="16" x14ac:dyDescent="0.2"/>
  <cols>
    <col min="1" max="1" width="10.83203125" style="2"/>
    <col min="2" max="2" width="27.1640625" style="2" bestFit="1" customWidth="1"/>
    <col min="3" max="16" width="10.83203125" style="2" customWidth="1"/>
    <col min="17" max="17" width="13" style="2" bestFit="1" customWidth="1"/>
    <col min="18" max="19" width="11.6640625" style="2" bestFit="1" customWidth="1"/>
    <col min="20" max="16384" width="10.83203125" style="2"/>
  </cols>
  <sheetData>
    <row r="1" spans="1:25" x14ac:dyDescent="0.2">
      <c r="A1" s="4" t="s">
        <v>7</v>
      </c>
      <c r="Q1" s="9">
        <f t="shared" ref="Q1:R1" si="0">EOMONTH(R1,-12)</f>
        <v>44561</v>
      </c>
      <c r="R1" s="9">
        <f>EOMONTH(S1,-12)</f>
        <v>44926</v>
      </c>
      <c r="S1" s="9">
        <v>45291</v>
      </c>
      <c r="U1" s="9">
        <f>EOMONTH(S1,12)</f>
        <v>45657</v>
      </c>
      <c r="V1" s="9">
        <f>EOMONTH(U1,12)</f>
        <v>46022</v>
      </c>
      <c r="W1" s="9">
        <f t="shared" ref="W1:Y1" si="1">EOMONTH(V1,12)</f>
        <v>46387</v>
      </c>
      <c r="X1" s="9">
        <f t="shared" si="1"/>
        <v>46752</v>
      </c>
      <c r="Y1" s="9">
        <f t="shared" si="1"/>
        <v>47118</v>
      </c>
    </row>
    <row r="2" spans="1:25" x14ac:dyDescent="0.2">
      <c r="C2" s="2">
        <v>2007</v>
      </c>
      <c r="D2" s="2">
        <f>C2+1</f>
        <v>2008</v>
      </c>
      <c r="E2" s="2">
        <f t="shared" ref="E2:S2" si="2">D2+1</f>
        <v>2009</v>
      </c>
      <c r="F2" s="2">
        <f t="shared" si="2"/>
        <v>2010</v>
      </c>
      <c r="G2" s="2">
        <f t="shared" si="2"/>
        <v>2011</v>
      </c>
      <c r="H2" s="2">
        <f t="shared" si="2"/>
        <v>2012</v>
      </c>
      <c r="I2" s="2">
        <f t="shared" si="2"/>
        <v>2013</v>
      </c>
      <c r="J2" s="2">
        <f t="shared" si="2"/>
        <v>2014</v>
      </c>
      <c r="K2" s="2">
        <f t="shared" si="2"/>
        <v>2015</v>
      </c>
      <c r="L2" s="2">
        <f t="shared" si="2"/>
        <v>2016</v>
      </c>
      <c r="M2" s="2">
        <f t="shared" si="2"/>
        <v>2017</v>
      </c>
      <c r="N2" s="2">
        <f t="shared" si="2"/>
        <v>2018</v>
      </c>
      <c r="O2" s="2">
        <f t="shared" si="2"/>
        <v>2019</v>
      </c>
      <c r="P2" s="2">
        <f t="shared" si="2"/>
        <v>2020</v>
      </c>
      <c r="Q2" s="24">
        <f t="shared" si="2"/>
        <v>2021</v>
      </c>
      <c r="R2" s="24">
        <f t="shared" si="2"/>
        <v>2022</v>
      </c>
      <c r="S2" s="24">
        <f t="shared" si="2"/>
        <v>2023</v>
      </c>
      <c r="T2" s="24"/>
      <c r="U2" s="24">
        <f>S2+1</f>
        <v>2024</v>
      </c>
      <c r="V2" s="24">
        <f>U2+1</f>
        <v>2025</v>
      </c>
      <c r="W2" s="24">
        <f t="shared" ref="W2:Y2" si="3">V2+1</f>
        <v>2026</v>
      </c>
      <c r="X2" s="24">
        <f t="shared" si="3"/>
        <v>2027</v>
      </c>
      <c r="Y2" s="24">
        <f t="shared" si="3"/>
        <v>2028</v>
      </c>
    </row>
    <row r="3" spans="1:25" x14ac:dyDescent="0.2">
      <c r="B3" s="2" t="s">
        <v>50</v>
      </c>
      <c r="Q3" s="28">
        <v>26748</v>
      </c>
      <c r="R3" s="28">
        <v>26987</v>
      </c>
      <c r="S3" s="28">
        <v>27474</v>
      </c>
      <c r="T3" s="27"/>
      <c r="U3" s="27"/>
      <c r="V3" s="27"/>
      <c r="W3" s="27"/>
      <c r="X3" s="27"/>
      <c r="Y3" s="27"/>
    </row>
    <row r="4" spans="1:25" x14ac:dyDescent="0.2">
      <c r="B4" s="2" t="s">
        <v>55</v>
      </c>
      <c r="Q4" s="28">
        <v>11693</v>
      </c>
      <c r="R4" s="28">
        <v>11317</v>
      </c>
      <c r="S4" s="28">
        <v>11253</v>
      </c>
      <c r="T4" s="27"/>
      <c r="U4" s="27"/>
      <c r="V4" s="27"/>
      <c r="W4" s="27"/>
      <c r="X4" s="27"/>
      <c r="Y4" s="27"/>
    </row>
    <row r="5" spans="1:25" x14ac:dyDescent="0.2">
      <c r="B5" s="2" t="s">
        <v>80</v>
      </c>
      <c r="Q5" s="28">
        <v>16789</v>
      </c>
      <c r="R5" s="28">
        <v>16148</v>
      </c>
      <c r="S5" s="28">
        <v>16239</v>
      </c>
      <c r="T5" s="27"/>
      <c r="U5" s="27"/>
      <c r="V5" s="27"/>
      <c r="W5" s="27"/>
      <c r="X5" s="27"/>
      <c r="Y5" s="27"/>
    </row>
    <row r="6" spans="1:25" x14ac:dyDescent="0.2">
      <c r="B6" s="2" t="s">
        <v>57</v>
      </c>
      <c r="Q6" s="28">
        <v>11814</v>
      </c>
      <c r="R6" s="28">
        <v>11532</v>
      </c>
      <c r="S6" s="28">
        <v>12605</v>
      </c>
      <c r="T6" s="27"/>
      <c r="U6" s="27"/>
      <c r="V6" s="27"/>
      <c r="W6" s="27"/>
      <c r="X6" s="27"/>
      <c r="Y6" s="27"/>
    </row>
    <row r="7" spans="1:25" x14ac:dyDescent="0.2">
      <c r="B7" s="11" t="s">
        <v>10</v>
      </c>
      <c r="C7" s="29">
        <v>41862</v>
      </c>
      <c r="D7" s="29">
        <v>41372</v>
      </c>
      <c r="E7" s="29">
        <v>43867</v>
      </c>
      <c r="F7" s="29">
        <v>45671</v>
      </c>
      <c r="G7" s="29">
        <v>46499</v>
      </c>
      <c r="H7" s="29">
        <v>47182</v>
      </c>
      <c r="I7" s="29">
        <v>35691</v>
      </c>
      <c r="J7" s="29">
        <v>39946</v>
      </c>
      <c r="K7" s="29">
        <v>40536</v>
      </c>
      <c r="L7" s="29">
        <v>47290</v>
      </c>
      <c r="M7" s="29">
        <v>49960</v>
      </c>
      <c r="N7" s="29">
        <v>53762</v>
      </c>
      <c r="O7" s="29">
        <v>59812</v>
      </c>
      <c r="P7" s="29">
        <v>65398</v>
      </c>
      <c r="Q7" s="29">
        <v>67044</v>
      </c>
      <c r="R7" s="29">
        <v>65984</v>
      </c>
      <c r="S7" s="29">
        <v>67571</v>
      </c>
      <c r="T7" s="11"/>
      <c r="U7" s="19">
        <f>S7*(1+U21)</f>
        <v>68246.710000000006</v>
      </c>
      <c r="V7" s="19">
        <f>U7*(1+V21)</f>
        <v>68929.177100000001</v>
      </c>
      <c r="W7" s="19">
        <f t="shared" ref="W7:Y7" si="4">V7*(1+W21)</f>
        <v>69618.468871000005</v>
      </c>
      <c r="X7" s="19">
        <f t="shared" si="4"/>
        <v>70314.653559710001</v>
      </c>
      <c r="Y7" s="19">
        <f t="shared" si="4"/>
        <v>71017.800095307102</v>
      </c>
    </row>
    <row r="8" spans="1:25" x14ac:dyDescent="0.2">
      <c r="B8" s="2" t="s">
        <v>11</v>
      </c>
      <c r="C8" s="3">
        <v>37353</v>
      </c>
      <c r="D8" s="3">
        <v>36798</v>
      </c>
      <c r="E8" s="3">
        <v>39720</v>
      </c>
      <c r="F8" s="3">
        <v>40921</v>
      </c>
      <c r="G8" s="3">
        <v>41482</v>
      </c>
      <c r="H8" s="3">
        <v>41878</v>
      </c>
      <c r="I8" s="3">
        <v>39934</v>
      </c>
      <c r="J8" s="3">
        <v>35167</v>
      </c>
      <c r="K8" s="3">
        <v>36044</v>
      </c>
      <c r="L8" s="3">
        <v>41889</v>
      </c>
      <c r="M8" s="3">
        <v>43589</v>
      </c>
      <c r="N8" s="3">
        <v>46488</v>
      </c>
      <c r="O8" s="3">
        <v>51445</v>
      </c>
      <c r="P8" s="3">
        <v>56744</v>
      </c>
      <c r="Q8" s="3">
        <v>57983</v>
      </c>
      <c r="R8" s="3">
        <v>57697</v>
      </c>
      <c r="S8" s="3">
        <v>59092</v>
      </c>
      <c r="U8" s="8">
        <f>U7-U9</f>
        <v>59374.637700000007</v>
      </c>
      <c r="V8" s="8">
        <f t="shared" ref="V8:Y8" si="5">V7-V9</f>
        <v>59968.384077000002</v>
      </c>
      <c r="W8" s="8">
        <f t="shared" si="5"/>
        <v>60568.067917770008</v>
      </c>
      <c r="X8" s="8">
        <f t="shared" si="5"/>
        <v>61173.748596947698</v>
      </c>
      <c r="Y8" s="8">
        <f t="shared" si="5"/>
        <v>61785.486082917181</v>
      </c>
    </row>
    <row r="9" spans="1:25" x14ac:dyDescent="0.2">
      <c r="B9" s="11" t="s">
        <v>12</v>
      </c>
      <c r="C9" s="3">
        <v>4509</v>
      </c>
      <c r="D9" s="3">
        <v>4574</v>
      </c>
      <c r="E9" s="3">
        <v>4147</v>
      </c>
      <c r="F9" s="3">
        <v>4750</v>
      </c>
      <c r="G9" s="3">
        <v>5017</v>
      </c>
      <c r="H9" s="3">
        <v>5304</v>
      </c>
      <c r="I9" s="3">
        <v>-4243</v>
      </c>
      <c r="J9" s="3">
        <v>4779</v>
      </c>
      <c r="K9" s="3">
        <v>4492</v>
      </c>
      <c r="L9" s="3">
        <v>5401</v>
      </c>
      <c r="M9" s="3">
        <v>6371</v>
      </c>
      <c r="N9" s="3">
        <v>7274</v>
      </c>
      <c r="O9" s="3">
        <v>8367</v>
      </c>
      <c r="P9" s="3">
        <v>8654</v>
      </c>
      <c r="Q9" s="29">
        <v>9061</v>
      </c>
      <c r="R9" s="29">
        <v>8287</v>
      </c>
      <c r="S9" s="29">
        <v>8479</v>
      </c>
      <c r="T9" s="11"/>
      <c r="U9" s="19">
        <f>U7*U22</f>
        <v>8872.0723000000016</v>
      </c>
      <c r="V9" s="19">
        <f t="shared" ref="V9:Y9" si="6">V7*V22</f>
        <v>8960.7930230000002</v>
      </c>
      <c r="W9" s="19">
        <f t="shared" si="6"/>
        <v>9050.4009532300006</v>
      </c>
      <c r="X9" s="19">
        <f t="shared" si="6"/>
        <v>9140.9049627623008</v>
      </c>
      <c r="Y9" s="19">
        <f t="shared" si="6"/>
        <v>9232.3140123899229</v>
      </c>
    </row>
    <row r="10" spans="1:25" x14ac:dyDescent="0.2">
      <c r="B10" s="2" t="s">
        <v>13</v>
      </c>
      <c r="C10" s="2">
        <v>-18</v>
      </c>
      <c r="D10" s="2">
        <v>-475</v>
      </c>
      <c r="E10" s="2">
        <v>-220</v>
      </c>
      <c r="F10" s="2">
        <v>906</v>
      </c>
      <c r="G10" s="3">
        <v>1273</v>
      </c>
      <c r="H10" s="2">
        <v>48</v>
      </c>
      <c r="I10" s="2">
        <v>396</v>
      </c>
      <c r="J10" s="2">
        <v>0</v>
      </c>
      <c r="K10" s="2">
        <v>-220</v>
      </c>
      <c r="L10" s="2">
        <v>-487</v>
      </c>
      <c r="M10" s="2">
        <v>-373</v>
      </c>
      <c r="N10" s="2">
        <v>-60</v>
      </c>
      <c r="O10" s="2">
        <v>-178</v>
      </c>
      <c r="P10" s="2">
        <v>10</v>
      </c>
      <c r="Q10" s="2">
        <v>-62</v>
      </c>
      <c r="R10" s="2">
        <v>-61</v>
      </c>
      <c r="S10" s="2">
        <v>-28</v>
      </c>
      <c r="U10" s="8">
        <f>U9-U15</f>
        <v>0</v>
      </c>
      <c r="V10" s="8">
        <f t="shared" ref="V10:Y10" si="7">V9-V15</f>
        <v>0</v>
      </c>
      <c r="W10" s="8">
        <f t="shared" si="7"/>
        <v>0</v>
      </c>
      <c r="X10" s="8">
        <f t="shared" si="7"/>
        <v>0</v>
      </c>
      <c r="Y10" s="8">
        <f t="shared" si="7"/>
        <v>0</v>
      </c>
    </row>
    <row r="11" spans="1:25" x14ac:dyDescent="0.2">
      <c r="B11" s="2" t="s">
        <v>50</v>
      </c>
      <c r="G11" s="3"/>
      <c r="Q11" s="8">
        <v>2800</v>
      </c>
      <c r="R11" s="8">
        <v>2867</v>
      </c>
      <c r="S11" s="8">
        <v>2825</v>
      </c>
      <c r="U11" s="8"/>
      <c r="V11" s="8"/>
      <c r="W11" s="8"/>
      <c r="X11" s="8"/>
      <c r="Y11" s="8"/>
    </row>
    <row r="12" spans="1:25" x14ac:dyDescent="0.2">
      <c r="B12" s="2" t="s">
        <v>55</v>
      </c>
      <c r="G12" s="3"/>
      <c r="Q12" s="8">
        <v>1650</v>
      </c>
      <c r="R12" s="8">
        <v>1637</v>
      </c>
      <c r="S12" s="8">
        <v>1541</v>
      </c>
      <c r="U12" s="8"/>
      <c r="V12" s="8"/>
      <c r="W12" s="8"/>
      <c r="X12" s="8"/>
      <c r="Y12" s="8"/>
    </row>
    <row r="13" spans="1:25" x14ac:dyDescent="0.2">
      <c r="B13" s="2" t="s">
        <v>80</v>
      </c>
      <c r="G13" s="3"/>
      <c r="Q13" s="8">
        <v>2030</v>
      </c>
      <c r="R13" s="8">
        <v>1906</v>
      </c>
      <c r="S13" s="8">
        <v>1865</v>
      </c>
      <c r="U13" s="8"/>
      <c r="V13" s="8"/>
      <c r="W13" s="8"/>
      <c r="X13" s="8"/>
      <c r="Y13" s="8"/>
    </row>
    <row r="14" spans="1:25" x14ac:dyDescent="0.2">
      <c r="B14" s="2" t="s">
        <v>57</v>
      </c>
      <c r="G14" s="3"/>
      <c r="Q14" s="8">
        <v>1184</v>
      </c>
      <c r="R14" s="8">
        <v>1057</v>
      </c>
      <c r="S14" s="2">
        <v>1158</v>
      </c>
      <c r="U14" s="8"/>
      <c r="V14" s="8"/>
      <c r="W14" s="8"/>
      <c r="X14" s="8"/>
      <c r="Y14" s="8"/>
    </row>
    <row r="15" spans="1:25" x14ac:dyDescent="0.2">
      <c r="B15" s="11" t="s">
        <v>14</v>
      </c>
      <c r="C15" s="3">
        <v>4527</v>
      </c>
      <c r="D15" s="3">
        <v>5049</v>
      </c>
      <c r="E15" s="3">
        <v>4367</v>
      </c>
      <c r="F15" s="3">
        <v>3844</v>
      </c>
      <c r="G15" s="3">
        <v>3744</v>
      </c>
      <c r="H15" s="3">
        <v>5256</v>
      </c>
      <c r="I15" s="3">
        <v>-4639</v>
      </c>
      <c r="J15" s="3">
        <v>4779</v>
      </c>
      <c r="K15" s="3">
        <v>4712</v>
      </c>
      <c r="L15" s="3">
        <v>5888</v>
      </c>
      <c r="M15" s="3">
        <v>6744</v>
      </c>
      <c r="N15" s="3">
        <v>7334</v>
      </c>
      <c r="O15" s="3">
        <v>8545</v>
      </c>
      <c r="P15" s="3">
        <v>8644</v>
      </c>
      <c r="Q15" s="29">
        <v>9123</v>
      </c>
      <c r="R15" s="29">
        <v>8348</v>
      </c>
      <c r="S15" s="29">
        <v>8507</v>
      </c>
      <c r="T15" s="11"/>
      <c r="U15" s="19">
        <f>U7*U23</f>
        <v>8872.0723000000016</v>
      </c>
      <c r="V15" s="19">
        <f t="shared" ref="V15:Y15" si="8">V7*V23</f>
        <v>8960.7930230000002</v>
      </c>
      <c r="W15" s="19">
        <f t="shared" si="8"/>
        <v>9050.4009532300006</v>
      </c>
      <c r="X15" s="19">
        <f t="shared" si="8"/>
        <v>9140.9049627623008</v>
      </c>
      <c r="Y15" s="19">
        <f t="shared" si="8"/>
        <v>9232.3140123899229</v>
      </c>
    </row>
    <row r="16" spans="1:25" x14ac:dyDescent="0.2">
      <c r="B16" s="2" t="s">
        <v>8</v>
      </c>
      <c r="C16" s="2">
        <v>-159</v>
      </c>
      <c r="D16" s="2">
        <v>-423</v>
      </c>
      <c r="E16" s="2">
        <v>-185</v>
      </c>
      <c r="F16" s="2">
        <v>-345</v>
      </c>
      <c r="G16" s="2">
        <v>-354</v>
      </c>
      <c r="H16" s="2">
        <v>-362</v>
      </c>
      <c r="I16" s="2">
        <v>-350</v>
      </c>
      <c r="J16" s="2">
        <v>-335</v>
      </c>
      <c r="K16" s="2">
        <v>-413</v>
      </c>
      <c r="L16" s="3">
        <v>-1134</v>
      </c>
      <c r="M16" s="3">
        <v>-1498</v>
      </c>
      <c r="N16" s="3">
        <v>-1496</v>
      </c>
      <c r="O16" s="3">
        <v>-1304</v>
      </c>
      <c r="P16" s="2">
        <v>-409</v>
      </c>
      <c r="Q16" s="3">
        <v>-1573</v>
      </c>
      <c r="R16" s="3">
        <v>-1668</v>
      </c>
      <c r="S16" s="2">
        <v>-409</v>
      </c>
      <c r="U16" s="8">
        <f>U7*U25</f>
        <v>-1364.9342000000001</v>
      </c>
      <c r="V16" s="8">
        <f t="shared" ref="V16:Y16" si="9">V7*V25</f>
        <v>-1378.5835420000001</v>
      </c>
      <c r="W16" s="8">
        <f t="shared" si="9"/>
        <v>-1392.3693774200001</v>
      </c>
      <c r="X16" s="8">
        <f t="shared" si="9"/>
        <v>-1406.2930711942001</v>
      </c>
      <c r="Y16" s="8">
        <f t="shared" si="9"/>
        <v>-1420.3560019061422</v>
      </c>
    </row>
    <row r="17" spans="1:25" x14ac:dyDescent="0.2">
      <c r="B17" s="11" t="s">
        <v>15</v>
      </c>
      <c r="C17" s="3">
        <v>4368</v>
      </c>
      <c r="D17" s="3">
        <v>4626</v>
      </c>
      <c r="E17" s="3">
        <v>4182</v>
      </c>
      <c r="F17" s="3">
        <v>3778</v>
      </c>
      <c r="G17" s="3">
        <v>3631</v>
      </c>
      <c r="H17" s="3">
        <v>4072</v>
      </c>
      <c r="I17" s="3">
        <v>4155</v>
      </c>
      <c r="J17" s="3">
        <v>4677</v>
      </c>
      <c r="K17" s="3">
        <v>4299</v>
      </c>
      <c r="L17" s="3">
        <v>4754</v>
      </c>
      <c r="M17" s="3">
        <v>5246</v>
      </c>
      <c r="N17" s="3">
        <v>5838</v>
      </c>
      <c r="O17" s="3">
        <v>7241</v>
      </c>
      <c r="P17" s="3">
        <v>8235</v>
      </c>
      <c r="Q17" s="29">
        <v>7550</v>
      </c>
      <c r="R17" s="29">
        <v>6680</v>
      </c>
      <c r="S17" s="29">
        <v>8098</v>
      </c>
      <c r="T17" s="11"/>
      <c r="U17" s="19">
        <f>U15+U16</f>
        <v>7507.1381000000019</v>
      </c>
      <c r="V17" s="19">
        <f t="shared" ref="V17:Y17" si="10">V15+V16</f>
        <v>7582.2094809999999</v>
      </c>
      <c r="W17" s="19">
        <f t="shared" si="10"/>
        <v>7658.0315758100005</v>
      </c>
      <c r="X17" s="19">
        <f t="shared" si="10"/>
        <v>7734.6118915681009</v>
      </c>
      <c r="Y17" s="19">
        <f t="shared" si="10"/>
        <v>7811.9580104837805</v>
      </c>
    </row>
    <row r="18" spans="1:25" x14ac:dyDescent="0.2">
      <c r="B18" s="2" t="s">
        <v>16</v>
      </c>
      <c r="C18" s="3">
        <v>1335</v>
      </c>
      <c r="D18" s="3">
        <v>1459</v>
      </c>
      <c r="E18" s="3">
        <v>1215</v>
      </c>
      <c r="F18" s="3">
        <v>1164</v>
      </c>
      <c r="G18" s="2">
        <v>964</v>
      </c>
      <c r="H18" s="3">
        <v>1327</v>
      </c>
      <c r="I18" s="3">
        <v>1205</v>
      </c>
      <c r="J18" s="3">
        <v>1424</v>
      </c>
      <c r="K18" s="3">
        <v>1173</v>
      </c>
      <c r="L18" s="3">
        <v>1093</v>
      </c>
      <c r="M18" s="3">
        <v>3356</v>
      </c>
      <c r="N18" s="2">
        <v>792</v>
      </c>
      <c r="O18" s="3">
        <v>1011</v>
      </c>
      <c r="P18" s="3">
        <v>1347</v>
      </c>
      <c r="Q18" s="3">
        <v>1235</v>
      </c>
      <c r="R18" s="2">
        <v>948</v>
      </c>
      <c r="S18" s="3">
        <v>1178</v>
      </c>
      <c r="U18" s="8">
        <f>U17*U24</f>
        <v>1126.0707150000003</v>
      </c>
      <c r="V18" s="8">
        <f t="shared" ref="V18:Y18" si="11">V17*V24</f>
        <v>1137.33142215</v>
      </c>
      <c r="W18" s="8">
        <f t="shared" si="11"/>
        <v>1148.7047363715001</v>
      </c>
      <c r="X18" s="8">
        <f t="shared" si="11"/>
        <v>1160.191783735215</v>
      </c>
      <c r="Y18" s="8">
        <f t="shared" si="11"/>
        <v>1171.793701572567</v>
      </c>
    </row>
    <row r="19" spans="1:25" x14ac:dyDescent="0.2">
      <c r="B19" s="11" t="s">
        <v>9</v>
      </c>
      <c r="C19" s="3">
        <v>3033</v>
      </c>
      <c r="D19" s="3">
        <v>3217</v>
      </c>
      <c r="E19" s="3">
        <v>2973</v>
      </c>
      <c r="F19" s="3">
        <v>2335</v>
      </c>
      <c r="G19" s="3">
        <v>2655</v>
      </c>
      <c r="H19" s="3">
        <v>2745</v>
      </c>
      <c r="I19" s="3">
        <v>2981</v>
      </c>
      <c r="J19" s="3">
        <v>3614</v>
      </c>
      <c r="K19" s="3">
        <v>3605</v>
      </c>
      <c r="L19" s="3">
        <v>5173</v>
      </c>
      <c r="M19" s="3">
        <v>1963</v>
      </c>
      <c r="N19" s="3">
        <v>5046</v>
      </c>
      <c r="O19" s="3">
        <v>6230</v>
      </c>
      <c r="P19" s="3">
        <v>6833</v>
      </c>
      <c r="Q19" s="29">
        <v>6315</v>
      </c>
      <c r="R19" s="29">
        <v>5732</v>
      </c>
      <c r="S19" s="29">
        <v>6920</v>
      </c>
      <c r="T19" s="11"/>
      <c r="U19" s="19">
        <f>U17-U18</f>
        <v>6381.0673850000021</v>
      </c>
      <c r="V19" s="19">
        <f t="shared" ref="V19:Y19" si="12">V17-V18</f>
        <v>6444.8780588499994</v>
      </c>
      <c r="W19" s="19">
        <f t="shared" si="12"/>
        <v>6509.3268394385004</v>
      </c>
      <c r="X19" s="19">
        <f t="shared" si="12"/>
        <v>6574.4201078328861</v>
      </c>
      <c r="Y19" s="19">
        <f t="shared" si="12"/>
        <v>6640.1643089112131</v>
      </c>
    </row>
    <row r="20" spans="1:25" x14ac:dyDescent="0.2">
      <c r="T20" s="2" t="s">
        <v>27</v>
      </c>
    </row>
    <row r="21" spans="1:25" x14ac:dyDescent="0.2">
      <c r="B21" s="2" t="s">
        <v>17</v>
      </c>
      <c r="C21" s="5"/>
      <c r="D21" s="5">
        <f>(D7/C7)-1</f>
        <v>-1.1705126367588692E-2</v>
      </c>
      <c r="E21" s="5">
        <f t="shared" ref="E21:S21" si="13">(E7/D7)-1</f>
        <v>6.0306487479454773E-2</v>
      </c>
      <c r="F21" s="5">
        <f t="shared" si="13"/>
        <v>4.1124307566051899E-2</v>
      </c>
      <c r="G21" s="5">
        <f t="shared" si="13"/>
        <v>1.8129666527993749E-2</v>
      </c>
      <c r="H21" s="5">
        <f t="shared" si="13"/>
        <v>1.4688487924471527E-2</v>
      </c>
      <c r="I21" s="5">
        <f t="shared" si="13"/>
        <v>-0.24354626764444065</v>
      </c>
      <c r="J21" s="5">
        <f t="shared" si="13"/>
        <v>0.11921772995993396</v>
      </c>
      <c r="K21" s="5">
        <f t="shared" si="13"/>
        <v>1.4769939418214584E-2</v>
      </c>
      <c r="L21" s="5">
        <f t="shared" si="13"/>
        <v>0.16661732780738103</v>
      </c>
      <c r="M21" s="5">
        <f t="shared" si="13"/>
        <v>5.6460139564389999E-2</v>
      </c>
      <c r="N21" s="5">
        <f t="shared" si="13"/>
        <v>7.6100880704563556E-2</v>
      </c>
      <c r="O21" s="5">
        <f t="shared" si="13"/>
        <v>0.11253301588482567</v>
      </c>
      <c r="P21" s="5">
        <f t="shared" si="13"/>
        <v>9.3392630241423191E-2</v>
      </c>
      <c r="Q21" s="5">
        <f t="shared" si="13"/>
        <v>2.516896541178637E-2</v>
      </c>
      <c r="R21" s="5">
        <f t="shared" si="13"/>
        <v>-1.5810512499254248E-2</v>
      </c>
      <c r="S21" s="5">
        <f t="shared" si="13"/>
        <v>2.4051285160038738E-2</v>
      </c>
      <c r="T21" s="6">
        <f>AVERAGE(Q21:S21)</f>
        <v>1.1136579357523621E-2</v>
      </c>
      <c r="U21" s="13">
        <v>0.01</v>
      </c>
      <c r="V21" s="13">
        <v>0.01</v>
      </c>
      <c r="W21" s="13">
        <v>0.01</v>
      </c>
      <c r="X21" s="13">
        <v>0.01</v>
      </c>
      <c r="Y21" s="13">
        <v>0.01</v>
      </c>
    </row>
    <row r="22" spans="1:25" x14ac:dyDescent="0.2">
      <c r="B22" s="2" t="s">
        <v>18</v>
      </c>
      <c r="C22" s="5">
        <f>C9/C7</f>
        <v>0.10771105059481152</v>
      </c>
      <c r="D22" s="5">
        <f t="shared" ref="D22:S22" si="14">D9/D7</f>
        <v>0.11055786522285604</v>
      </c>
      <c r="E22" s="5">
        <f t="shared" si="14"/>
        <v>9.4535755807326691E-2</v>
      </c>
      <c r="F22" s="5">
        <f t="shared" si="14"/>
        <v>0.1040047294782247</v>
      </c>
      <c r="G22" s="5">
        <f t="shared" si="14"/>
        <v>0.10789479343641799</v>
      </c>
      <c r="H22" s="5">
        <f t="shared" si="14"/>
        <v>0.11241575176974269</v>
      </c>
      <c r="I22" s="5">
        <f t="shared" si="14"/>
        <v>-0.11888151074500575</v>
      </c>
      <c r="J22" s="5">
        <f t="shared" si="14"/>
        <v>0.11963650928753818</v>
      </c>
      <c r="K22" s="5">
        <f t="shared" si="14"/>
        <v>0.11081507795539768</v>
      </c>
      <c r="L22" s="5">
        <f t="shared" si="14"/>
        <v>0.11421019242968915</v>
      </c>
      <c r="M22" s="5">
        <f t="shared" si="14"/>
        <v>0.12752201761409127</v>
      </c>
      <c r="N22" s="5">
        <f t="shared" si="14"/>
        <v>0.13530002604069788</v>
      </c>
      <c r="O22" s="5">
        <f t="shared" si="14"/>
        <v>0.13988831672574065</v>
      </c>
      <c r="P22" s="5">
        <f t="shared" si="14"/>
        <v>0.1323282057555277</v>
      </c>
      <c r="Q22" s="5">
        <f t="shared" si="14"/>
        <v>0.13515005071296463</v>
      </c>
      <c r="R22" s="5">
        <f t="shared" si="14"/>
        <v>0.12559105237633367</v>
      </c>
      <c r="S22" s="5">
        <f t="shared" si="14"/>
        <v>0.125482825472466</v>
      </c>
      <c r="T22" s="6">
        <f t="shared" ref="T22:T25" si="15">AVERAGE(Q22:S22)</f>
        <v>0.12874130952058813</v>
      </c>
      <c r="U22" s="13">
        <v>0.13</v>
      </c>
      <c r="V22" s="13">
        <v>0.13</v>
      </c>
      <c r="W22" s="13">
        <v>0.13</v>
      </c>
      <c r="X22" s="13">
        <v>0.13</v>
      </c>
      <c r="Y22" s="13">
        <v>0.13</v>
      </c>
    </row>
    <row r="23" spans="1:25" x14ac:dyDescent="0.2">
      <c r="B23" s="2" t="s">
        <v>19</v>
      </c>
      <c r="C23" s="5">
        <f>C15/C7</f>
        <v>0.10814103482872295</v>
      </c>
      <c r="D23" s="5">
        <f t="shared" ref="D23:S23" si="16">D15/D7</f>
        <v>0.12203906023397466</v>
      </c>
      <c r="E23" s="5">
        <f t="shared" si="16"/>
        <v>9.9550915266601314E-2</v>
      </c>
      <c r="F23" s="5">
        <f t="shared" si="16"/>
        <v>8.4167195813535947E-2</v>
      </c>
      <c r="G23" s="5">
        <f t="shared" si="16"/>
        <v>8.0517860599152669E-2</v>
      </c>
      <c r="H23" s="5">
        <f t="shared" si="16"/>
        <v>0.11139841464965453</v>
      </c>
      <c r="I23" s="5">
        <f t="shared" si="16"/>
        <v>-0.12997674483763413</v>
      </c>
      <c r="J23" s="5">
        <f t="shared" si="16"/>
        <v>0.11963650928753818</v>
      </c>
      <c r="K23" s="5">
        <f t="shared" si="16"/>
        <v>0.11624235247681074</v>
      </c>
      <c r="L23" s="5">
        <f t="shared" si="16"/>
        <v>0.12450835271727638</v>
      </c>
      <c r="M23" s="5">
        <f t="shared" si="16"/>
        <v>0.13498799039231385</v>
      </c>
      <c r="N23" s="5">
        <f t="shared" si="16"/>
        <v>0.13641605595029946</v>
      </c>
      <c r="O23" s="5">
        <f t="shared" si="16"/>
        <v>0.14286430816558551</v>
      </c>
      <c r="P23" s="5">
        <f t="shared" si="16"/>
        <v>0.13217529588060797</v>
      </c>
      <c r="Q23" s="5">
        <f t="shared" si="16"/>
        <v>0.13607481653839271</v>
      </c>
      <c r="R23" s="5">
        <f t="shared" si="16"/>
        <v>0.12651551891367604</v>
      </c>
      <c r="S23" s="5">
        <f t="shared" si="16"/>
        <v>0.12589720442201535</v>
      </c>
      <c r="T23" s="6">
        <f t="shared" si="15"/>
        <v>0.12949584662469471</v>
      </c>
      <c r="U23" s="13">
        <v>0.13</v>
      </c>
      <c r="V23" s="13">
        <v>0.13</v>
      </c>
      <c r="W23" s="13">
        <v>0.13</v>
      </c>
      <c r="X23" s="13">
        <v>0.13</v>
      </c>
      <c r="Y23" s="13">
        <v>0.13</v>
      </c>
    </row>
    <row r="24" spans="1:25" x14ac:dyDescent="0.2">
      <c r="B24" s="2" t="s">
        <v>20</v>
      </c>
      <c r="C24" s="5">
        <f>C18/C17</f>
        <v>0.30563186813186816</v>
      </c>
      <c r="D24" s="5">
        <f t="shared" ref="D24:S24" si="17">D18/D17</f>
        <v>0.31539126675313445</v>
      </c>
      <c r="E24" s="5">
        <f t="shared" si="17"/>
        <v>0.29053084648493543</v>
      </c>
      <c r="F24" s="5">
        <f t="shared" si="17"/>
        <v>0.3080995235574378</v>
      </c>
      <c r="G24" s="5">
        <f t="shared" si="17"/>
        <v>0.26549160011016248</v>
      </c>
      <c r="H24" s="5">
        <f t="shared" si="17"/>
        <v>0.32588408644400785</v>
      </c>
      <c r="I24" s="5">
        <f t="shared" si="17"/>
        <v>0.29001203369434414</v>
      </c>
      <c r="J24" s="5">
        <f t="shared" si="17"/>
        <v>0.30446867650203124</v>
      </c>
      <c r="K24" s="5">
        <f t="shared" si="17"/>
        <v>0.27285415212840197</v>
      </c>
      <c r="L24" s="5">
        <f t="shared" si="17"/>
        <v>0.22991165334455196</v>
      </c>
      <c r="M24" s="5">
        <f t="shared" si="17"/>
        <v>0.63972550514677851</v>
      </c>
      <c r="N24" s="5">
        <f t="shared" si="17"/>
        <v>0.13566289825282632</v>
      </c>
      <c r="O24" s="5">
        <f t="shared" si="17"/>
        <v>0.13962159922662615</v>
      </c>
      <c r="P24" s="5">
        <f t="shared" si="17"/>
        <v>0.16357012750455374</v>
      </c>
      <c r="Q24" s="5">
        <f t="shared" si="17"/>
        <v>0.16357615894039734</v>
      </c>
      <c r="R24" s="5">
        <f t="shared" si="17"/>
        <v>0.14191616766467066</v>
      </c>
      <c r="S24" s="5">
        <f t="shared" si="17"/>
        <v>0.14546801679427018</v>
      </c>
      <c r="T24" s="6">
        <f t="shared" si="15"/>
        <v>0.15032011446644605</v>
      </c>
      <c r="U24" s="13">
        <v>0.15</v>
      </c>
      <c r="V24" s="13">
        <v>0.15</v>
      </c>
      <c r="W24" s="13">
        <v>0.15</v>
      </c>
      <c r="X24" s="13">
        <v>0.15</v>
      </c>
      <c r="Y24" s="13">
        <v>0.15</v>
      </c>
    </row>
    <row r="25" spans="1:25" x14ac:dyDescent="0.2">
      <c r="B25" s="2" t="s">
        <v>21</v>
      </c>
      <c r="C25" s="5">
        <f>C16/C7</f>
        <v>-3.7981940662175722E-3</v>
      </c>
      <c r="D25" s="5">
        <f t="shared" ref="D25:S25" si="18">D16/D7</f>
        <v>-1.0224306294111959E-2</v>
      </c>
      <c r="E25" s="5">
        <f t="shared" si="18"/>
        <v>-4.217293181662753E-3</v>
      </c>
      <c r="F25" s="5">
        <f t="shared" si="18"/>
        <v>-7.5540277199973721E-3</v>
      </c>
      <c r="G25" s="5">
        <f t="shared" si="18"/>
        <v>-7.6130669476762941E-3</v>
      </c>
      <c r="H25" s="5">
        <f t="shared" si="18"/>
        <v>-7.6724174473316092E-3</v>
      </c>
      <c r="I25" s="5">
        <f t="shared" si="18"/>
        <v>-9.8063937687372163E-3</v>
      </c>
      <c r="J25" s="5">
        <f t="shared" si="18"/>
        <v>-8.3863215340709962E-3</v>
      </c>
      <c r="K25" s="5">
        <f t="shared" si="18"/>
        <v>-1.0188474442470889E-2</v>
      </c>
      <c r="L25" s="5">
        <f t="shared" si="18"/>
        <v>-2.3979699725100445E-2</v>
      </c>
      <c r="M25" s="5">
        <f t="shared" si="18"/>
        <v>-2.9983987189751801E-2</v>
      </c>
      <c r="N25" s="5">
        <f t="shared" si="18"/>
        <v>-2.7826345746065996E-2</v>
      </c>
      <c r="O25" s="5">
        <f t="shared" si="18"/>
        <v>-2.180164515481843E-2</v>
      </c>
      <c r="P25" s="5">
        <f t="shared" si="18"/>
        <v>-6.2540138842166427E-3</v>
      </c>
      <c r="Q25" s="5">
        <f t="shared" si="18"/>
        <v>-2.3462203925780085E-2</v>
      </c>
      <c r="R25" s="5">
        <f t="shared" si="18"/>
        <v>-2.527885548011639E-2</v>
      </c>
      <c r="S25" s="5">
        <f t="shared" si="18"/>
        <v>-6.0528925130603362E-3</v>
      </c>
      <c r="T25" s="6">
        <f t="shared" si="15"/>
        <v>-1.8264650639652269E-2</v>
      </c>
      <c r="U25" s="13">
        <v>-0.02</v>
      </c>
      <c r="V25" s="13">
        <v>-0.02</v>
      </c>
      <c r="W25" s="13">
        <v>-0.02</v>
      </c>
      <c r="X25" s="13">
        <v>-0.02</v>
      </c>
      <c r="Y25" s="13">
        <v>-0.02</v>
      </c>
    </row>
    <row r="26" spans="1:25" x14ac:dyDescent="0.2">
      <c r="B26" s="2" t="s">
        <v>81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f t="shared" ref="Q26:S26" si="19">Q11/Q3</f>
        <v>0.10468072379243308</v>
      </c>
      <c r="R26" s="5">
        <f t="shared" si="19"/>
        <v>0.10623633601363619</v>
      </c>
      <c r="S26" s="5">
        <f>S11/S3</f>
        <v>0.10282448860741064</v>
      </c>
      <c r="T26" s="6"/>
      <c r="U26" s="13"/>
      <c r="V26" s="13"/>
      <c r="W26" s="13"/>
      <c r="X26" s="13"/>
      <c r="Y26" s="13"/>
    </row>
    <row r="27" spans="1:25" x14ac:dyDescent="0.2">
      <c r="B27" s="2" t="s">
        <v>82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f t="shared" ref="Q27:S27" si="20">Q12/Q4</f>
        <v>0.14111006585136407</v>
      </c>
      <c r="R27" s="5">
        <f t="shared" si="20"/>
        <v>0.14464964213130688</v>
      </c>
      <c r="S27" s="5">
        <f t="shared" si="20"/>
        <v>0.13694126010841554</v>
      </c>
      <c r="T27" s="6"/>
      <c r="U27" s="13"/>
      <c r="V27" s="13"/>
      <c r="W27" s="13"/>
      <c r="X27" s="13"/>
      <c r="Y27" s="13"/>
    </row>
    <row r="28" spans="1:25" x14ac:dyDescent="0.2">
      <c r="B28" s="2" t="s">
        <v>83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f t="shared" ref="Q28:S28" si="21">Q13/Q5</f>
        <v>0.12091250223360533</v>
      </c>
      <c r="R28" s="5">
        <f t="shared" si="21"/>
        <v>0.11803319296507307</v>
      </c>
      <c r="S28" s="5">
        <f t="shared" si="21"/>
        <v>0.11484697333579653</v>
      </c>
      <c r="T28" s="6"/>
      <c r="U28" s="13"/>
      <c r="V28" s="13"/>
      <c r="W28" s="13"/>
      <c r="X28" s="13"/>
      <c r="Y28" s="13"/>
    </row>
    <row r="29" spans="1:25" x14ac:dyDescent="0.2">
      <c r="B29" s="2" t="s">
        <v>84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f t="shared" ref="Q29:S29" si="22">Q14/Q6</f>
        <v>0.10022007787370917</v>
      </c>
      <c r="R29" s="5">
        <f t="shared" si="22"/>
        <v>9.1657995143947277E-2</v>
      </c>
      <c r="S29" s="5">
        <f t="shared" si="22"/>
        <v>9.1868306227687421E-2</v>
      </c>
      <c r="T29" s="6"/>
      <c r="U29" s="13"/>
      <c r="V29" s="13"/>
      <c r="W29" s="13"/>
      <c r="X29" s="13"/>
      <c r="Y29" s="13"/>
    </row>
    <row r="31" spans="1:25" s="8" customFormat="1" x14ac:dyDescent="0.2">
      <c r="A31" s="2"/>
      <c r="B31" s="2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8">
        <v>1364</v>
      </c>
      <c r="R31" s="8">
        <v>1404</v>
      </c>
      <c r="S31" s="8">
        <v>1430</v>
      </c>
      <c r="U31" s="8">
        <f>U7*U32</f>
        <v>1364.9342000000001</v>
      </c>
      <c r="V31" s="8">
        <f t="shared" ref="V31:Y31" si="23">V7*V32</f>
        <v>1378.5835420000001</v>
      </c>
      <c r="W31" s="8">
        <f t="shared" si="23"/>
        <v>1392.3693774200001</v>
      </c>
      <c r="X31" s="8">
        <f t="shared" si="23"/>
        <v>1406.2930711942001</v>
      </c>
      <c r="Y31" s="8">
        <f t="shared" si="23"/>
        <v>1420.3560019061422</v>
      </c>
    </row>
    <row r="32" spans="1:25" s="5" customFormat="1" x14ac:dyDescent="0.2">
      <c r="A32" s="2"/>
      <c r="B32" s="2" t="s">
        <v>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>
        <f t="shared" ref="Q32:R32" si="24">Q31/Q7</f>
        <v>2.0344848159417697E-2</v>
      </c>
      <c r="R32" s="5">
        <f t="shared" si="24"/>
        <v>2.1277885548011639E-2</v>
      </c>
      <c r="S32" s="5">
        <f>S31/S7</f>
        <v>2.116292492341389E-2</v>
      </c>
      <c r="U32" s="5">
        <v>0.02</v>
      </c>
      <c r="V32" s="5">
        <v>0.02</v>
      </c>
      <c r="W32" s="5">
        <v>0.02</v>
      </c>
      <c r="X32" s="5">
        <v>0.02</v>
      </c>
      <c r="Y32" s="5">
        <v>0.02</v>
      </c>
    </row>
    <row r="33" spans="1:25" s="8" customFormat="1" x14ac:dyDescent="0.2">
      <c r="A33" s="2"/>
      <c r="B33" s="2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8">
        <f>2505+12318+3088+533-3075-2117-8488-2089</f>
        <v>2675</v>
      </c>
      <c r="S33" s="8">
        <f>2132+13183+3132+632-2312-3133-9190-2134</f>
        <v>2310</v>
      </c>
      <c r="U33" s="8">
        <f>U7*U34</f>
        <v>2388.6348500000004</v>
      </c>
      <c r="V33" s="8">
        <f t="shared" ref="V33:Y33" si="25">V7*V34</f>
        <v>2412.5211985000001</v>
      </c>
      <c r="W33" s="8">
        <f t="shared" si="25"/>
        <v>2436.6464104850006</v>
      </c>
      <c r="X33" s="8">
        <f t="shared" si="25"/>
        <v>2461.0128745898501</v>
      </c>
      <c r="Y33" s="8">
        <f t="shared" si="25"/>
        <v>2485.6230033357488</v>
      </c>
    </row>
    <row r="34" spans="1:25" s="5" customFormat="1" x14ac:dyDescent="0.2">
      <c r="A34" s="2"/>
      <c r="B34" s="2" t="s">
        <v>23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5">
        <f t="shared" ref="R34" si="26">R33/R7</f>
        <v>4.054013094083414E-2</v>
      </c>
      <c r="S34" s="5">
        <f>S33/S7</f>
        <v>3.4186263337822438E-2</v>
      </c>
      <c r="U34" s="5">
        <v>3.5000000000000003E-2</v>
      </c>
      <c r="V34" s="5">
        <v>3.5000000000000003E-2</v>
      </c>
      <c r="W34" s="5">
        <v>3.5000000000000003E-2</v>
      </c>
      <c r="X34" s="5">
        <v>3.5000000000000003E-2</v>
      </c>
      <c r="Y34" s="5">
        <v>3.5000000000000003E-2</v>
      </c>
    </row>
    <row r="35" spans="1:25" s="8" customFormat="1" x14ac:dyDescent="0.2">
      <c r="A35" s="2"/>
      <c r="B35" s="2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S35" s="8">
        <f>R33-S33</f>
        <v>365</v>
      </c>
      <c r="U35" s="8">
        <f>S33-U33</f>
        <v>-78.63485000000037</v>
      </c>
      <c r="V35" s="8">
        <f>U33-V33</f>
        <v>-23.886348499999713</v>
      </c>
      <c r="W35" s="8">
        <f t="shared" ref="W35:Y35" si="27">V33-W33</f>
        <v>-24.125211985000533</v>
      </c>
      <c r="X35" s="8">
        <f t="shared" si="27"/>
        <v>-24.366464104849456</v>
      </c>
      <c r="Y35" s="8">
        <f t="shared" si="27"/>
        <v>-24.610128745898692</v>
      </c>
    </row>
    <row r="36" spans="1:25" s="8" customFormat="1" x14ac:dyDescent="0.2">
      <c r="A36" s="2"/>
      <c r="B36" s="2" t="s">
        <v>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8">
        <v>1522</v>
      </c>
      <c r="R36" s="8">
        <v>1670</v>
      </c>
      <c r="S36" s="8">
        <v>1691</v>
      </c>
      <c r="U36" s="8">
        <f>U7*U37</f>
        <v>2047.4013000000002</v>
      </c>
      <c r="V36" s="8">
        <f t="shared" ref="V36:Y36" si="28">V7*V37</f>
        <v>2067.875313</v>
      </c>
      <c r="W36" s="8">
        <f t="shared" si="28"/>
        <v>2088.5540661300001</v>
      </c>
      <c r="X36" s="8">
        <f t="shared" si="28"/>
        <v>2109.4396067912999</v>
      </c>
      <c r="Y36" s="8">
        <f t="shared" si="28"/>
        <v>2130.5340028592132</v>
      </c>
    </row>
    <row r="37" spans="1:25" s="5" customFormat="1" x14ac:dyDescent="0.2">
      <c r="A37" s="2"/>
      <c r="B37" s="2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>
        <f t="shared" ref="Q37:R37" si="29">Q36/Q7</f>
        <v>2.2701509456476344E-2</v>
      </c>
      <c r="R37" s="5">
        <f t="shared" si="29"/>
        <v>2.5309165858389913E-2</v>
      </c>
      <c r="S37" s="5">
        <f>S36/S7</f>
        <v>2.502552870314188E-2</v>
      </c>
      <c r="U37" s="5">
        <v>0.03</v>
      </c>
      <c r="V37" s="5">
        <v>0.03</v>
      </c>
      <c r="W37" s="5">
        <v>0.03</v>
      </c>
      <c r="X37" s="5">
        <v>0.03</v>
      </c>
      <c r="Y37" s="5">
        <v>0.03</v>
      </c>
    </row>
    <row r="39" spans="1:25" x14ac:dyDescent="0.2">
      <c r="B39" s="2" t="s">
        <v>28</v>
      </c>
      <c r="Q39" s="8">
        <f>Q15</f>
        <v>9123</v>
      </c>
      <c r="R39" s="8">
        <f t="shared" ref="R39:Y39" si="30">R15</f>
        <v>8348</v>
      </c>
      <c r="S39" s="8">
        <f t="shared" si="30"/>
        <v>8507</v>
      </c>
      <c r="T39" s="8"/>
      <c r="U39" s="8">
        <f t="shared" si="30"/>
        <v>8872.0723000000016</v>
      </c>
      <c r="V39" s="8">
        <f t="shared" si="30"/>
        <v>8960.7930230000002</v>
      </c>
      <c r="W39" s="8">
        <f t="shared" si="30"/>
        <v>9050.4009532300006</v>
      </c>
      <c r="X39" s="8">
        <f t="shared" si="30"/>
        <v>9140.9049627623008</v>
      </c>
      <c r="Y39" s="8">
        <f t="shared" si="30"/>
        <v>9232.3140123899229</v>
      </c>
    </row>
    <row r="40" spans="1:25" x14ac:dyDescent="0.2">
      <c r="B40" s="2" t="s">
        <v>29</v>
      </c>
      <c r="Q40" s="8">
        <f>Q39*Q24</f>
        <v>1492.305298013245</v>
      </c>
      <c r="R40" s="8">
        <f t="shared" ref="R40:Y40" si="31">R39*R24</f>
        <v>1184.7161676646706</v>
      </c>
      <c r="S40" s="8">
        <f t="shared" si="31"/>
        <v>1237.4964188688564</v>
      </c>
      <c r="T40" s="8"/>
      <c r="U40" s="8">
        <f t="shared" si="31"/>
        <v>1330.8108450000002</v>
      </c>
      <c r="V40" s="8">
        <f t="shared" si="31"/>
        <v>1344.1189534499999</v>
      </c>
      <c r="W40" s="8">
        <f t="shared" si="31"/>
        <v>1357.5601429845001</v>
      </c>
      <c r="X40" s="8">
        <f t="shared" si="31"/>
        <v>1371.135744414345</v>
      </c>
      <c r="Y40" s="8">
        <f t="shared" si="31"/>
        <v>1384.8471018584885</v>
      </c>
    </row>
    <row r="41" spans="1:25" x14ac:dyDescent="0.2">
      <c r="B41" s="2" t="s">
        <v>30</v>
      </c>
      <c r="Q41" s="8">
        <f>Q39-Q40</f>
        <v>7630.6947019867548</v>
      </c>
      <c r="R41" s="8">
        <f t="shared" ref="R41:Y41" si="32">R39-R40</f>
        <v>7163.2838323353299</v>
      </c>
      <c r="S41" s="8">
        <f t="shared" si="32"/>
        <v>7269.5035811311436</v>
      </c>
      <c r="T41" s="8"/>
      <c r="U41" s="8">
        <f t="shared" si="32"/>
        <v>7541.2614550000017</v>
      </c>
      <c r="V41" s="8">
        <f t="shared" si="32"/>
        <v>7616.6740695500002</v>
      </c>
      <c r="W41" s="8">
        <f t="shared" si="32"/>
        <v>7692.8408102455005</v>
      </c>
      <c r="X41" s="8">
        <f t="shared" si="32"/>
        <v>7769.7692183479558</v>
      </c>
      <c r="Y41" s="8">
        <f t="shared" si="32"/>
        <v>7847.4669105314342</v>
      </c>
    </row>
    <row r="42" spans="1:25" x14ac:dyDescent="0.2">
      <c r="B42" s="20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3">
        <f>U41+U31+U35-U36</f>
        <v>6780.1595050000005</v>
      </c>
      <c r="V42" s="23">
        <f t="shared" ref="V42:Y42" si="33">V41+V31+V35-V36</f>
        <v>6903.495950049999</v>
      </c>
      <c r="W42" s="23">
        <f t="shared" si="33"/>
        <v>6972.5309095504999</v>
      </c>
      <c r="X42" s="23">
        <f t="shared" si="33"/>
        <v>7042.2562186460073</v>
      </c>
      <c r="Y42" s="23">
        <f t="shared" si="33"/>
        <v>7112.6787808324643</v>
      </c>
    </row>
    <row r="44" spans="1:25" x14ac:dyDescent="0.2">
      <c r="B44" s="32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4">
        <f ca="1">TODAY()</f>
        <v>45551</v>
      </c>
    </row>
    <row r="45" spans="1:25" x14ac:dyDescent="0.2">
      <c r="B45" s="35" t="s">
        <v>33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36">
        <f ca="1">(U1-Q44)/365</f>
        <v>0.29041095890410956</v>
      </c>
    </row>
    <row r="46" spans="1:25" x14ac:dyDescent="0.2">
      <c r="B46" s="35" t="s">
        <v>34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36">
        <v>0.08</v>
      </c>
    </row>
    <row r="47" spans="1:25" x14ac:dyDescent="0.2">
      <c r="B47" s="37" t="s">
        <v>35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38">
        <v>0.02</v>
      </c>
    </row>
    <row r="49" spans="2:25" x14ac:dyDescent="0.2">
      <c r="B49" s="20" t="s">
        <v>36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2">
        <f ca="1">Q45*U42/(1+discount)^((U1-valDate)/365)</f>
        <v>1925.5122538996834</v>
      </c>
      <c r="V49" s="22">
        <f ca="1">V42/(1+discount)^((V1-valDate)/365)</f>
        <v>6250.8444825666711</v>
      </c>
      <c r="W49" s="22">
        <f ca="1">W42/(1+discount)^((W1-valDate)/365)</f>
        <v>5845.6971549929058</v>
      </c>
      <c r="X49" s="22">
        <f ca="1">X42/(1+discount)^((X1-valDate)/365)</f>
        <v>5466.8093764285522</v>
      </c>
      <c r="Y49" s="22">
        <f ca="1">Y42/(1+discount)^((Y1-valDate)/365)</f>
        <v>5111.4012753986262</v>
      </c>
    </row>
    <row r="51" spans="2:25" x14ac:dyDescent="0.2">
      <c r="B51" s="2" t="s">
        <v>37</v>
      </c>
      <c r="Q51" s="8">
        <f>Y42*(1+discount)</f>
        <v>7681.693083299062</v>
      </c>
      <c r="U51" s="18" t="s">
        <v>45</v>
      </c>
      <c r="V51" s="18"/>
      <c r="W51" s="18"/>
    </row>
    <row r="52" spans="2:25" x14ac:dyDescent="0.2">
      <c r="B52" s="2" t="s">
        <v>38</v>
      </c>
      <c r="Q52" s="8">
        <f>Q51/(discount-tgr)</f>
        <v>128028.21805498438</v>
      </c>
      <c r="S52" s="17">
        <f ca="1">Q59</f>
        <v>559.40848429866719</v>
      </c>
      <c r="T52" s="15">
        <v>7.0000000000000007E-2</v>
      </c>
      <c r="U52" s="15">
        <v>7.4999999999999997E-2</v>
      </c>
      <c r="V52" s="15">
        <v>0.08</v>
      </c>
      <c r="W52" s="15">
        <v>8.5000000000000006E-2</v>
      </c>
      <c r="X52" s="15">
        <v>0.09</v>
      </c>
    </row>
    <row r="53" spans="2:25" x14ac:dyDescent="0.2">
      <c r="B53" s="2" t="s">
        <v>39</v>
      </c>
      <c r="Q53" s="8">
        <f ca="1">Q52/(1+discount)^((Y1-valDate)/365)</f>
        <v>92005.222957175283</v>
      </c>
      <c r="S53" s="16">
        <v>-0.01</v>
      </c>
      <c r="T53" s="7">
        <v>474.36853775931019</v>
      </c>
      <c r="U53" s="7">
        <v>451.29076698841573</v>
      </c>
      <c r="V53" s="7">
        <v>430.74316720256905</v>
      </c>
      <c r="W53" s="7">
        <v>412.32754867348081</v>
      </c>
      <c r="X53" s="7">
        <v>395.72530981417333</v>
      </c>
    </row>
    <row r="54" spans="2:25" x14ac:dyDescent="0.2">
      <c r="B54" s="2" t="s">
        <v>40</v>
      </c>
      <c r="Q54" s="8">
        <f ca="1">SUM(U49:Y49)</f>
        <v>24600.264543286437</v>
      </c>
      <c r="S54" s="16">
        <v>0.01</v>
      </c>
      <c r="T54" s="7">
        <v>573.86943883562458</v>
      </c>
      <c r="U54" s="7">
        <v>536.41797129092345</v>
      </c>
      <c r="V54" s="7">
        <v>504.26620554319658</v>
      </c>
      <c r="W54" s="7">
        <v>476.35601856157763</v>
      </c>
      <c r="X54" s="7">
        <v>451.89375140013175</v>
      </c>
    </row>
    <row r="55" spans="2:25" x14ac:dyDescent="0.2">
      <c r="B55" s="2" t="s">
        <v>41</v>
      </c>
      <c r="Q55" s="8">
        <f ca="1">Q53+Q54</f>
        <v>116605.48750046172</v>
      </c>
      <c r="S55" s="16">
        <v>0.02</v>
      </c>
      <c r="T55" s="7">
        <f t="dataTable" ref="T55:X57" dt2D="1" dtr="1" r1="Q46" r2="Q47" ca="1"/>
        <v>653.47015969667609</v>
      </c>
      <c r="U55" s="7">
        <v>602.19808370649775</v>
      </c>
      <c r="V55" s="14">
        <v>559.40848429866719</v>
      </c>
      <c r="W55" s="7">
        <v>523.14605424903311</v>
      </c>
      <c r="X55" s="7">
        <v>492.01406681867354</v>
      </c>
    </row>
    <row r="56" spans="2:25" x14ac:dyDescent="0.2">
      <c r="B56" s="2" t="s">
        <v>4</v>
      </c>
      <c r="Q56" s="8">
        <f>Main!G5</f>
        <v>2523</v>
      </c>
      <c r="S56" s="16">
        <v>2.5000000000000001E-2</v>
      </c>
      <c r="T56" s="7">
        <v>706.53730693737714</v>
      </c>
      <c r="U56" s="7">
        <v>644.95515677662104</v>
      </c>
      <c r="V56" s="7">
        <v>594.49902532487579</v>
      </c>
      <c r="W56" s="7">
        <v>552.38982655369273</v>
      </c>
      <c r="X56" s="7">
        <v>516.70349169162239</v>
      </c>
    </row>
    <row r="57" spans="2:25" x14ac:dyDescent="0.2">
      <c r="B57" s="2" t="s">
        <v>5</v>
      </c>
      <c r="Q57" s="8">
        <f>Main!G6</f>
        <v>19257</v>
      </c>
      <c r="S57" s="16">
        <v>0.03</v>
      </c>
      <c r="T57" s="7">
        <v>772.87124098825348</v>
      </c>
      <c r="U57" s="7">
        <v>697.21380164010486</v>
      </c>
      <c r="V57" s="7">
        <v>636.60767455632606</v>
      </c>
      <c r="W57" s="7">
        <v>586.95064836829056</v>
      </c>
      <c r="X57" s="7">
        <v>545.50782071006256</v>
      </c>
    </row>
    <row r="58" spans="2:25" x14ac:dyDescent="0.2">
      <c r="B58" s="2" t="s">
        <v>42</v>
      </c>
      <c r="Q58" s="8">
        <f ca="1">Q55-Q56+Q57</f>
        <v>133339.48750046172</v>
      </c>
    </row>
    <row r="59" spans="2:25" x14ac:dyDescent="0.2">
      <c r="B59" s="11" t="s">
        <v>43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>
        <f ca="1">Q58/Main!G3</f>
        <v>559.40848429866719</v>
      </c>
    </row>
    <row r="60" spans="2:25" x14ac:dyDescent="0.2">
      <c r="B60" s="2" t="s">
        <v>44</v>
      </c>
      <c r="Q60" s="5">
        <f ca="1">(Q59/Main!G2)-1</f>
        <v>-1.8426621223233131E-2</v>
      </c>
    </row>
  </sheetData>
  <mergeCells count="1">
    <mergeCell ref="U51:W51"/>
  </mergeCells>
  <hyperlinks>
    <hyperlink ref="A1" location="Main!A1" display="Main" xr:uid="{90B00A02-0F6C-EF4D-BF53-528C29D8EE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C17A-CFF9-0E4F-84D2-FF4D287BAC96}">
  <dimension ref="A1:E13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0.83203125" style="2"/>
    <col min="2" max="2" width="27.33203125" style="2" bestFit="1" customWidth="1"/>
    <col min="3" max="16" width="10.83203125" style="2" customWidth="1"/>
    <col min="17" max="18" width="10.83203125" style="2"/>
    <col min="19" max="19" width="11.6640625" style="2" bestFit="1" customWidth="1"/>
    <col min="20" max="16384" width="10.83203125" style="2"/>
  </cols>
  <sheetData>
    <row r="1" spans="1:5" x14ac:dyDescent="0.2">
      <c r="A1" s="4" t="s">
        <v>7</v>
      </c>
    </row>
    <row r="2" spans="1:5" x14ac:dyDescent="0.2">
      <c r="B2" s="11" t="s">
        <v>90</v>
      </c>
      <c r="C2" s="2">
        <v>2021</v>
      </c>
      <c r="D2" s="2">
        <v>2022</v>
      </c>
      <c r="E2" s="2">
        <v>2023</v>
      </c>
    </row>
    <row r="3" spans="1:5" x14ac:dyDescent="0.2">
      <c r="B3" s="2" t="s">
        <v>50</v>
      </c>
      <c r="C3" s="28">
        <v>26748</v>
      </c>
      <c r="D3" s="28">
        <v>26987</v>
      </c>
      <c r="E3" s="28">
        <v>27474</v>
      </c>
    </row>
    <row r="4" spans="1:5" x14ac:dyDescent="0.2">
      <c r="B4" s="2" t="s">
        <v>55</v>
      </c>
      <c r="C4" s="28">
        <v>11693</v>
      </c>
      <c r="D4" s="28">
        <v>11317</v>
      </c>
      <c r="E4" s="28">
        <v>11253</v>
      </c>
    </row>
    <row r="5" spans="1:5" x14ac:dyDescent="0.2">
      <c r="B5" s="2" t="s">
        <v>80</v>
      </c>
      <c r="C5" s="28">
        <v>16789</v>
      </c>
      <c r="D5" s="28">
        <v>16148</v>
      </c>
      <c r="E5" s="28">
        <v>16239</v>
      </c>
    </row>
    <row r="6" spans="1:5" x14ac:dyDescent="0.2">
      <c r="B6" s="2" t="s">
        <v>57</v>
      </c>
      <c r="C6" s="28">
        <v>11814</v>
      </c>
      <c r="D6" s="28">
        <v>11532</v>
      </c>
      <c r="E6" s="28">
        <v>12605</v>
      </c>
    </row>
    <row r="7" spans="1:5" x14ac:dyDescent="0.2">
      <c r="B7" s="2" t="s">
        <v>91</v>
      </c>
      <c r="C7" s="10">
        <f>SUM(C3:C6)</f>
        <v>67044</v>
      </c>
      <c r="D7" s="10">
        <f>SUM(D3:D6)</f>
        <v>65984</v>
      </c>
      <c r="E7" s="10">
        <f>SUM(E3:E6)</f>
        <v>67571</v>
      </c>
    </row>
    <row r="9" spans="1:5" x14ac:dyDescent="0.2">
      <c r="B9" s="11" t="s">
        <v>92</v>
      </c>
      <c r="C9" s="2">
        <v>2021</v>
      </c>
      <c r="D9" s="2">
        <v>2022</v>
      </c>
      <c r="E9" s="2">
        <v>2023</v>
      </c>
    </row>
    <row r="10" spans="1:5" x14ac:dyDescent="0.2">
      <c r="B10" s="2" t="s">
        <v>87</v>
      </c>
      <c r="C10" s="8">
        <v>48150</v>
      </c>
      <c r="D10" s="8">
        <v>48515</v>
      </c>
      <c r="E10" s="8">
        <v>49423</v>
      </c>
    </row>
    <row r="11" spans="1:5" x14ac:dyDescent="0.2">
      <c r="B11" s="2" t="s">
        <v>88</v>
      </c>
      <c r="C11" s="8">
        <v>18439</v>
      </c>
      <c r="D11" s="8">
        <v>16931</v>
      </c>
      <c r="E11" s="8">
        <v>17644</v>
      </c>
    </row>
    <row r="12" spans="1:5" x14ac:dyDescent="0.2">
      <c r="B12" s="2" t="s">
        <v>89</v>
      </c>
      <c r="C12" s="8">
        <v>455</v>
      </c>
      <c r="D12" s="8">
        <v>538</v>
      </c>
      <c r="E12" s="8">
        <v>504</v>
      </c>
    </row>
    <row r="13" spans="1:5" x14ac:dyDescent="0.2">
      <c r="B13" s="2" t="s">
        <v>91</v>
      </c>
      <c r="C13" s="8">
        <f t="shared" ref="C13:D13" si="0">SUM(C10:C12)</f>
        <v>67044</v>
      </c>
      <c r="D13" s="8">
        <f t="shared" si="0"/>
        <v>65984</v>
      </c>
      <c r="E13" s="8">
        <f>SUM(E10:E12)</f>
        <v>67571</v>
      </c>
    </row>
  </sheetData>
  <hyperlinks>
    <hyperlink ref="A1" location="Main!A1" display="Main" xr:uid="{D41F9CB1-1297-D44F-8869-0821E58B6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</vt:lpstr>
      <vt:lpstr>Model</vt:lpstr>
      <vt:lpstr>ALT</vt:lpstr>
      <vt:lpstr>discount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2024-09-16T16:19:34Z</dcterms:created>
  <dcterms:modified xsi:type="dcterms:W3CDTF">2024-09-16T17:28:05Z</dcterms:modified>
</cp:coreProperties>
</file>