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Palantir\"/>
    </mc:Choice>
  </mc:AlternateContent>
  <xr:revisionPtr revIDLastSave="0" documentId="13_ncr:1_{91752DBA-5373-4EF1-AAD5-A34CEE87C917}" xr6:coauthVersionLast="47" xr6:coauthVersionMax="47" xr10:uidLastSave="{00000000-0000-0000-0000-000000000000}"/>
  <bookViews>
    <workbookView xWindow="14295" yWindow="0" windowWidth="14610" windowHeight="15585" activeTab="2" xr2:uid="{D9B6CEE0-01A7-4E11-AE76-E6665FC0BC4A}"/>
  </bookViews>
  <sheets>
    <sheet name="Main" sheetId="1" r:id="rId1"/>
    <sheet name="Financials" sheetId="2" r:id="rId2"/>
    <sheet name="Model" sheetId="6" r:id="rId3"/>
    <sheet name="Products &amp; Projects" sheetId="3" r:id="rId4"/>
    <sheet name="Cool Stuff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8" i="6"/>
  <c r="F5" i="6"/>
  <c r="E11" i="6"/>
  <c r="E8" i="6"/>
  <c r="E5" i="6"/>
  <c r="D11" i="6"/>
  <c r="D8" i="6"/>
  <c r="D5" i="6"/>
  <c r="C11" i="6"/>
  <c r="C8" i="6"/>
  <c r="D23" i="6"/>
  <c r="E23" i="6" s="1"/>
  <c r="F23" i="6" s="1"/>
  <c r="G23" i="6" s="1"/>
  <c r="H23" i="6" s="1"/>
  <c r="I23" i="6" s="1"/>
  <c r="J23" i="6" s="1"/>
  <c r="K23" i="6" s="1"/>
  <c r="L23" i="6" s="1"/>
  <c r="M23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D3" i="6"/>
  <c r="E3" i="6" s="1"/>
  <c r="F3" i="6" s="1"/>
  <c r="G3" i="6" s="1"/>
  <c r="H3" i="6" s="1"/>
  <c r="I3" i="6" s="1"/>
  <c r="J3" i="6" s="1"/>
  <c r="K3" i="6" s="1"/>
  <c r="L3" i="6" s="1"/>
  <c r="M3" i="6" s="1"/>
  <c r="E36" i="2"/>
  <c r="E35" i="2"/>
  <c r="D36" i="2"/>
  <c r="D35" i="2"/>
  <c r="C36" i="2"/>
  <c r="C35" i="2"/>
  <c r="B35" i="2"/>
  <c r="D31" i="2"/>
  <c r="E31" i="2" s="1"/>
  <c r="C31" i="2"/>
  <c r="S12" i="2" l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25" i="2"/>
  <c r="P25" i="2"/>
  <c r="O25" i="2"/>
  <c r="N25" i="2"/>
  <c r="R25" i="2"/>
  <c r="R8" i="2"/>
  <c r="R13" i="2" s="1"/>
  <c r="R15" i="2" s="1"/>
  <c r="R17" i="2" s="1"/>
  <c r="Q8" i="2"/>
  <c r="Q13" i="2" s="1"/>
  <c r="Q15" i="2" s="1"/>
  <c r="Q17" i="2" s="1"/>
  <c r="P8" i="2"/>
  <c r="P13" i="2" s="1"/>
  <c r="P15" i="2" s="1"/>
  <c r="P17" i="2" s="1"/>
  <c r="O8" i="2"/>
  <c r="O13" i="2" s="1"/>
  <c r="O15" i="2" s="1"/>
  <c r="O17" i="2" s="1"/>
  <c r="N8" i="2"/>
  <c r="N13" i="2" s="1"/>
  <c r="N15" i="2" s="1"/>
  <c r="N17" i="2" s="1"/>
  <c r="M8" i="2"/>
  <c r="M13" i="2" s="1"/>
  <c r="M15" i="2" s="1"/>
  <c r="M17" i="2" s="1"/>
  <c r="L8" i="2"/>
  <c r="L13" i="2" s="1"/>
  <c r="L15" i="2" s="1"/>
  <c r="L17" i="2" s="1"/>
  <c r="K8" i="2"/>
  <c r="K13" i="2" s="1"/>
  <c r="K15" i="2" s="1"/>
  <c r="K17" i="2" s="1"/>
  <c r="J8" i="2"/>
  <c r="J13" i="2" s="1"/>
  <c r="J15" i="2" s="1"/>
  <c r="J17" i="2" s="1"/>
  <c r="I8" i="2"/>
  <c r="I13" i="2" s="1"/>
  <c r="I15" i="2" s="1"/>
  <c r="I17" i="2" s="1"/>
  <c r="H8" i="2"/>
  <c r="H13" i="2" s="1"/>
  <c r="H15" i="2" s="1"/>
  <c r="H17" i="2" s="1"/>
  <c r="G8" i="2"/>
  <c r="G13" i="2" s="1"/>
  <c r="G15" i="2" s="1"/>
  <c r="G17" i="2" s="1"/>
  <c r="F8" i="2"/>
  <c r="F13" i="2" s="1"/>
  <c r="F15" i="2" s="1"/>
  <c r="F17" i="2" s="1"/>
  <c r="E8" i="2"/>
  <c r="E13" i="2" s="1"/>
  <c r="E15" i="2" s="1"/>
  <c r="E17" i="2" s="1"/>
  <c r="D8" i="2"/>
  <c r="D13" i="2" s="1"/>
  <c r="D15" i="2" s="1"/>
  <c r="D17" i="2" s="1"/>
  <c r="C8" i="2"/>
  <c r="C13" i="2" s="1"/>
  <c r="C15" i="2" s="1"/>
  <c r="C17" i="2" s="1"/>
  <c r="B8" i="2"/>
  <c r="B13" i="2" s="1"/>
  <c r="B15" i="2" s="1"/>
  <c r="B17" i="2" s="1"/>
  <c r="B5" i="1"/>
  <c r="B8" i="1" s="1"/>
</calcChain>
</file>

<file path=xl/sharedStrings.xml><?xml version="1.0" encoding="utf-8"?>
<sst xmlns="http://schemas.openxmlformats.org/spreadsheetml/2006/main" count="122" uniqueCount="110">
  <si>
    <t>Palantir Technologies</t>
  </si>
  <si>
    <t>Ticker</t>
  </si>
  <si>
    <t>PLTR</t>
  </si>
  <si>
    <t>Price</t>
  </si>
  <si>
    <t>Shares</t>
  </si>
  <si>
    <t>MC</t>
  </si>
  <si>
    <t>Cash</t>
  </si>
  <si>
    <t>Debt</t>
  </si>
  <si>
    <t>EV</t>
  </si>
  <si>
    <t>CEO</t>
  </si>
  <si>
    <t>CFO</t>
  </si>
  <si>
    <t>3 classes of shares outstanding</t>
  </si>
  <si>
    <t>Class A</t>
  </si>
  <si>
    <t>(in thousands)</t>
  </si>
  <si>
    <t>David Glazer</t>
  </si>
  <si>
    <t>Lawyer, 11 yrs w/company</t>
  </si>
  <si>
    <t>Alex Karp</t>
  </si>
  <si>
    <t>Lawyer and phd, cofounded Palantir w/ Peter Thiel in 2004</t>
  </si>
  <si>
    <t>Incorporatd in Deleware, HQ in Denver</t>
  </si>
  <si>
    <t>Products:</t>
  </si>
  <si>
    <t>Gotham:</t>
  </si>
  <si>
    <t>Finds patterns deep within data, mostly used by government</t>
  </si>
  <si>
    <t>Foundry:</t>
  </si>
  <si>
    <t>Creates a central operating system for an organization's data</t>
  </si>
  <si>
    <t>AIP:</t>
  </si>
  <si>
    <t>Commercial LLM's and AI products for companies, open source</t>
  </si>
  <si>
    <t>Apollo:</t>
  </si>
  <si>
    <t>Enables secure and rapid delivery of software and updates</t>
  </si>
  <si>
    <t>55% of revenue came from gov. and 45% from private sector</t>
  </si>
  <si>
    <t>62% of revenue was generated in the US</t>
  </si>
  <si>
    <t>The average revenue for our top twenty customers during the trailing twelve months ended December 31, 2023 was $54.6 million, up from $49 million</t>
  </si>
  <si>
    <t>As of 12/31/24 had 497 unique customers</t>
  </si>
  <si>
    <t>BamSec</t>
  </si>
  <si>
    <t>OpenInsider</t>
  </si>
  <si>
    <t>Main</t>
  </si>
  <si>
    <t>Q3 20</t>
  </si>
  <si>
    <t>Q4 20</t>
  </si>
  <si>
    <t>Q1 21</t>
  </si>
  <si>
    <t>Q2 21</t>
  </si>
  <si>
    <t>Q3 21</t>
  </si>
  <si>
    <t>Q4 21</t>
  </si>
  <si>
    <t>Q1 22</t>
  </si>
  <si>
    <t>Q2 22</t>
  </si>
  <si>
    <t>Q3 22</t>
  </si>
  <si>
    <t>Q4 22</t>
  </si>
  <si>
    <t>Q1 23</t>
  </si>
  <si>
    <t>Q2 23</t>
  </si>
  <si>
    <t>Q3 23</t>
  </si>
  <si>
    <t>Q4 23</t>
  </si>
  <si>
    <t>Q1 24</t>
  </si>
  <si>
    <t>Revenue</t>
  </si>
  <si>
    <t>Q1 20</t>
  </si>
  <si>
    <t>Q2 20</t>
  </si>
  <si>
    <t>Cost of Rev</t>
  </si>
  <si>
    <t>Gross Profit</t>
  </si>
  <si>
    <t>OPEX</t>
  </si>
  <si>
    <t>SG&amp;A</t>
  </si>
  <si>
    <t>R&amp;D</t>
  </si>
  <si>
    <t>EBIT</t>
  </si>
  <si>
    <t>Other Income</t>
  </si>
  <si>
    <t>EBT</t>
  </si>
  <si>
    <t>Taxes</t>
  </si>
  <si>
    <t>Net Income</t>
  </si>
  <si>
    <t>Q2 24</t>
  </si>
  <si>
    <t>Q3 24</t>
  </si>
  <si>
    <t>Q4 24</t>
  </si>
  <si>
    <t>EPS</t>
  </si>
  <si>
    <t>Project Titan</t>
  </si>
  <si>
    <t>Projects:</t>
  </si>
  <si>
    <t>U.S. Army</t>
  </si>
  <si>
    <t>Client:</t>
  </si>
  <si>
    <t>Initiated</t>
  </si>
  <si>
    <t>Q1 2024 (05/30)</t>
  </si>
  <si>
    <t>Compensation:</t>
  </si>
  <si>
    <t>Gov. Rev.</t>
  </si>
  <si>
    <t>Comm. Rev.</t>
  </si>
  <si>
    <t>US Commercial Customers</t>
  </si>
  <si>
    <t>Commercial Customers</t>
  </si>
  <si>
    <t>Customers</t>
  </si>
  <si>
    <t>Deals over $1m</t>
  </si>
  <si>
    <t>Deals over $5m</t>
  </si>
  <si>
    <t>Deals over $10m</t>
  </si>
  <si>
    <t>Government Customers</t>
  </si>
  <si>
    <t>Guidance</t>
  </si>
  <si>
    <t>AIP w EATON</t>
  </si>
  <si>
    <t>% of Revenue</t>
  </si>
  <si>
    <t>2742-2750</t>
  </si>
  <si>
    <t>US commercial rev 672 up from 661</t>
  </si>
  <si>
    <t>697-701</t>
  </si>
  <si>
    <t>Reduced patient length of stay in Tampa general hospital by 30%</t>
  </si>
  <si>
    <t>Supports Polaris and helps to fight human trafficing</t>
  </si>
  <si>
    <t>DoD</t>
  </si>
  <si>
    <t>Q2 2024</t>
  </si>
  <si>
    <t>$480mm over 5 years</t>
  </si>
  <si>
    <t>$188mm guaranteed, up to $480m over 5 years</t>
  </si>
  <si>
    <t>Stock Based Compensation</t>
  </si>
  <si>
    <t>D&amp;A</t>
  </si>
  <si>
    <r>
      <t xml:space="preserve">Cash Flow Statement </t>
    </r>
    <r>
      <rPr>
        <i/>
        <sz val="11"/>
        <color theme="1"/>
        <rFont val="Aptos Narrow"/>
        <family val="2"/>
        <scheme val="minor"/>
      </rPr>
      <t>(thousands)</t>
    </r>
  </si>
  <si>
    <t>CapEx</t>
  </si>
  <si>
    <t>Working Capital</t>
  </si>
  <si>
    <t>Change in Working Capital</t>
  </si>
  <si>
    <t>% Growth</t>
  </si>
  <si>
    <t>% of Sales</t>
  </si>
  <si>
    <t>Tax Rate</t>
  </si>
  <si>
    <t>% of sales</t>
  </si>
  <si>
    <t>Change in NWC</t>
  </si>
  <si>
    <t>Income Statement</t>
  </si>
  <si>
    <t>Cash Flow Items</t>
  </si>
  <si>
    <t>x</t>
  </si>
  <si>
    <t>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</si>
</sst>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0.0%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1"/>
    <xf numFmtId="44" fontId="0" fillId="0" borderId="0" xfId="2" applyFont="1"/>
    <xf numFmtId="0" fontId="0" fillId="0" borderId="0" xfId="0" applyAlignment="1">
      <alignment horizontal="right"/>
    </xf>
    <xf numFmtId="9" fontId="0" fillId="0" borderId="0" xfId="3" applyFont="1"/>
    <xf numFmtId="0" fontId="3" fillId="0" borderId="0" xfId="0" applyFont="1"/>
    <xf numFmtId="9" fontId="0" fillId="0" borderId="0" xfId="3" applyFont="1" applyBorder="1"/>
    <xf numFmtId="0" fontId="0" fillId="0" borderId="1" xfId="0" applyBorder="1"/>
    <xf numFmtId="9" fontId="0" fillId="0" borderId="1" xfId="3" applyFont="1" applyBorder="1"/>
    <xf numFmtId="44" fontId="0" fillId="0" borderId="1" xfId="2" applyFont="1" applyBorder="1"/>
    <xf numFmtId="0" fontId="4" fillId="0" borderId="0" xfId="0" applyFont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peninsider.com/screener?s=pltr&amp;o=&amp;pl=&amp;ph=&amp;ll=&amp;lh=&amp;fd=730&amp;fdr=&amp;td=0&amp;tdr=&amp;fdlyl=&amp;fdlyh=&amp;daysago=&amp;xp=1&amp;xs=1&amp;vl=&amp;vh=&amp;ocl=&amp;och=&amp;sic1=-1&amp;sicl=&amp;sich=&amp;grp=0&amp;nfl=&amp;nfh=&amp;nil=&amp;nih=&amp;nol=&amp;noh=&amp;v2l=&amp;v2h=&amp;oc2l=&amp;oc2h=&amp;sortcol=0&amp;cnt=100&amp;page=1" TargetMode="External"/><Relationship Id="rId1" Type="http://schemas.openxmlformats.org/officeDocument/2006/relationships/hyperlink" Target="https://www.bamsec.com/companies/1321655/palantir-technologies-i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30E-3CFC-4B38-A038-1571747AA9C0}">
  <dimension ref="A1:C32"/>
  <sheetViews>
    <sheetView zoomScale="160" zoomScaleNormal="160" workbookViewId="0">
      <selection activeCell="A5" sqref="A5"/>
    </sheetView>
  </sheetViews>
  <sheetFormatPr defaultColWidth="8.85546875" defaultRowHeight="15" x14ac:dyDescent="0.25"/>
  <cols>
    <col min="1" max="1" width="13" customWidth="1"/>
    <col min="2" max="2" width="26.425781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>
        <v>24.16</v>
      </c>
    </row>
    <row r="4" spans="1:3" x14ac:dyDescent="0.25">
      <c r="A4" t="s">
        <v>4</v>
      </c>
      <c r="B4">
        <v>2130901</v>
      </c>
      <c r="C4" t="s">
        <v>12</v>
      </c>
    </row>
    <row r="5" spans="1:3" x14ac:dyDescent="0.25">
      <c r="A5" t="s">
        <v>5</v>
      </c>
      <c r="B5" s="1">
        <f>B3*B4</f>
        <v>51482568.160000004</v>
      </c>
    </row>
    <row r="6" spans="1:3" x14ac:dyDescent="0.25">
      <c r="A6" t="s">
        <v>6</v>
      </c>
      <c r="B6">
        <v>831047</v>
      </c>
    </row>
    <row r="7" spans="1:3" x14ac:dyDescent="0.25">
      <c r="A7" t="s">
        <v>7</v>
      </c>
      <c r="B7">
        <v>0</v>
      </c>
    </row>
    <row r="8" spans="1:3" x14ac:dyDescent="0.25">
      <c r="A8" t="s">
        <v>8</v>
      </c>
      <c r="B8" s="1">
        <f>B5-B6+B7</f>
        <v>50651521.160000004</v>
      </c>
    </row>
    <row r="9" spans="1:3" x14ac:dyDescent="0.25">
      <c r="A9" t="s">
        <v>13</v>
      </c>
    </row>
    <row r="10" spans="1:3" x14ac:dyDescent="0.25">
      <c r="A10" t="s">
        <v>11</v>
      </c>
    </row>
    <row r="11" spans="1:3" x14ac:dyDescent="0.25">
      <c r="A11" t="s">
        <v>18</v>
      </c>
    </row>
    <row r="13" spans="1:3" x14ac:dyDescent="0.25">
      <c r="A13" s="2" t="s">
        <v>32</v>
      </c>
    </row>
    <row r="14" spans="1:3" x14ac:dyDescent="0.25">
      <c r="A14" s="2" t="s">
        <v>33</v>
      </c>
    </row>
    <row r="17" spans="1:3" x14ac:dyDescent="0.25">
      <c r="A17" t="s">
        <v>9</v>
      </c>
      <c r="B17" t="s">
        <v>16</v>
      </c>
      <c r="C17" t="s">
        <v>17</v>
      </c>
    </row>
    <row r="18" spans="1:3" x14ac:dyDescent="0.25">
      <c r="A18" t="s">
        <v>10</v>
      </c>
      <c r="B18" t="s">
        <v>14</v>
      </c>
      <c r="C18" t="s">
        <v>15</v>
      </c>
    </row>
    <row r="20" spans="1:3" x14ac:dyDescent="0.25">
      <c r="A20" t="s">
        <v>19</v>
      </c>
    </row>
    <row r="21" spans="1:3" x14ac:dyDescent="0.25">
      <c r="A21" t="s">
        <v>20</v>
      </c>
      <c r="B21" t="s">
        <v>21</v>
      </c>
    </row>
    <row r="23" spans="1:3" x14ac:dyDescent="0.25">
      <c r="A23" t="s">
        <v>22</v>
      </c>
      <c r="B23" t="s">
        <v>23</v>
      </c>
    </row>
    <row r="25" spans="1:3" x14ac:dyDescent="0.25">
      <c r="A25" t="s">
        <v>24</v>
      </c>
      <c r="B25" t="s">
        <v>25</v>
      </c>
    </row>
    <row r="27" spans="1:3" x14ac:dyDescent="0.25">
      <c r="A27" t="s">
        <v>26</v>
      </c>
      <c r="B27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</sheetData>
  <hyperlinks>
    <hyperlink ref="A13" r:id="rId1" xr:uid="{E6D50B53-42A5-46AB-A18A-51C89F38B3B5}"/>
    <hyperlink ref="A14" r:id="rId2" xr:uid="{80BC0393-380D-482A-88F8-614923ABCA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EA84-E6A4-434D-9FBC-1B34959AEA3A}">
  <dimension ref="A1:V36"/>
  <sheetViews>
    <sheetView topLeftCell="A2" zoomScale="112" zoomScaleNormal="180" workbookViewId="0">
      <selection activeCell="E36" sqref="E36"/>
    </sheetView>
  </sheetViews>
  <sheetFormatPr defaultColWidth="11.42578125" defaultRowHeight="15" x14ac:dyDescent="0.25"/>
  <cols>
    <col min="1" max="1" width="32" bestFit="1" customWidth="1"/>
    <col min="2" max="17" width="11.42578125" customWidth="1"/>
  </cols>
  <sheetData>
    <row r="1" spans="1:22" x14ac:dyDescent="0.25">
      <c r="A1" s="2" t="s">
        <v>34</v>
      </c>
      <c r="B1" s="2"/>
      <c r="C1" s="2"/>
      <c r="D1" s="2"/>
      <c r="E1" s="2"/>
    </row>
    <row r="2" spans="1:22" x14ac:dyDescent="0.25">
      <c r="A2" s="6"/>
      <c r="V2">
        <v>2024</v>
      </c>
    </row>
    <row r="3" spans="1:22" x14ac:dyDescent="0.25">
      <c r="B3" t="s">
        <v>51</v>
      </c>
      <c r="C3" t="s">
        <v>52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s="8" t="s">
        <v>63</v>
      </c>
      <c r="T3" t="s">
        <v>64</v>
      </c>
      <c r="U3" t="s">
        <v>65</v>
      </c>
      <c r="V3" s="4" t="s">
        <v>83</v>
      </c>
    </row>
    <row r="4" spans="1:22" x14ac:dyDescent="0.25">
      <c r="A4" t="s">
        <v>50</v>
      </c>
      <c r="B4">
        <v>229.3</v>
      </c>
      <c r="C4">
        <v>251.9</v>
      </c>
      <c r="D4">
        <v>289.39999999999998</v>
      </c>
      <c r="E4">
        <v>322.10000000000002</v>
      </c>
      <c r="F4">
        <v>341.2</v>
      </c>
      <c r="G4">
        <v>375.6</v>
      </c>
      <c r="H4">
        <v>392.1</v>
      </c>
      <c r="I4">
        <v>432.9</v>
      </c>
      <c r="J4">
        <v>446.4</v>
      </c>
      <c r="K4">
        <v>473</v>
      </c>
      <c r="L4">
        <v>477.9</v>
      </c>
      <c r="M4">
        <v>508.6</v>
      </c>
      <c r="N4">
        <v>525.20000000000005</v>
      </c>
      <c r="O4">
        <v>533.29999999999995</v>
      </c>
      <c r="P4">
        <v>558.20000000000005</v>
      </c>
      <c r="Q4">
        <v>608.4</v>
      </c>
      <c r="R4">
        <v>634.29999999999995</v>
      </c>
      <c r="S4" s="8">
        <v>678.13400000000001</v>
      </c>
      <c r="T4" t="s">
        <v>88</v>
      </c>
      <c r="V4" t="s">
        <v>86</v>
      </c>
    </row>
    <row r="5" spans="1:22" x14ac:dyDescent="0.25">
      <c r="A5" t="s">
        <v>74</v>
      </c>
      <c r="Q5">
        <v>289</v>
      </c>
      <c r="R5">
        <v>335</v>
      </c>
      <c r="S5" s="8"/>
    </row>
    <row r="6" spans="1:22" x14ac:dyDescent="0.25">
      <c r="A6" t="s">
        <v>75</v>
      </c>
      <c r="Q6">
        <v>236</v>
      </c>
      <c r="R6">
        <v>299</v>
      </c>
      <c r="S6" s="8"/>
      <c r="V6" t="s">
        <v>87</v>
      </c>
    </row>
    <row r="7" spans="1:22" x14ac:dyDescent="0.25">
      <c r="A7" t="s">
        <v>53</v>
      </c>
      <c r="B7">
        <v>64.3</v>
      </c>
      <c r="C7">
        <v>68.400000000000006</v>
      </c>
      <c r="D7">
        <v>149.30000000000001</v>
      </c>
      <c r="E7">
        <v>70.5</v>
      </c>
      <c r="F7">
        <v>74.099999999999994</v>
      </c>
      <c r="G7">
        <v>90.9</v>
      </c>
      <c r="H7">
        <v>86.8</v>
      </c>
      <c r="I7">
        <v>87.6</v>
      </c>
      <c r="J7">
        <v>94.4</v>
      </c>
      <c r="K7">
        <v>102.2</v>
      </c>
      <c r="L7">
        <v>107.6</v>
      </c>
      <c r="M7">
        <v>104.3</v>
      </c>
      <c r="N7">
        <v>107.6</v>
      </c>
      <c r="O7">
        <v>106.9</v>
      </c>
      <c r="P7">
        <v>107.9</v>
      </c>
      <c r="Q7">
        <v>108.6</v>
      </c>
      <c r="R7">
        <v>116.3</v>
      </c>
      <c r="S7" s="8"/>
    </row>
    <row r="8" spans="1:22" x14ac:dyDescent="0.25">
      <c r="A8" t="s">
        <v>54</v>
      </c>
      <c r="B8">
        <f>B4-B7</f>
        <v>165</v>
      </c>
      <c r="C8">
        <f t="shared" ref="C8:E8" si="0">C4-C7</f>
        <v>183.5</v>
      </c>
      <c r="D8">
        <f t="shared" si="0"/>
        <v>140.09999999999997</v>
      </c>
      <c r="E8">
        <f t="shared" si="0"/>
        <v>251.60000000000002</v>
      </c>
      <c r="F8">
        <f t="shared" ref="F8" si="1">F4-F7</f>
        <v>267.10000000000002</v>
      </c>
      <c r="G8">
        <f t="shared" ref="G8" si="2">G4-G7</f>
        <v>284.70000000000005</v>
      </c>
      <c r="H8">
        <f t="shared" ref="H8" si="3">H4-H7</f>
        <v>305.3</v>
      </c>
      <c r="I8">
        <f t="shared" ref="I8" si="4">I4-I7</f>
        <v>345.29999999999995</v>
      </c>
      <c r="J8">
        <f t="shared" ref="J8" si="5">J4-J7</f>
        <v>352</v>
      </c>
      <c r="K8">
        <f t="shared" ref="K8" si="6">K4-K7</f>
        <v>370.8</v>
      </c>
      <c r="L8">
        <f t="shared" ref="L8" si="7">L4-L7</f>
        <v>370.29999999999995</v>
      </c>
      <c r="M8">
        <f t="shared" ref="M8" si="8">M4-M7</f>
        <v>404.3</v>
      </c>
      <c r="N8">
        <f t="shared" ref="N8" si="9">N4-N7</f>
        <v>417.6</v>
      </c>
      <c r="O8">
        <f t="shared" ref="O8" si="10">O4-O7</f>
        <v>426.4</v>
      </c>
      <c r="P8">
        <f t="shared" ref="P8" si="11">P4-P7</f>
        <v>450.30000000000007</v>
      </c>
      <c r="Q8">
        <f t="shared" ref="Q8" si="12">Q4-Q7</f>
        <v>499.79999999999995</v>
      </c>
      <c r="R8">
        <f t="shared" ref="R8" si="13">R4-R7</f>
        <v>518</v>
      </c>
      <c r="S8" s="8">
        <v>549.572</v>
      </c>
    </row>
    <row r="9" spans="1:22" x14ac:dyDescent="0.25">
      <c r="A9" t="s">
        <v>55</v>
      </c>
      <c r="B9">
        <v>235.2</v>
      </c>
      <c r="C9">
        <v>282.60000000000002</v>
      </c>
      <c r="D9">
        <v>987.8</v>
      </c>
      <c r="E9">
        <v>408.2</v>
      </c>
      <c r="F9">
        <v>381.1</v>
      </c>
      <c r="G9">
        <v>430.9</v>
      </c>
      <c r="H9">
        <v>397.3</v>
      </c>
      <c r="I9">
        <v>404.2</v>
      </c>
      <c r="J9">
        <v>391.4</v>
      </c>
      <c r="K9">
        <v>412.5</v>
      </c>
      <c r="L9">
        <v>432.5</v>
      </c>
      <c r="M9">
        <v>422.1</v>
      </c>
      <c r="N9">
        <v>413.4</v>
      </c>
      <c r="O9">
        <v>416.3</v>
      </c>
      <c r="P9">
        <v>410.3</v>
      </c>
      <c r="Q9">
        <v>433.9</v>
      </c>
      <c r="R9">
        <v>437.2</v>
      </c>
      <c r="S9" s="8">
        <v>444.233</v>
      </c>
    </row>
    <row r="10" spans="1:22" x14ac:dyDescent="0.25">
      <c r="A10" t="s">
        <v>56</v>
      </c>
      <c r="B10">
        <v>70.8</v>
      </c>
      <c r="C10">
        <v>93.3</v>
      </c>
      <c r="D10">
        <v>339</v>
      </c>
      <c r="E10">
        <v>166.4</v>
      </c>
      <c r="F10">
        <v>146.6</v>
      </c>
      <c r="G10">
        <v>158</v>
      </c>
      <c r="H10">
        <v>149.5</v>
      </c>
      <c r="I10">
        <v>157.5</v>
      </c>
      <c r="J10">
        <v>142.30000000000001</v>
      </c>
      <c r="K10">
        <v>155.5</v>
      </c>
      <c r="L10">
        <v>148.69999999999999</v>
      </c>
      <c r="M10">
        <v>149.9</v>
      </c>
      <c r="N10">
        <v>136.19999999999999</v>
      </c>
      <c r="O10">
        <v>132.6</v>
      </c>
      <c r="P10">
        <v>128.19999999999999</v>
      </c>
      <c r="Q10">
        <v>127.3</v>
      </c>
      <c r="R10">
        <v>134</v>
      </c>
      <c r="S10" s="8">
        <v>138.643</v>
      </c>
    </row>
    <row r="11" spans="1:22" x14ac:dyDescent="0.25">
      <c r="A11" t="s">
        <v>57</v>
      </c>
      <c r="B11">
        <v>65.8</v>
      </c>
      <c r="C11">
        <v>86.8</v>
      </c>
      <c r="D11">
        <v>313.89999999999998</v>
      </c>
      <c r="E11">
        <v>94.1</v>
      </c>
      <c r="F11">
        <v>98.5</v>
      </c>
      <c r="G11">
        <v>110.5</v>
      </c>
      <c r="H11">
        <v>94.3</v>
      </c>
      <c r="I11">
        <v>84.2</v>
      </c>
      <c r="J11">
        <v>88.6</v>
      </c>
      <c r="K11">
        <v>88.2</v>
      </c>
      <c r="L11">
        <v>100.9</v>
      </c>
      <c r="M11">
        <v>82</v>
      </c>
      <c r="N11">
        <v>90.1</v>
      </c>
      <c r="O11">
        <v>99.5</v>
      </c>
      <c r="P11">
        <v>105.7</v>
      </c>
      <c r="Q11">
        <v>109.3</v>
      </c>
      <c r="R11">
        <v>110</v>
      </c>
      <c r="S11" s="8">
        <v>108.78100000000001</v>
      </c>
    </row>
    <row r="12" spans="1:22" x14ac:dyDescent="0.25">
      <c r="A12" t="s">
        <v>85</v>
      </c>
      <c r="B12" s="5">
        <f>B11/B4</f>
        <v>0.28696031399912775</v>
      </c>
      <c r="C12" s="5">
        <f t="shared" ref="C12:S12" si="14">C11/C4</f>
        <v>0.3445811830091306</v>
      </c>
      <c r="D12" s="5">
        <f t="shared" si="14"/>
        <v>1.0846579129232896</v>
      </c>
      <c r="E12" s="5">
        <f t="shared" si="14"/>
        <v>0.29214529649177268</v>
      </c>
      <c r="F12" s="5">
        <f t="shared" si="14"/>
        <v>0.28868698710433766</v>
      </c>
      <c r="G12" s="5">
        <f t="shared" si="14"/>
        <v>0.29419595314164004</v>
      </c>
      <c r="H12" s="5">
        <f t="shared" si="14"/>
        <v>0.24049987248150981</v>
      </c>
      <c r="I12" s="5">
        <f t="shared" si="14"/>
        <v>0.19450219450219453</v>
      </c>
      <c r="J12" s="5">
        <f t="shared" si="14"/>
        <v>0.19847670250896057</v>
      </c>
      <c r="K12" s="5">
        <f t="shared" si="14"/>
        <v>0.18646934460887951</v>
      </c>
      <c r="L12" s="5">
        <f t="shared" si="14"/>
        <v>0.21113203599079308</v>
      </c>
      <c r="M12" s="5">
        <f t="shared" si="14"/>
        <v>0.16122689736531653</v>
      </c>
      <c r="N12" s="5">
        <f t="shared" si="14"/>
        <v>0.17155369383092153</v>
      </c>
      <c r="O12" s="5">
        <f t="shared" si="14"/>
        <v>0.18657416088505532</v>
      </c>
      <c r="P12" s="5">
        <f t="shared" si="14"/>
        <v>0.18935865281261197</v>
      </c>
      <c r="Q12" s="5">
        <f t="shared" si="14"/>
        <v>0.17965154503616043</v>
      </c>
      <c r="R12" s="7">
        <f t="shared" si="14"/>
        <v>0.17341951757843294</v>
      </c>
      <c r="S12" s="9">
        <f t="shared" si="14"/>
        <v>0.16041224890655831</v>
      </c>
    </row>
    <row r="13" spans="1:22" x14ac:dyDescent="0.25">
      <c r="A13" t="s">
        <v>58</v>
      </c>
      <c r="B13">
        <f>B8-B9</f>
        <v>-70.199999999999989</v>
      </c>
      <c r="C13">
        <f t="shared" ref="C13:R13" si="15">C8-C9</f>
        <v>-99.100000000000023</v>
      </c>
      <c r="D13">
        <f t="shared" si="15"/>
        <v>-847.7</v>
      </c>
      <c r="E13">
        <f t="shared" si="15"/>
        <v>-156.59999999999997</v>
      </c>
      <c r="F13">
        <f t="shared" si="15"/>
        <v>-114</v>
      </c>
      <c r="G13">
        <f t="shared" si="15"/>
        <v>-146.19999999999993</v>
      </c>
      <c r="H13">
        <f t="shared" si="15"/>
        <v>-92</v>
      </c>
      <c r="I13">
        <f t="shared" si="15"/>
        <v>-58.900000000000034</v>
      </c>
      <c r="J13">
        <f t="shared" si="15"/>
        <v>-39.399999999999977</v>
      </c>
      <c r="K13">
        <f t="shared" si="15"/>
        <v>-41.699999999999989</v>
      </c>
      <c r="L13">
        <f t="shared" si="15"/>
        <v>-62.200000000000045</v>
      </c>
      <c r="M13">
        <f t="shared" si="15"/>
        <v>-17.800000000000011</v>
      </c>
      <c r="N13">
        <f t="shared" si="15"/>
        <v>4.2000000000000455</v>
      </c>
      <c r="O13">
        <f t="shared" si="15"/>
        <v>10.099999999999966</v>
      </c>
      <c r="P13">
        <f t="shared" si="15"/>
        <v>40.000000000000057</v>
      </c>
      <c r="Q13">
        <f t="shared" si="15"/>
        <v>65.899999999999977</v>
      </c>
      <c r="R13">
        <f t="shared" si="15"/>
        <v>80.800000000000011</v>
      </c>
      <c r="S13" s="8">
        <v>105.339</v>
      </c>
    </row>
    <row r="14" spans="1:22" x14ac:dyDescent="0.25">
      <c r="A14" t="s">
        <v>59</v>
      </c>
      <c r="B14">
        <v>18.5</v>
      </c>
      <c r="C14">
        <v>-10.4</v>
      </c>
      <c r="D14">
        <v>-14.1</v>
      </c>
      <c r="E14">
        <v>0.6</v>
      </c>
      <c r="F14">
        <v>-6.4</v>
      </c>
      <c r="G14">
        <v>1.9</v>
      </c>
      <c r="H14">
        <v>-8.8000000000000007</v>
      </c>
      <c r="I14">
        <v>-64.2</v>
      </c>
      <c r="J14">
        <v>-59.9</v>
      </c>
      <c r="K14">
        <v>-135</v>
      </c>
      <c r="L14">
        <v>-60.6</v>
      </c>
      <c r="M14">
        <v>55.7</v>
      </c>
      <c r="N14">
        <v>16.7</v>
      </c>
      <c r="O14">
        <v>20</v>
      </c>
      <c r="P14">
        <v>40</v>
      </c>
      <c r="Q14">
        <v>40.5</v>
      </c>
      <c r="R14">
        <v>29.8</v>
      </c>
      <c r="S14" s="8">
        <v>-11.173</v>
      </c>
    </row>
    <row r="15" spans="1:22" x14ac:dyDescent="0.25">
      <c r="A15" t="s">
        <v>60</v>
      </c>
      <c r="B15">
        <f>B13+B14</f>
        <v>-51.699999999999989</v>
      </c>
      <c r="C15">
        <f t="shared" ref="C15:E15" si="16">C13+C14</f>
        <v>-109.50000000000003</v>
      </c>
      <c r="D15">
        <f t="shared" si="16"/>
        <v>-861.80000000000007</v>
      </c>
      <c r="E15">
        <f t="shared" si="16"/>
        <v>-155.99999999999997</v>
      </c>
      <c r="F15">
        <f t="shared" ref="F15" si="17">F13+F14</f>
        <v>-120.4</v>
      </c>
      <c r="G15">
        <f t="shared" ref="G15" si="18">G13+G14</f>
        <v>-144.29999999999993</v>
      </c>
      <c r="H15">
        <f t="shared" ref="H15" si="19">H13+H14</f>
        <v>-100.8</v>
      </c>
      <c r="I15">
        <f t="shared" ref="I15" si="20">I13+I14</f>
        <v>-123.10000000000004</v>
      </c>
      <c r="J15">
        <f t="shared" ref="J15" si="21">J13+J14</f>
        <v>-99.299999999999983</v>
      </c>
      <c r="K15">
        <f t="shared" ref="K15" si="22">K13+K14</f>
        <v>-176.7</v>
      </c>
      <c r="L15">
        <f t="shared" ref="L15" si="23">L13+L14</f>
        <v>-122.80000000000004</v>
      </c>
      <c r="M15">
        <f t="shared" ref="M15" si="24">M13+M14</f>
        <v>37.899999999999991</v>
      </c>
      <c r="N15">
        <f t="shared" ref="N15" si="25">N13+N14</f>
        <v>20.900000000000045</v>
      </c>
      <c r="O15">
        <f t="shared" ref="O15" si="26">O13+O14</f>
        <v>30.099999999999966</v>
      </c>
      <c r="P15">
        <f t="shared" ref="P15" si="27">P13+P14</f>
        <v>80.000000000000057</v>
      </c>
      <c r="Q15">
        <f t="shared" ref="Q15" si="28">Q13+Q14</f>
        <v>106.39999999999998</v>
      </c>
      <c r="R15">
        <f t="shared" ref="R15" si="29">R13+R14</f>
        <v>110.60000000000001</v>
      </c>
      <c r="S15" s="8">
        <v>140.75899999999999</v>
      </c>
    </row>
    <row r="16" spans="1:22" x14ac:dyDescent="0.25">
      <c r="A16" t="s">
        <v>61</v>
      </c>
      <c r="B16">
        <v>2.6</v>
      </c>
      <c r="C16">
        <v>0.9</v>
      </c>
      <c r="D16">
        <v>-8.5</v>
      </c>
      <c r="E16">
        <v>-7.6</v>
      </c>
      <c r="F16">
        <v>3.1</v>
      </c>
      <c r="G16">
        <v>-5.7</v>
      </c>
      <c r="H16">
        <v>1.4</v>
      </c>
      <c r="I16">
        <v>33</v>
      </c>
      <c r="J16">
        <v>2</v>
      </c>
      <c r="K16">
        <v>2.6</v>
      </c>
      <c r="L16">
        <v>1.1000000000000001</v>
      </c>
      <c r="M16">
        <v>4.4000000000000004</v>
      </c>
      <c r="N16">
        <v>1.7</v>
      </c>
      <c r="O16">
        <v>2.2000000000000002</v>
      </c>
      <c r="P16">
        <v>6.5</v>
      </c>
      <c r="Q16">
        <v>9.3000000000000007</v>
      </c>
      <c r="R16">
        <v>4.7</v>
      </c>
      <c r="S16" s="8">
        <v>5.1890000000000001</v>
      </c>
    </row>
    <row r="17" spans="1:22" x14ac:dyDescent="0.25">
      <c r="A17" t="s">
        <v>62</v>
      </c>
      <c r="B17">
        <f>B15-B16</f>
        <v>-54.29999999999999</v>
      </c>
      <c r="C17">
        <f t="shared" ref="C17:E17" si="30">C15-C16</f>
        <v>-110.40000000000003</v>
      </c>
      <c r="D17">
        <f t="shared" si="30"/>
        <v>-853.30000000000007</v>
      </c>
      <c r="E17">
        <f t="shared" si="30"/>
        <v>-148.39999999999998</v>
      </c>
      <c r="F17">
        <f t="shared" ref="F17" si="31">F15-F16</f>
        <v>-123.5</v>
      </c>
      <c r="G17">
        <f t="shared" ref="G17" si="32">G15-G16</f>
        <v>-138.59999999999994</v>
      </c>
      <c r="H17">
        <f t="shared" ref="H17" si="33">H15-H16</f>
        <v>-102.2</v>
      </c>
      <c r="I17">
        <f t="shared" ref="I17" si="34">I15-I16</f>
        <v>-156.10000000000002</v>
      </c>
      <c r="J17">
        <f t="shared" ref="J17" si="35">J15-J16</f>
        <v>-101.29999999999998</v>
      </c>
      <c r="K17">
        <f t="shared" ref="K17" si="36">K15-K16</f>
        <v>-179.29999999999998</v>
      </c>
      <c r="L17">
        <f t="shared" ref="L17" si="37">L15-L16</f>
        <v>-123.90000000000003</v>
      </c>
      <c r="M17">
        <f t="shared" ref="M17" si="38">M15-M16</f>
        <v>33.499999999999993</v>
      </c>
      <c r="N17">
        <f t="shared" ref="N17" si="39">N15-N16</f>
        <v>19.200000000000045</v>
      </c>
      <c r="O17">
        <f t="shared" ref="O17" si="40">O15-O16</f>
        <v>27.899999999999967</v>
      </c>
      <c r="P17">
        <f t="shared" ref="P17" si="41">P15-P16</f>
        <v>73.500000000000057</v>
      </c>
      <c r="Q17">
        <f t="shared" ref="Q17" si="42">Q15-Q16</f>
        <v>97.09999999999998</v>
      </c>
      <c r="R17">
        <f t="shared" ref="R17" si="43">R15-R16</f>
        <v>105.9</v>
      </c>
      <c r="S17" s="8">
        <v>135.57</v>
      </c>
    </row>
    <row r="18" spans="1:22" x14ac:dyDescent="0.25">
      <c r="A18" t="s">
        <v>66</v>
      </c>
      <c r="R18" s="3">
        <v>0.04</v>
      </c>
      <c r="S18" s="10">
        <v>0.06</v>
      </c>
    </row>
    <row r="19" spans="1:22" x14ac:dyDescent="0.25">
      <c r="A19" t="s">
        <v>95</v>
      </c>
      <c r="R19" s="3"/>
      <c r="S19" s="10"/>
    </row>
    <row r="20" spans="1:22" x14ac:dyDescent="0.25">
      <c r="R20" s="3"/>
      <c r="S20" s="10"/>
    </row>
    <row r="21" spans="1:22" x14ac:dyDescent="0.25">
      <c r="S21" s="8"/>
    </row>
    <row r="22" spans="1:22" x14ac:dyDescent="0.25">
      <c r="A22" t="s">
        <v>76</v>
      </c>
      <c r="N22">
        <v>155</v>
      </c>
      <c r="O22">
        <v>161</v>
      </c>
      <c r="P22">
        <v>181</v>
      </c>
      <c r="Q22">
        <v>221</v>
      </c>
      <c r="R22">
        <v>262</v>
      </c>
      <c r="S22" s="8"/>
    </row>
    <row r="23" spans="1:22" x14ac:dyDescent="0.25">
      <c r="A23" t="s">
        <v>77</v>
      </c>
      <c r="N23">
        <v>280</v>
      </c>
      <c r="O23">
        <v>302</v>
      </c>
      <c r="P23">
        <v>330</v>
      </c>
      <c r="Q23">
        <v>375</v>
      </c>
      <c r="R23">
        <v>427</v>
      </c>
      <c r="S23" s="8"/>
    </row>
    <row r="24" spans="1:22" x14ac:dyDescent="0.25">
      <c r="A24" t="s">
        <v>78</v>
      </c>
      <c r="N24">
        <v>391</v>
      </c>
      <c r="O24">
        <v>421</v>
      </c>
      <c r="P24">
        <v>453</v>
      </c>
      <c r="Q24">
        <v>497</v>
      </c>
      <c r="R24">
        <v>554</v>
      </c>
      <c r="S24" s="8"/>
    </row>
    <row r="25" spans="1:22" x14ac:dyDescent="0.25">
      <c r="A25" t="s">
        <v>82</v>
      </c>
      <c r="N25">
        <f t="shared" ref="N25:Q25" si="44">N24-N23</f>
        <v>111</v>
      </c>
      <c r="O25">
        <f t="shared" si="44"/>
        <v>119</v>
      </c>
      <c r="P25">
        <f t="shared" si="44"/>
        <v>123</v>
      </c>
      <c r="Q25">
        <f t="shared" si="44"/>
        <v>122</v>
      </c>
      <c r="R25">
        <f>R24-R23</f>
        <v>127</v>
      </c>
      <c r="S25" s="8"/>
    </row>
    <row r="26" spans="1:22" x14ac:dyDescent="0.25">
      <c r="S26" s="8"/>
    </row>
    <row r="27" spans="1:22" x14ac:dyDescent="0.25">
      <c r="A27" t="s">
        <v>79</v>
      </c>
      <c r="R27">
        <v>87</v>
      </c>
      <c r="S27" s="8">
        <v>96</v>
      </c>
    </row>
    <row r="28" spans="1:22" x14ac:dyDescent="0.25">
      <c r="A28" t="s">
        <v>80</v>
      </c>
      <c r="R28">
        <v>27</v>
      </c>
      <c r="S28" s="8">
        <v>33</v>
      </c>
    </row>
    <row r="29" spans="1:22" x14ac:dyDescent="0.25">
      <c r="A29" t="s">
        <v>81</v>
      </c>
      <c r="R29">
        <v>15</v>
      </c>
      <c r="S29" s="8">
        <v>27</v>
      </c>
    </row>
    <row r="30" spans="1:22" x14ac:dyDescent="0.25">
      <c r="S30" s="8"/>
    </row>
    <row r="31" spans="1:22" x14ac:dyDescent="0.25">
      <c r="A31" s="11" t="s">
        <v>97</v>
      </c>
      <c r="B31">
        <v>2020</v>
      </c>
      <c r="C31">
        <f>B31+1</f>
        <v>2021</v>
      </c>
      <c r="D31">
        <f t="shared" ref="D31:E31" si="45">C31+1</f>
        <v>2022</v>
      </c>
      <c r="E31">
        <f t="shared" si="45"/>
        <v>2023</v>
      </c>
      <c r="S31" s="8"/>
      <c r="V31" s="4"/>
    </row>
    <row r="33" spans="1:5" x14ac:dyDescent="0.25">
      <c r="A33" t="s">
        <v>96</v>
      </c>
      <c r="B33">
        <v>13871</v>
      </c>
      <c r="C33">
        <v>14897</v>
      </c>
      <c r="D33">
        <v>22522</v>
      </c>
      <c r="E33">
        <v>33354</v>
      </c>
    </row>
    <row r="34" spans="1:5" x14ac:dyDescent="0.25">
      <c r="A34" t="s">
        <v>98</v>
      </c>
      <c r="B34">
        <v>12236</v>
      </c>
      <c r="C34">
        <v>12627</v>
      </c>
      <c r="D34">
        <v>40027</v>
      </c>
      <c r="E34">
        <v>15114</v>
      </c>
    </row>
    <row r="35" spans="1:5" x14ac:dyDescent="0.25">
      <c r="A35" t="s">
        <v>99</v>
      </c>
      <c r="B35">
        <f>156932+51889-16358-189520-158546-210320-29079</f>
        <v>-395002</v>
      </c>
      <c r="C35">
        <f>190923+110872-660061</f>
        <v>-358266</v>
      </c>
      <c r="D35">
        <f>258346+133312-587941</f>
        <v>-196283</v>
      </c>
      <c r="E35">
        <f>364784+99655-745018</f>
        <v>-280579</v>
      </c>
    </row>
    <row r="36" spans="1:5" x14ac:dyDescent="0.25">
      <c r="A36" t="s">
        <v>100</v>
      </c>
      <c r="C36">
        <f>B35-C35</f>
        <v>-36736</v>
      </c>
      <c r="D36">
        <f>C35-D35</f>
        <v>-161983</v>
      </c>
      <c r="E36">
        <f>D35-E35</f>
        <v>84296</v>
      </c>
    </row>
  </sheetData>
  <hyperlinks>
    <hyperlink ref="A1" location="Main!A1" display="Main" xr:uid="{015B59C6-F8E8-8644-ACCE-84EEE6FD69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1D55-8754-4C67-B421-B0A83F505C25}">
  <dimension ref="A1:M23"/>
  <sheetViews>
    <sheetView tabSelected="1" zoomScale="132" workbookViewId="0">
      <selection activeCell="C15" sqref="C15"/>
    </sheetView>
  </sheetViews>
  <sheetFormatPr defaultRowHeight="15" x14ac:dyDescent="0.25"/>
  <cols>
    <col min="2" max="2" width="19.140625" bestFit="1" customWidth="1"/>
  </cols>
  <sheetData>
    <row r="1" spans="1:13" x14ac:dyDescent="0.25">
      <c r="A1" s="2" t="s">
        <v>34</v>
      </c>
    </row>
    <row r="3" spans="1:13" x14ac:dyDescent="0.25">
      <c r="A3" s="14" t="s">
        <v>108</v>
      </c>
      <c r="B3" s="12" t="s">
        <v>106</v>
      </c>
      <c r="C3" s="12">
        <v>2020</v>
      </c>
      <c r="D3" s="12">
        <f>C3+1</f>
        <v>2021</v>
      </c>
      <c r="E3" s="12">
        <f t="shared" ref="E3:M3" si="0">D3+1</f>
        <v>2022</v>
      </c>
      <c r="F3" s="12">
        <f t="shared" si="0"/>
        <v>2023</v>
      </c>
      <c r="G3" s="12">
        <f t="shared" si="0"/>
        <v>2024</v>
      </c>
      <c r="H3" s="12">
        <f t="shared" si="0"/>
        <v>2025</v>
      </c>
      <c r="I3" s="12">
        <f t="shared" si="0"/>
        <v>2026</v>
      </c>
      <c r="J3" s="12">
        <f t="shared" si="0"/>
        <v>2027</v>
      </c>
      <c r="K3" s="12">
        <f t="shared" si="0"/>
        <v>2028</v>
      </c>
      <c r="L3" s="12">
        <f t="shared" si="0"/>
        <v>2029</v>
      </c>
      <c r="M3" s="12">
        <f t="shared" si="0"/>
        <v>2030</v>
      </c>
    </row>
    <row r="4" spans="1:13" x14ac:dyDescent="0.25">
      <c r="A4" s="14"/>
      <c r="B4" t="s">
        <v>50</v>
      </c>
      <c r="C4">
        <v>1092673</v>
      </c>
      <c r="D4">
        <v>1541889</v>
      </c>
      <c r="E4">
        <v>1905871</v>
      </c>
      <c r="F4">
        <v>2225012</v>
      </c>
    </row>
    <row r="5" spans="1:13" s="13" customFormat="1" x14ac:dyDescent="0.25">
      <c r="A5" s="14"/>
      <c r="B5" t="s">
        <v>101</v>
      </c>
      <c r="C5"/>
      <c r="D5" s="13">
        <f>(D4-C4)/C4</f>
        <v>0.41111659206368234</v>
      </c>
      <c r="E5" s="13">
        <f>(E4-D4)/D4</f>
        <v>0.23606238840798527</v>
      </c>
      <c r="F5" s="13">
        <f>(F4-E4)/E4</f>
        <v>0.16745152216493142</v>
      </c>
    </row>
    <row r="6" spans="1:13" x14ac:dyDescent="0.25">
      <c r="A6" s="14"/>
    </row>
    <row r="7" spans="1:13" x14ac:dyDescent="0.25">
      <c r="A7" s="14"/>
      <c r="B7" t="s">
        <v>58</v>
      </c>
      <c r="C7">
        <v>-1173679</v>
      </c>
      <c r="D7">
        <v>-411046</v>
      </c>
      <c r="E7">
        <v>-161201</v>
      </c>
      <c r="F7">
        <v>237091</v>
      </c>
    </row>
    <row r="8" spans="1:13" s="13" customFormat="1" x14ac:dyDescent="0.25">
      <c r="A8" s="14"/>
      <c r="B8" t="s">
        <v>102</v>
      </c>
      <c r="C8" s="13">
        <f>C7/C4</f>
        <v>-1.0741356288660926</v>
      </c>
      <c r="D8" s="13">
        <f>D7/D4</f>
        <v>-0.26658598641017611</v>
      </c>
      <c r="E8" s="13">
        <f>E7/E4</f>
        <v>-8.4581275437844425E-2</v>
      </c>
      <c r="F8" s="13">
        <f>F7/F4</f>
        <v>0.10655717811858992</v>
      </c>
    </row>
    <row r="9" spans="1:13" x14ac:dyDescent="0.25">
      <c r="A9" s="14"/>
    </row>
    <row r="10" spans="1:13" x14ac:dyDescent="0.25">
      <c r="A10" s="14"/>
      <c r="B10" t="s">
        <v>61</v>
      </c>
      <c r="C10">
        <v>-12636</v>
      </c>
      <c r="D10">
        <v>31885</v>
      </c>
      <c r="E10">
        <v>10067</v>
      </c>
      <c r="F10">
        <v>19716</v>
      </c>
    </row>
    <row r="11" spans="1:13" s="13" customFormat="1" x14ac:dyDescent="0.25">
      <c r="A11" s="14"/>
      <c r="B11" t="s">
        <v>103</v>
      </c>
      <c r="C11" s="13">
        <f>C10/-1179027</f>
        <v>1.0717311817286627E-2</v>
      </c>
      <c r="D11" s="13">
        <f>D10/-488494</f>
        <v>-6.527204018882525E-2</v>
      </c>
      <c r="E11" s="13">
        <f>E10/-361027</f>
        <v>-2.7884341060363905E-2</v>
      </c>
      <c r="F11" s="13">
        <f>F10/237091</f>
        <v>8.3157943574408144E-2</v>
      </c>
    </row>
    <row r="12" spans="1:13" x14ac:dyDescent="0.25">
      <c r="A12" s="14"/>
    </row>
    <row r="13" spans="1:13" x14ac:dyDescent="0.25">
      <c r="A13" s="14" t="s">
        <v>108</v>
      </c>
      <c r="B13" s="12" t="s">
        <v>107</v>
      </c>
      <c r="C13" s="12">
        <v>2020</v>
      </c>
      <c r="D13" s="12">
        <f>C13+1</f>
        <v>2021</v>
      </c>
      <c r="E13" s="12">
        <f t="shared" ref="E13:M13" si="1">D13+1</f>
        <v>2022</v>
      </c>
      <c r="F13" s="12">
        <f t="shared" si="1"/>
        <v>2023</v>
      </c>
      <c r="G13" s="12">
        <f t="shared" si="1"/>
        <v>2024</v>
      </c>
      <c r="H13" s="12">
        <f t="shared" si="1"/>
        <v>2025</v>
      </c>
      <c r="I13" s="12">
        <f t="shared" si="1"/>
        <v>2026</v>
      </c>
      <c r="J13" s="12">
        <f t="shared" si="1"/>
        <v>2027</v>
      </c>
      <c r="K13" s="12">
        <f t="shared" si="1"/>
        <v>2028</v>
      </c>
      <c r="L13" s="12">
        <f t="shared" si="1"/>
        <v>2029</v>
      </c>
      <c r="M13" s="12">
        <f t="shared" si="1"/>
        <v>2030</v>
      </c>
    </row>
    <row r="14" spans="1:13" x14ac:dyDescent="0.25">
      <c r="A14" s="14"/>
      <c r="B14" t="s">
        <v>96</v>
      </c>
    </row>
    <row r="15" spans="1:13" x14ac:dyDescent="0.25">
      <c r="A15" s="14"/>
      <c r="B15" t="s">
        <v>104</v>
      </c>
    </row>
    <row r="16" spans="1:13" x14ac:dyDescent="0.25">
      <c r="A16" s="14"/>
    </row>
    <row r="17" spans="1:13" x14ac:dyDescent="0.25">
      <c r="A17" s="14"/>
      <c r="B17" t="s">
        <v>98</v>
      </c>
    </row>
    <row r="18" spans="1:13" x14ac:dyDescent="0.25">
      <c r="A18" s="14"/>
      <c r="B18" t="s">
        <v>104</v>
      </c>
    </row>
    <row r="19" spans="1:13" x14ac:dyDescent="0.25">
      <c r="A19" s="14"/>
    </row>
    <row r="20" spans="1:13" x14ac:dyDescent="0.25">
      <c r="A20" s="14"/>
      <c r="B20" t="s">
        <v>105</v>
      </c>
    </row>
    <row r="21" spans="1:13" x14ac:dyDescent="0.25">
      <c r="A21" s="14"/>
      <c r="B21" t="s">
        <v>104</v>
      </c>
    </row>
    <row r="22" spans="1:13" x14ac:dyDescent="0.25">
      <c r="A22" s="14"/>
    </row>
    <row r="23" spans="1:13" x14ac:dyDescent="0.25">
      <c r="A23" s="14" t="s">
        <v>108</v>
      </c>
      <c r="B23" s="12" t="s">
        <v>109</v>
      </c>
      <c r="C23" s="12">
        <v>2020</v>
      </c>
      <c r="D23" s="12">
        <f>C23+1</f>
        <v>2021</v>
      </c>
      <c r="E23" s="12">
        <f t="shared" ref="E23:M23" si="2">D23+1</f>
        <v>2022</v>
      </c>
      <c r="F23" s="12">
        <f t="shared" si="2"/>
        <v>2023</v>
      </c>
      <c r="G23" s="12">
        <f t="shared" si="2"/>
        <v>2024</v>
      </c>
      <c r="H23" s="12">
        <f t="shared" si="2"/>
        <v>2025</v>
      </c>
      <c r="I23" s="12">
        <f t="shared" si="2"/>
        <v>2026</v>
      </c>
      <c r="J23" s="12">
        <f t="shared" si="2"/>
        <v>2027</v>
      </c>
      <c r="K23" s="12">
        <f t="shared" si="2"/>
        <v>2028</v>
      </c>
      <c r="L23" s="12">
        <f t="shared" si="2"/>
        <v>2029</v>
      </c>
      <c r="M23" s="12">
        <f t="shared" si="2"/>
        <v>2030</v>
      </c>
    </row>
  </sheetData>
  <hyperlinks>
    <hyperlink ref="A1" location="Main!A1" display="Main" xr:uid="{34AA65FF-48EE-4932-AC1E-364DA830F0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4C0E-0CC4-7446-A9F1-236A400D4A6A}">
  <dimension ref="A1:D6"/>
  <sheetViews>
    <sheetView zoomScale="143" zoomScaleNormal="180" workbookViewId="0">
      <selection activeCell="D5" sqref="D5"/>
    </sheetView>
  </sheetViews>
  <sheetFormatPr defaultColWidth="11.42578125" defaultRowHeight="15" x14ac:dyDescent="0.25"/>
  <cols>
    <col min="3" max="3" width="13.85546875" bestFit="1" customWidth="1"/>
    <col min="4" max="4" width="13.7109375" bestFit="1" customWidth="1"/>
  </cols>
  <sheetData>
    <row r="1" spans="1:4" x14ac:dyDescent="0.25">
      <c r="A1" s="2" t="s">
        <v>34</v>
      </c>
    </row>
    <row r="3" spans="1:4" x14ac:dyDescent="0.25">
      <c r="A3" t="s">
        <v>68</v>
      </c>
      <c r="B3" t="s">
        <v>70</v>
      </c>
      <c r="C3" t="s">
        <v>71</v>
      </c>
      <c r="D3" t="s">
        <v>73</v>
      </c>
    </row>
    <row r="4" spans="1:4" x14ac:dyDescent="0.25">
      <c r="A4" t="s">
        <v>67</v>
      </c>
      <c r="B4" t="s">
        <v>69</v>
      </c>
      <c r="C4" t="s">
        <v>72</v>
      </c>
      <c r="D4" t="s">
        <v>94</v>
      </c>
    </row>
    <row r="5" spans="1:4" x14ac:dyDescent="0.25">
      <c r="A5" t="s">
        <v>84</v>
      </c>
    </row>
    <row r="6" spans="1:4" x14ac:dyDescent="0.25">
      <c r="B6" t="s">
        <v>91</v>
      </c>
      <c r="C6" t="s">
        <v>92</v>
      </c>
      <c r="D6" t="s">
        <v>93</v>
      </c>
    </row>
  </sheetData>
  <hyperlinks>
    <hyperlink ref="A1" location="Main!A1" display="Main" xr:uid="{BDF99E96-345A-F848-887F-7528C1D1C9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1CB6-0C90-0346-AB31-852E5EF92F5E}">
  <dimension ref="A1:A4"/>
  <sheetViews>
    <sheetView zoomScale="180" zoomScaleNormal="180" workbookViewId="0">
      <selection activeCell="A5" sqref="A5"/>
    </sheetView>
  </sheetViews>
  <sheetFormatPr defaultColWidth="11.42578125" defaultRowHeight="15" x14ac:dyDescent="0.25"/>
  <sheetData>
    <row r="1" spans="1:1" x14ac:dyDescent="0.25">
      <c r="A1" s="2" t="s">
        <v>34</v>
      </c>
    </row>
    <row r="3" spans="1:1" x14ac:dyDescent="0.25">
      <c r="A3" t="s">
        <v>89</v>
      </c>
    </row>
    <row r="4" spans="1:1" x14ac:dyDescent="0.25">
      <c r="A4" t="s">
        <v>90</v>
      </c>
    </row>
  </sheetData>
  <hyperlinks>
    <hyperlink ref="A1" location="Main!A1" display="Main" xr:uid="{0C6EE2F4-7045-AA4B-989E-C0B8C3696C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Financials</vt:lpstr>
      <vt:lpstr>Model</vt:lpstr>
      <vt:lpstr>Products &amp; Projects</vt:lpstr>
      <vt:lpstr>Cool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2024-02-27T00:30:38Z</dcterms:created>
  <dcterms:modified xsi:type="dcterms:W3CDTF">2024-08-21T22:39:48Z</dcterms:modified>
</cp:coreProperties>
</file>