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ropbox\Documents\sac\webpages\inet1304\"/>
    </mc:Choice>
  </mc:AlternateContent>
  <xr:revisionPtr revIDLastSave="0" documentId="13_ncr:1_{3B112B05-6048-40A5-A3FA-19E90AC4C57C}" xr6:coauthVersionLast="38" xr6:coauthVersionMax="38" xr10:uidLastSave="{00000000-0000-0000-0000-000000000000}"/>
  <bookViews>
    <workbookView xWindow="0" yWindow="0" windowWidth="20490" windowHeight="7515" firstSheet="1" activeTab="1" xr2:uid="{00000000-000D-0000-FFFF-FFFF00000000}"/>
  </bookViews>
  <sheets>
    <sheet name="Main" sheetId="1" state="hidden" r:id="rId1"/>
    <sheet name="Group 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B21" i="1"/>
  <c r="B38" i="1"/>
  <c r="B39" i="1"/>
  <c r="B40" i="1"/>
  <c r="B41" i="1"/>
  <c r="B37" i="1"/>
  <c r="B29" i="1"/>
  <c r="B30" i="1"/>
  <c r="B31" i="1"/>
  <c r="B32" i="1"/>
  <c r="B33" i="1"/>
  <c r="B28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4" i="1"/>
  <c r="D47" i="1"/>
  <c r="E47" i="1"/>
  <c r="F47" i="1"/>
  <c r="E40" i="1"/>
  <c r="E39" i="1"/>
  <c r="B50" i="1"/>
  <c r="E38" i="1"/>
  <c r="E8" i="1"/>
  <c r="B47" i="1"/>
  <c r="B46" i="1"/>
  <c r="D45" i="1"/>
  <c r="L13" i="2"/>
  <c r="L14" i="2"/>
  <c r="L15" i="2"/>
  <c r="I9" i="2"/>
  <c r="E37" i="1"/>
  <c r="L20" i="2"/>
  <c r="F45" i="1"/>
  <c r="D46" i="1"/>
  <c r="E46" i="1"/>
  <c r="F46" i="1"/>
  <c r="E45" i="1"/>
  <c r="E35" i="1"/>
  <c r="E13" i="1"/>
  <c r="E7" i="1"/>
  <c r="E6" i="1"/>
  <c r="E5" i="1"/>
  <c r="B24" i="1"/>
  <c r="B23" i="1"/>
  <c r="B3" i="1"/>
  <c r="E26" i="1"/>
  <c r="I13" i="2"/>
  <c r="I7" i="2"/>
  <c r="I8" i="2"/>
  <c r="L12" i="2"/>
  <c r="E20" i="2"/>
  <c r="E18" i="1"/>
  <c r="E21" i="1"/>
  <c r="L18" i="2"/>
  <c r="L19" i="2"/>
  <c r="E14" i="1"/>
  <c r="L5" i="2"/>
  <c r="E4" i="1"/>
  <c r="I6" i="2"/>
  <c r="E27" i="1"/>
  <c r="E29" i="1"/>
  <c r="E28" i="1"/>
  <c r="I14" i="2"/>
  <c r="L6" i="2"/>
  <c r="I16" i="2"/>
  <c r="I15" i="2"/>
  <c r="L8" i="2"/>
  <c r="L9" i="2"/>
  <c r="E9" i="1"/>
  <c r="I5" i="2"/>
  <c r="E30" i="1"/>
  <c r="E20" i="1"/>
  <c r="I17" i="2"/>
  <c r="L7" i="2"/>
  <c r="I10" i="2"/>
</calcChain>
</file>

<file path=xl/sharedStrings.xml><?xml version="1.0" encoding="utf-8"?>
<sst xmlns="http://schemas.openxmlformats.org/spreadsheetml/2006/main" count="149" uniqueCount="90">
  <si>
    <t xml:space="preserve">Pi </t>
  </si>
  <si>
    <t>Universal Grav Constant (m3/kg-s2)</t>
  </si>
  <si>
    <t xml:space="preserve"> Planet Diameter (km)</t>
  </si>
  <si>
    <t>Avg Distance from Star (AU)</t>
  </si>
  <si>
    <t>Eccentricity</t>
  </si>
  <si>
    <t>Equatorial Temperature Day (K)</t>
  </si>
  <si>
    <t>Equatorial Temperature Night (K)</t>
  </si>
  <si>
    <t>Polar Temperature Day (K)</t>
  </si>
  <si>
    <t>Polar Temperature Night (K)</t>
  </si>
  <si>
    <t>Greenhouse Effect (K)</t>
  </si>
  <si>
    <t>Current Distance from Star (AU)</t>
  </si>
  <si>
    <t>Rotation Period (hours)</t>
  </si>
  <si>
    <r>
      <t>Axis Tilt (</t>
    </r>
    <r>
      <rPr>
        <sz val="11"/>
        <color theme="1"/>
        <rFont val="Times New Roman"/>
        <family val="1"/>
      </rPr>
      <t>º</t>
    </r>
    <r>
      <rPr>
        <sz val="11"/>
        <color theme="1"/>
        <rFont val="Calibri"/>
        <family val="2"/>
      </rPr>
      <t>)</t>
    </r>
  </si>
  <si>
    <t>Moment of Inertia</t>
  </si>
  <si>
    <t>Atmosphere - Nitrogen</t>
  </si>
  <si>
    <t>Atmosphere - Oxygen</t>
  </si>
  <si>
    <t>Atmosphere - Water</t>
  </si>
  <si>
    <t>Atmosphere - Carbon Dioxide</t>
  </si>
  <si>
    <t>Atmosphere - Other</t>
  </si>
  <si>
    <t>Magnetic field (Gauss)</t>
  </si>
  <si>
    <t>1 amu</t>
  </si>
  <si>
    <t>Composition Constant (J/kg K)</t>
  </si>
  <si>
    <t>Boltzmann's Constant (J / K)</t>
  </si>
  <si>
    <t>Orbital Period (yrs)</t>
  </si>
  <si>
    <t>Perihelion (AU)</t>
  </si>
  <si>
    <t>Aphelion (AU)</t>
  </si>
  <si>
    <t>Average Surface Temperature (K)</t>
  </si>
  <si>
    <t>Avg Surface Temperature (No greenhouse)</t>
  </si>
  <si>
    <t>Moon 1 Parameters</t>
  </si>
  <si>
    <t>Planet Parameters</t>
  </si>
  <si>
    <t>Diameter (km)</t>
  </si>
  <si>
    <t>Avg Distance from planet (km)</t>
  </si>
  <si>
    <t>Orbital Eccentricity</t>
  </si>
  <si>
    <t>Density (kg/m3)</t>
  </si>
  <si>
    <r>
      <t>Orbital Inclination (</t>
    </r>
    <r>
      <rPr>
        <sz val="11"/>
        <color theme="1"/>
        <rFont val="Times New Roman"/>
        <family val="1"/>
      </rPr>
      <t>º</t>
    </r>
    <r>
      <rPr>
        <sz val="11"/>
        <color theme="1"/>
        <rFont val="Calibri"/>
        <family val="2"/>
      </rPr>
      <t>)</t>
    </r>
  </si>
  <si>
    <t>Orbital Period (days)</t>
  </si>
  <si>
    <t>Moon 2 Parameters</t>
  </si>
  <si>
    <t>Mass of Planet (kg)</t>
  </si>
  <si>
    <t>Mass of Planet (Earth Masses)</t>
  </si>
  <si>
    <t>Density of Planet (kg/m^3)</t>
  </si>
  <si>
    <t>Gravitational Acceleration (m/s^2)</t>
  </si>
  <si>
    <t>Escape Speed (km/sec)</t>
  </si>
  <si>
    <t>Equinox</t>
  </si>
  <si>
    <t>Sun Altitudes</t>
  </si>
  <si>
    <r>
      <t>Rotation Rate (</t>
    </r>
    <r>
      <rPr>
        <sz val="11"/>
        <color rgb="FFFF0000"/>
        <rFont val="Calibri"/>
        <family val="2"/>
      </rPr>
      <t>°</t>
    </r>
    <r>
      <rPr>
        <sz val="11"/>
        <color rgb="FFFF0000"/>
        <rFont val="Calibri"/>
        <family val="2"/>
        <scheme val="minor"/>
      </rPr>
      <t>/hr)</t>
    </r>
  </si>
  <si>
    <t>Revolution Rate (°/day)</t>
  </si>
  <si>
    <t>Angular Size of Moon 1 (°)</t>
  </si>
  <si>
    <t>Angular Size of Moon 2 (°)</t>
  </si>
  <si>
    <t>Zenith Angle (°)</t>
  </si>
  <si>
    <t>Horizon Angle (°)</t>
  </si>
  <si>
    <t>Latitude (°)</t>
  </si>
  <si>
    <t>Summer Solstice (°)</t>
  </si>
  <si>
    <t>Winter Solstice (°)</t>
  </si>
  <si>
    <t>Sun Diameter (km)</t>
  </si>
  <si>
    <t>Degrees in a Radian</t>
  </si>
  <si>
    <t>Avg Angular Size of Sun  (°)</t>
  </si>
  <si>
    <t>Current Angular Size of Sun  (°)</t>
  </si>
  <si>
    <t>Scale Height (km)</t>
  </si>
  <si>
    <t>ASTR 1304 Group Project</t>
  </si>
  <si>
    <t>Dr. David Wood</t>
  </si>
  <si>
    <t>Rotation &amp; Revolution</t>
  </si>
  <si>
    <t>Planet Diameter (km)</t>
  </si>
  <si>
    <r>
      <t>Rotation Rate (</t>
    </r>
    <r>
      <rPr>
        <b/>
        <sz val="11"/>
        <color rgb="FFFF0000"/>
        <rFont val="Calibri"/>
        <family val="2"/>
      </rPr>
      <t>°</t>
    </r>
    <r>
      <rPr>
        <b/>
        <sz val="11"/>
        <color rgb="FFFF0000"/>
        <rFont val="Calibri"/>
        <family val="2"/>
        <scheme val="minor"/>
      </rPr>
      <t>/hr)</t>
    </r>
  </si>
  <si>
    <t>Mass &amp; Gravity</t>
  </si>
  <si>
    <t>Moon 2 Orbital Period</t>
  </si>
  <si>
    <t>Atmosphere</t>
  </si>
  <si>
    <t>Angular Diameter</t>
  </si>
  <si>
    <t>Observer Location / Solar Date</t>
  </si>
  <si>
    <t>Observer Latitude (°)</t>
  </si>
  <si>
    <t>Sun's Altitude</t>
  </si>
  <si>
    <t>Atmospheric  Pressure (bars)</t>
  </si>
  <si>
    <t>Atmosperic Density (kg/m3)</t>
  </si>
  <si>
    <t>Atmospheric Pressure (bars)</t>
  </si>
  <si>
    <t>Atmospheric Density (kg/m3)</t>
  </si>
  <si>
    <t>Surface Composition</t>
  </si>
  <si>
    <t>Composite, Shield, Flood Basalt</t>
  </si>
  <si>
    <t>3 continents; numerous small islands</t>
  </si>
  <si>
    <t>Moons &amp; Rings</t>
  </si>
  <si>
    <t>2 Large moons</t>
  </si>
  <si>
    <t>No rings</t>
  </si>
  <si>
    <t>Relative Atmospheric Density (Earth = 1)</t>
  </si>
  <si>
    <t>Volcanoes &amp; Impact Cratering</t>
  </si>
  <si>
    <t>Retrograde</t>
  </si>
  <si>
    <t>Prograde</t>
  </si>
  <si>
    <t>Summer Solstice</t>
  </si>
  <si>
    <t>Solar Date</t>
  </si>
  <si>
    <t>Daytime High Temperature (K)</t>
  </si>
  <si>
    <t>Nighttime Low Temperature (K)</t>
  </si>
  <si>
    <t>Medium Cratering</t>
  </si>
  <si>
    <t>54% 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</si>
</sst>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1" fillId="0" borderId="0" xfId="0" applyFont="1"/>
    <xf numFmtId="9" fontId="0" fillId="0" borderId="0" xfId="0" applyNumberFormat="1"/>
    <xf numFmtId="0" fontId="4" fillId="0" borderId="0" xfId="0" applyFont="1"/>
    <xf numFmtId="2" fontId="4" fillId="0" borderId="0" xfId="0" applyNumberFormat="1" applyFont="1"/>
    <xf numFmtId="11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7" fillId="2" borderId="5" xfId="0" applyFont="1" applyFill="1" applyBorder="1"/>
    <xf numFmtId="0" fontId="5" fillId="2" borderId="3" xfId="0" applyFont="1" applyFill="1" applyBorder="1"/>
    <xf numFmtId="2" fontId="5" fillId="2" borderId="4" xfId="0" applyNumberFormat="1" applyFont="1" applyFill="1" applyBorder="1" applyAlignment="1">
      <alignment horizontal="center"/>
    </xf>
    <xf numFmtId="0" fontId="5" fillId="2" borderId="5" xfId="0" applyFont="1" applyFill="1" applyBorder="1"/>
    <xf numFmtId="2" fontId="5" fillId="2" borderId="6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8" fillId="2" borderId="0" xfId="0" applyFont="1" applyFill="1" applyBorder="1"/>
    <xf numFmtId="0" fontId="0" fillId="3" borderId="4" xfId="0" applyFill="1" applyBorder="1" applyAlignment="1" applyProtection="1">
      <alignment horizontal="center"/>
      <protection locked="0"/>
    </xf>
    <xf numFmtId="9" fontId="0" fillId="3" borderId="4" xfId="0" applyNumberFormat="1" applyFill="1" applyBorder="1" applyAlignment="1" applyProtection="1">
      <alignment horizontal="center"/>
      <protection locked="0"/>
    </xf>
    <xf numFmtId="2" fontId="0" fillId="3" borderId="6" xfId="0" applyNumberFormat="1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165" fontId="5" fillId="2" borderId="4" xfId="0" applyNumberFormat="1" applyFont="1" applyFill="1" applyBorder="1" applyAlignment="1">
      <alignment horizontal="center"/>
    </xf>
    <xf numFmtId="0" fontId="5" fillId="2" borderId="0" xfId="0" applyFont="1" applyFill="1" applyBorder="1"/>
    <xf numFmtId="2" fontId="0" fillId="0" borderId="0" xfId="0" applyNumberFormat="1"/>
    <xf numFmtId="0" fontId="5" fillId="2" borderId="0" xfId="0" applyFont="1" applyFill="1"/>
    <xf numFmtId="0" fontId="7" fillId="2" borderId="7" xfId="0" applyFont="1" applyFill="1" applyBorder="1" applyAlignment="1">
      <alignment horizontal="center"/>
    </xf>
    <xf numFmtId="0" fontId="8" fillId="2" borderId="7" xfId="0" applyFont="1" applyFill="1" applyBorder="1"/>
    <xf numFmtId="0" fontId="7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2" borderId="8" xfId="0" applyFont="1" applyFill="1" applyBorder="1"/>
    <xf numFmtId="0" fontId="5" fillId="2" borderId="8" xfId="0" applyFont="1" applyFill="1" applyBorder="1"/>
    <xf numFmtId="0" fontId="8" fillId="2" borderId="6" xfId="0" applyFont="1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 applyProtection="1">
      <alignment horizontal="center"/>
      <protection locked="0"/>
    </xf>
    <xf numFmtId="9" fontId="0" fillId="3" borderId="2" xfId="0" applyNumberFormat="1" applyFill="1" applyBorder="1" applyAlignment="1" applyProtection="1">
      <alignment horizontal="center"/>
      <protection locked="0"/>
    </xf>
    <xf numFmtId="0" fontId="10" fillId="2" borderId="1" xfId="0" applyFont="1" applyFill="1" applyBorder="1"/>
    <xf numFmtId="0" fontId="11" fillId="2" borderId="1" xfId="0" applyFont="1" applyFill="1" applyBorder="1"/>
    <xf numFmtId="0" fontId="11" fillId="2" borderId="7" xfId="0" applyFont="1" applyFill="1" applyBorder="1" applyAlignment="1">
      <alignment horizontal="left"/>
    </xf>
    <xf numFmtId="0" fontId="11" fillId="2" borderId="7" xfId="0" applyFont="1" applyFill="1" applyBorder="1"/>
    <xf numFmtId="0" fontId="10" fillId="2" borderId="1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11" fontId="5" fillId="2" borderId="4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65" fontId="5" fillId="2" borderId="6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3" borderId="4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22" workbookViewId="0">
      <selection activeCell="B46" sqref="B46"/>
    </sheetView>
  </sheetViews>
  <sheetFormatPr defaultRowHeight="15" x14ac:dyDescent="0.25"/>
  <cols>
    <col min="1" max="1" width="43.42578125" customWidth="1"/>
    <col min="2" max="2" width="10" bestFit="1" customWidth="1"/>
    <col min="4" max="4" width="41.28515625" customWidth="1"/>
    <col min="5" max="5" width="29.140625" bestFit="1" customWidth="1"/>
  </cols>
  <sheetData>
    <row r="1" spans="1:5" x14ac:dyDescent="0.25">
      <c r="A1" s="2" t="s">
        <v>29</v>
      </c>
    </row>
    <row r="2" spans="1:5" x14ac:dyDescent="0.25">
      <c r="A2" t="s">
        <v>1</v>
      </c>
      <c r="B2" s="1">
        <v>6.6729999999999999E-11</v>
      </c>
    </row>
    <row r="3" spans="1:5" x14ac:dyDescent="0.25">
      <c r="A3" t="s">
        <v>0</v>
      </c>
      <c r="B3">
        <f>PI()</f>
        <v>3.1415926535897931</v>
      </c>
    </row>
    <row r="4" spans="1:5" x14ac:dyDescent="0.25">
      <c r="A4" t="s">
        <v>2</v>
      </c>
      <c r="B4">
        <f>'Group 2'!B5</f>
        <v>11889</v>
      </c>
      <c r="D4" s="4" t="s">
        <v>35</v>
      </c>
      <c r="E4" s="5">
        <f>E5*365.25</f>
        <v>317.06792691896089</v>
      </c>
    </row>
    <row r="5" spans="1:5" x14ac:dyDescent="0.25">
      <c r="A5" t="s">
        <v>3</v>
      </c>
      <c r="B5">
        <f>'Group 2'!B6</f>
        <v>0.91</v>
      </c>
      <c r="D5" s="4" t="s">
        <v>23</v>
      </c>
      <c r="E5" s="5">
        <f>(B5)^1.5</f>
        <v>0.86808467328942063</v>
      </c>
    </row>
    <row r="6" spans="1:5" x14ac:dyDescent="0.25">
      <c r="A6" t="s">
        <v>10</v>
      </c>
      <c r="B6">
        <f>'Group 2'!B7</f>
        <v>0.93</v>
      </c>
      <c r="D6" s="4" t="s">
        <v>24</v>
      </c>
      <c r="E6" s="5">
        <f>B5*(1-B7)</f>
        <v>0.86449999999999994</v>
      </c>
    </row>
    <row r="7" spans="1:5" x14ac:dyDescent="0.25">
      <c r="A7" t="s">
        <v>4</v>
      </c>
      <c r="B7">
        <f>'Group 2'!B8</f>
        <v>0.05</v>
      </c>
      <c r="D7" s="4" t="s">
        <v>25</v>
      </c>
      <c r="E7" s="5">
        <f>B5*(1+B7)</f>
        <v>0.95550000000000013</v>
      </c>
    </row>
    <row r="8" spans="1:5" x14ac:dyDescent="0.25">
      <c r="A8" t="s">
        <v>11</v>
      </c>
      <c r="B8">
        <f>'Group 2'!B9</f>
        <v>21.6</v>
      </c>
      <c r="D8" s="4" t="s">
        <v>44</v>
      </c>
      <c r="E8" s="5">
        <f>360/B8</f>
        <v>16.666666666666664</v>
      </c>
    </row>
    <row r="9" spans="1:5" x14ac:dyDescent="0.25">
      <c r="A9" t="s">
        <v>12</v>
      </c>
      <c r="B9">
        <f>'Group 2'!B10</f>
        <v>8</v>
      </c>
      <c r="D9" s="4" t="s">
        <v>45</v>
      </c>
      <c r="E9" s="5">
        <f>360/E4</f>
        <v>1.1354033928887801</v>
      </c>
    </row>
    <row r="10" spans="1:5" x14ac:dyDescent="0.25">
      <c r="A10" t="s">
        <v>13</v>
      </c>
      <c r="B10">
        <f>'Group 2'!B11</f>
        <v>0.33</v>
      </c>
    </row>
    <row r="11" spans="1:5" x14ac:dyDescent="0.25">
      <c r="A11" t="s">
        <v>5</v>
      </c>
      <c r="B11">
        <f>'Group 2'!B12</f>
        <v>310</v>
      </c>
    </row>
    <row r="12" spans="1:5" x14ac:dyDescent="0.25">
      <c r="A12" t="s">
        <v>6</v>
      </c>
      <c r="B12">
        <f>'Group 2'!B13</f>
        <v>299</v>
      </c>
    </row>
    <row r="13" spans="1:5" x14ac:dyDescent="0.25">
      <c r="A13" t="s">
        <v>7</v>
      </c>
      <c r="B13">
        <f>'Group 2'!B14</f>
        <v>280</v>
      </c>
      <c r="D13" s="4" t="s">
        <v>26</v>
      </c>
      <c r="E13" s="5">
        <f>AVERAGE(B11:B14)</f>
        <v>289.5</v>
      </c>
    </row>
    <row r="14" spans="1:5" x14ac:dyDescent="0.25">
      <c r="A14" t="s">
        <v>8</v>
      </c>
      <c r="B14">
        <f>'Group 2'!B15</f>
        <v>269</v>
      </c>
      <c r="D14" s="4" t="s">
        <v>27</v>
      </c>
      <c r="E14" s="5">
        <f>E13-B15</f>
        <v>267.5</v>
      </c>
    </row>
    <row r="15" spans="1:5" x14ac:dyDescent="0.25">
      <c r="A15" t="s">
        <v>9</v>
      </c>
      <c r="B15">
        <f>'Group 2'!B16</f>
        <v>22</v>
      </c>
      <c r="D15" s="4"/>
      <c r="E15" s="5"/>
    </row>
    <row r="16" spans="1:5" x14ac:dyDescent="0.25">
      <c r="A16" t="s">
        <v>14</v>
      </c>
      <c r="B16" s="3">
        <f>'Group 2'!B17</f>
        <v>0.65</v>
      </c>
      <c r="D16" s="4"/>
      <c r="E16" s="5"/>
    </row>
    <row r="17" spans="1:5" x14ac:dyDescent="0.25">
      <c r="A17" t="s">
        <v>15</v>
      </c>
      <c r="B17" s="3">
        <f>'Group 2'!B18</f>
        <v>0.3</v>
      </c>
      <c r="D17" s="4"/>
      <c r="E17" s="5"/>
    </row>
    <row r="18" spans="1:5" x14ac:dyDescent="0.25">
      <c r="A18" t="s">
        <v>16</v>
      </c>
      <c r="B18" s="3">
        <f>'Group 2'!B19</f>
        <v>0.02</v>
      </c>
      <c r="D18" s="4" t="s">
        <v>21</v>
      </c>
      <c r="E18" s="5">
        <f>B23/(B24*(B16*28+B17*32+B18*18+B19*44+B20*24))</f>
        <v>282.22244036517134</v>
      </c>
    </row>
    <row r="19" spans="1:5" x14ac:dyDescent="0.25">
      <c r="A19" t="s">
        <v>17</v>
      </c>
      <c r="B19" s="3">
        <f>'Group 2'!B20</f>
        <v>0.02</v>
      </c>
      <c r="D19" s="4"/>
      <c r="E19" s="5"/>
    </row>
    <row r="20" spans="1:5" x14ac:dyDescent="0.25">
      <c r="A20" t="s">
        <v>18</v>
      </c>
      <c r="B20" s="3">
        <f>'Group 2'!B21</f>
        <v>0.01</v>
      </c>
      <c r="D20" s="4" t="s">
        <v>57</v>
      </c>
      <c r="E20" s="5">
        <f>0.001*E18*E13/E29</f>
        <v>9.0830859167467537</v>
      </c>
    </row>
    <row r="21" spans="1:5" x14ac:dyDescent="0.25">
      <c r="A21" t="s">
        <v>72</v>
      </c>
      <c r="B21" s="32">
        <f>'Group 2'!B22</f>
        <v>1.35</v>
      </c>
      <c r="D21" s="4" t="s">
        <v>71</v>
      </c>
      <c r="E21" s="5">
        <f>100000*B21/E13/E18</f>
        <v>1.6523180896598331</v>
      </c>
    </row>
    <row r="22" spans="1:5" x14ac:dyDescent="0.25">
      <c r="A22" t="s">
        <v>19</v>
      </c>
      <c r="B22">
        <f>'Group 2'!B23</f>
        <v>0.41</v>
      </c>
      <c r="D22" s="4"/>
      <c r="E22" s="5"/>
    </row>
    <row r="23" spans="1:5" x14ac:dyDescent="0.25">
      <c r="A23" t="s">
        <v>22</v>
      </c>
      <c r="B23">
        <f>1.38E-23</f>
        <v>1.3800000000000001E-23</v>
      </c>
      <c r="D23" s="4"/>
      <c r="E23" s="5"/>
    </row>
    <row r="24" spans="1:5" x14ac:dyDescent="0.25">
      <c r="A24" t="s">
        <v>20</v>
      </c>
      <c r="B24">
        <f>1.67E-27</f>
        <v>1.6700000000000002E-27</v>
      </c>
      <c r="D24" s="4"/>
      <c r="E24" s="5"/>
    </row>
    <row r="25" spans="1:5" x14ac:dyDescent="0.25">
      <c r="D25" s="4"/>
      <c r="E25" s="5"/>
    </row>
    <row r="26" spans="1:5" x14ac:dyDescent="0.25">
      <c r="D26" s="4" t="s">
        <v>37</v>
      </c>
      <c r="E26" s="6">
        <f>(4*B3^2/B2)*(1000*B29)^3/(86400*B33)^2</f>
        <v>4.7633909440610936E+24</v>
      </c>
    </row>
    <row r="27" spans="1:5" x14ac:dyDescent="0.25">
      <c r="A27" s="2" t="s">
        <v>28</v>
      </c>
      <c r="D27" s="4" t="s">
        <v>38</v>
      </c>
      <c r="E27" s="5">
        <f>E26/5.98E+24</f>
        <v>0.79655366957543361</v>
      </c>
    </row>
    <row r="28" spans="1:5" x14ac:dyDescent="0.25">
      <c r="A28" t="s">
        <v>30</v>
      </c>
      <c r="B28">
        <f>'Group 2'!E5</f>
        <v>3112</v>
      </c>
      <c r="D28" s="4" t="s">
        <v>39</v>
      </c>
      <c r="E28" s="7">
        <f>6*E26/B3/(1000*B4)^3</f>
        <v>5413.5434044678395</v>
      </c>
    </row>
    <row r="29" spans="1:5" x14ac:dyDescent="0.25">
      <c r="A29" t="s">
        <v>31</v>
      </c>
      <c r="B29">
        <f>'Group 2'!E6</f>
        <v>287654</v>
      </c>
      <c r="D29" s="4" t="s">
        <v>40</v>
      </c>
      <c r="E29" s="5">
        <f>4*B2*E26/(1000*B4)^2</f>
        <v>8.9951143515089012</v>
      </c>
    </row>
    <row r="30" spans="1:5" x14ac:dyDescent="0.25">
      <c r="A30" t="s">
        <v>32</v>
      </c>
      <c r="B30">
        <f>'Group 2'!E7</f>
        <v>0.03</v>
      </c>
      <c r="D30" s="4" t="s">
        <v>41</v>
      </c>
      <c r="E30" s="8">
        <f>0.001*SQRT(500*E29*B4)</f>
        <v>7.3124180174922078</v>
      </c>
    </row>
    <row r="31" spans="1:5" x14ac:dyDescent="0.25">
      <c r="A31" t="s">
        <v>33</v>
      </c>
      <c r="B31">
        <f>'Group 2'!E8</f>
        <v>4867</v>
      </c>
    </row>
    <row r="32" spans="1:5" x14ac:dyDescent="0.25">
      <c r="A32" t="s">
        <v>34</v>
      </c>
      <c r="B32">
        <f>'Group 2'!E9</f>
        <v>0.1</v>
      </c>
    </row>
    <row r="33" spans="1:6" x14ac:dyDescent="0.25">
      <c r="A33" t="s">
        <v>35</v>
      </c>
      <c r="B33">
        <f>'Group 2'!E10</f>
        <v>19.899999999999999</v>
      </c>
    </row>
    <row r="35" spans="1:6" x14ac:dyDescent="0.25">
      <c r="D35" s="4" t="s">
        <v>35</v>
      </c>
      <c r="E35" s="5">
        <f>B33*(B38/B29)^1.5</f>
        <v>34.128047218962863</v>
      </c>
    </row>
    <row r="36" spans="1:6" x14ac:dyDescent="0.25">
      <c r="A36" s="2" t="s">
        <v>36</v>
      </c>
    </row>
    <row r="37" spans="1:6" x14ac:dyDescent="0.25">
      <c r="A37" t="s">
        <v>30</v>
      </c>
      <c r="B37">
        <f>'Group 2'!E13</f>
        <v>412</v>
      </c>
      <c r="D37" s="4" t="s">
        <v>55</v>
      </c>
      <c r="E37" s="5">
        <f>B$51*B$50/(149600000*B5)</f>
        <v>0.58585351119468765</v>
      </c>
    </row>
    <row r="38" spans="1:6" x14ac:dyDescent="0.25">
      <c r="A38" t="s">
        <v>31</v>
      </c>
      <c r="B38">
        <f>'Group 2'!E14</f>
        <v>412138</v>
      </c>
      <c r="D38" s="4" t="s">
        <v>56</v>
      </c>
      <c r="E38" s="5">
        <f>B$51*B$50/(149600000*B6)</f>
        <v>0.57325451095394164</v>
      </c>
    </row>
    <row r="39" spans="1:6" x14ac:dyDescent="0.25">
      <c r="A39" t="s">
        <v>32</v>
      </c>
      <c r="B39">
        <f>'Group 2'!E15</f>
        <v>0.13</v>
      </c>
      <c r="D39" s="4" t="s">
        <v>46</v>
      </c>
      <c r="E39" s="5">
        <f>B51*B28/B29</f>
        <v>0.6198576400814868</v>
      </c>
    </row>
    <row r="40" spans="1:6" x14ac:dyDescent="0.25">
      <c r="A40" t="s">
        <v>33</v>
      </c>
      <c r="B40">
        <f>'Group 2'!E16</f>
        <v>1098</v>
      </c>
      <c r="D40" s="4" t="s">
        <v>47</v>
      </c>
      <c r="E40" s="5">
        <f>B51*B37/B38</f>
        <v>5.7276615114354897E-2</v>
      </c>
    </row>
    <row r="41" spans="1:6" x14ac:dyDescent="0.25">
      <c r="A41" t="s">
        <v>34</v>
      </c>
      <c r="B41">
        <f>'Group 2'!E17</f>
        <v>22.1</v>
      </c>
    </row>
    <row r="43" spans="1:6" x14ac:dyDescent="0.25">
      <c r="D43" s="9" t="s">
        <v>48</v>
      </c>
      <c r="E43" s="9" t="s">
        <v>49</v>
      </c>
    </row>
    <row r="44" spans="1:6" x14ac:dyDescent="0.25">
      <c r="A44" s="2" t="s">
        <v>43</v>
      </c>
    </row>
    <row r="45" spans="1:6" x14ac:dyDescent="0.25">
      <c r="A45" s="2" t="s">
        <v>50</v>
      </c>
      <c r="B45">
        <f>'Group 2'!$I$20</f>
        <v>40</v>
      </c>
      <c r="D45" s="10">
        <f>ABS(B$45-B46)</f>
        <v>32</v>
      </c>
      <c r="E45" s="10">
        <f>90-D45</f>
        <v>58</v>
      </c>
      <c r="F45" s="10" t="str">
        <f>IF(B$45&gt;B46,"S","N")</f>
        <v>S</v>
      </c>
    </row>
    <row r="46" spans="1:6" x14ac:dyDescent="0.25">
      <c r="A46" t="s">
        <v>51</v>
      </c>
      <c r="B46">
        <f>B9</f>
        <v>8</v>
      </c>
      <c r="D46" s="10">
        <f>ABS(B$45-B47)</f>
        <v>48</v>
      </c>
      <c r="E46" s="10">
        <f t="shared" ref="E46:E47" si="0">90-D46</f>
        <v>42</v>
      </c>
      <c r="F46" s="10" t="str">
        <f>IF(B$45&gt;B47,"S","N")</f>
        <v>S</v>
      </c>
    </row>
    <row r="47" spans="1:6" x14ac:dyDescent="0.25">
      <c r="A47" t="s">
        <v>52</v>
      </c>
      <c r="B47">
        <f>-B9</f>
        <v>-8</v>
      </c>
      <c r="D47" s="14">
        <f>ABS(B$45-B48)</f>
        <v>40</v>
      </c>
      <c r="E47" s="14">
        <f t="shared" si="0"/>
        <v>50</v>
      </c>
      <c r="F47" s="10" t="str">
        <f>IF(B$45&gt;B48,"S","N")</f>
        <v>S</v>
      </c>
    </row>
    <row r="48" spans="1:6" x14ac:dyDescent="0.25">
      <c r="A48" t="s">
        <v>42</v>
      </c>
      <c r="B48">
        <v>0</v>
      </c>
    </row>
    <row r="50" spans="1:2" x14ac:dyDescent="0.25">
      <c r="A50" t="s">
        <v>53</v>
      </c>
      <c r="B50">
        <f>1392000</f>
        <v>1392000</v>
      </c>
    </row>
    <row r="51" spans="1:2" x14ac:dyDescent="0.25">
      <c r="A51" t="s">
        <v>54</v>
      </c>
      <c r="B51">
        <v>57.2958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topLeftCell="A20" workbookViewId="0">
      <selection activeCell="E15" sqref="E15"/>
    </sheetView>
  </sheetViews>
  <sheetFormatPr defaultRowHeight="15" x14ac:dyDescent="0.25"/>
  <cols>
    <col min="1" max="1" width="31" style="11" customWidth="1"/>
    <col min="2" max="2" width="13" style="12" customWidth="1"/>
    <col min="3" max="3" width="3.5703125" style="11" customWidth="1"/>
    <col min="4" max="4" width="30" style="11" customWidth="1"/>
    <col min="5" max="5" width="11.42578125" style="12" customWidth="1"/>
    <col min="6" max="6" width="2.28515625" style="11" customWidth="1"/>
    <col min="7" max="7" width="2" style="11" customWidth="1"/>
    <col min="8" max="8" width="33.7109375" style="12" customWidth="1"/>
    <col min="9" max="9" width="15.5703125" style="12" customWidth="1"/>
    <col min="10" max="10" width="5.140625" style="11" customWidth="1"/>
    <col min="11" max="11" width="38.85546875" style="11" customWidth="1"/>
    <col min="12" max="12" width="8.140625" style="12" customWidth="1"/>
    <col min="13" max="16384" width="9.140625" style="11"/>
  </cols>
  <sheetData>
    <row r="1" spans="1:13" x14ac:dyDescent="0.25">
      <c r="F1" s="13" t="s">
        <v>58</v>
      </c>
    </row>
    <row r="2" spans="1:13" x14ac:dyDescent="0.25">
      <c r="F2" s="13" t="s">
        <v>59</v>
      </c>
    </row>
    <row r="3" spans="1:13" ht="7.5" customHeight="1" thickBot="1" x14ac:dyDescent="0.3"/>
    <row r="4" spans="1:13" x14ac:dyDescent="0.25">
      <c r="A4" s="46" t="s">
        <v>29</v>
      </c>
      <c r="B4" s="15"/>
      <c r="D4" s="46" t="s">
        <v>28</v>
      </c>
      <c r="E4" s="55" t="s">
        <v>83</v>
      </c>
      <c r="H4" s="50" t="s">
        <v>60</v>
      </c>
      <c r="I4" s="15"/>
      <c r="K4" s="50" t="s">
        <v>65</v>
      </c>
      <c r="L4" s="15"/>
    </row>
    <row r="5" spans="1:13" x14ac:dyDescent="0.25">
      <c r="A5" s="16" t="s">
        <v>61</v>
      </c>
      <c r="B5" s="26">
        <v>11889</v>
      </c>
      <c r="D5" s="16" t="s">
        <v>30</v>
      </c>
      <c r="E5" s="26">
        <v>3112</v>
      </c>
      <c r="H5" s="19" t="s">
        <v>35</v>
      </c>
      <c r="I5" s="20">
        <f>Main!E4</f>
        <v>317.06792691896089</v>
      </c>
      <c r="K5" s="19" t="s">
        <v>26</v>
      </c>
      <c r="L5" s="30">
        <f>Main!E13</f>
        <v>289.5</v>
      </c>
    </row>
    <row r="6" spans="1:13" x14ac:dyDescent="0.25">
      <c r="A6" s="16" t="s">
        <v>3</v>
      </c>
      <c r="B6" s="26">
        <v>0.91</v>
      </c>
      <c r="D6" s="16" t="s">
        <v>31</v>
      </c>
      <c r="E6" s="26">
        <v>287654</v>
      </c>
      <c r="H6" s="19" t="s">
        <v>23</v>
      </c>
      <c r="I6" s="20">
        <f>Main!E5</f>
        <v>0.86808467328942063</v>
      </c>
      <c r="K6" s="19" t="s">
        <v>27</v>
      </c>
      <c r="L6" s="30">
        <f>Main!E14</f>
        <v>267.5</v>
      </c>
    </row>
    <row r="7" spans="1:13" x14ac:dyDescent="0.25">
      <c r="A7" s="16" t="s">
        <v>10</v>
      </c>
      <c r="B7" s="26">
        <v>0.93</v>
      </c>
      <c r="D7" s="16" t="s">
        <v>32</v>
      </c>
      <c r="E7" s="26">
        <v>0.03</v>
      </c>
      <c r="H7" s="19" t="s">
        <v>24</v>
      </c>
      <c r="I7" s="20">
        <f>Main!E6</f>
        <v>0.86449999999999994</v>
      </c>
      <c r="K7" s="19" t="s">
        <v>57</v>
      </c>
      <c r="L7" s="30">
        <f>Main!E20</f>
        <v>9.0830859167467537</v>
      </c>
    </row>
    <row r="8" spans="1:13" x14ac:dyDescent="0.25">
      <c r="A8" s="16" t="s">
        <v>4</v>
      </c>
      <c r="B8" s="26">
        <v>0.05</v>
      </c>
      <c r="D8" s="16" t="s">
        <v>33</v>
      </c>
      <c r="E8" s="26">
        <v>4867</v>
      </c>
      <c r="H8" s="19" t="s">
        <v>25</v>
      </c>
      <c r="I8" s="20">
        <f>Main!E7</f>
        <v>0.95550000000000013</v>
      </c>
      <c r="K8" s="19" t="s">
        <v>73</v>
      </c>
      <c r="L8" s="20">
        <f>Main!E21</f>
        <v>1.6523180896598331</v>
      </c>
    </row>
    <row r="9" spans="1:13" ht="15.75" thickBot="1" x14ac:dyDescent="0.3">
      <c r="A9" s="16" t="s">
        <v>11</v>
      </c>
      <c r="B9" s="26">
        <v>21.6</v>
      </c>
      <c r="D9" s="16" t="s">
        <v>34</v>
      </c>
      <c r="E9" s="26">
        <v>0.1</v>
      </c>
      <c r="H9" s="19" t="s">
        <v>62</v>
      </c>
      <c r="I9" s="20">
        <f>Main!E8</f>
        <v>16.666666666666664</v>
      </c>
      <c r="K9" s="21" t="s">
        <v>80</v>
      </c>
      <c r="L9" s="22">
        <f>Main!E21/1.225</f>
        <v>1.3488310935998635</v>
      </c>
    </row>
    <row r="10" spans="1:13" ht="15.75" thickBot="1" x14ac:dyDescent="0.3">
      <c r="A10" s="16" t="s">
        <v>12</v>
      </c>
      <c r="B10" s="26">
        <v>8</v>
      </c>
      <c r="D10" s="17" t="s">
        <v>35</v>
      </c>
      <c r="E10" s="29">
        <v>19.899999999999999</v>
      </c>
      <c r="H10" s="21" t="s">
        <v>45</v>
      </c>
      <c r="I10" s="22">
        <f>Main!E9</f>
        <v>1.1354033928887801</v>
      </c>
    </row>
    <row r="11" spans="1:13" ht="15.75" thickBot="1" x14ac:dyDescent="0.3">
      <c r="A11" s="17" t="s">
        <v>13</v>
      </c>
      <c r="B11" s="29">
        <v>0.33</v>
      </c>
      <c r="K11" s="50" t="s">
        <v>66</v>
      </c>
      <c r="L11" s="15"/>
    </row>
    <row r="12" spans="1:13" x14ac:dyDescent="0.25">
      <c r="A12" s="43" t="s">
        <v>5</v>
      </c>
      <c r="B12" s="44">
        <v>310</v>
      </c>
      <c r="D12" s="46" t="s">
        <v>36</v>
      </c>
      <c r="E12" s="55" t="s">
        <v>82</v>
      </c>
      <c r="H12" s="50" t="s">
        <v>63</v>
      </c>
      <c r="I12" s="15"/>
      <c r="K12" s="19" t="s">
        <v>55</v>
      </c>
      <c r="L12" s="20">
        <f>Main!E37</f>
        <v>0.58585351119468765</v>
      </c>
      <c r="M12" s="25"/>
    </row>
    <row r="13" spans="1:13" x14ac:dyDescent="0.25">
      <c r="A13" s="16" t="s">
        <v>6</v>
      </c>
      <c r="B13" s="26">
        <v>299</v>
      </c>
      <c r="D13" s="16" t="s">
        <v>30</v>
      </c>
      <c r="E13" s="26">
        <v>412</v>
      </c>
      <c r="H13" s="19" t="s">
        <v>37</v>
      </c>
      <c r="I13" s="52">
        <f>Main!E26</f>
        <v>4.7633909440610936E+24</v>
      </c>
      <c r="K13" s="19" t="s">
        <v>56</v>
      </c>
      <c r="L13" s="20">
        <f>Main!E38</f>
        <v>0.57325451095394164</v>
      </c>
      <c r="M13" s="25"/>
    </row>
    <row r="14" spans="1:13" x14ac:dyDescent="0.25">
      <c r="A14" s="16" t="s">
        <v>7</v>
      </c>
      <c r="B14" s="26">
        <v>280</v>
      </c>
      <c r="D14" s="16" t="s">
        <v>31</v>
      </c>
      <c r="E14" s="26">
        <v>412138</v>
      </c>
      <c r="H14" s="19" t="s">
        <v>38</v>
      </c>
      <c r="I14" s="20">
        <f>Main!E27</f>
        <v>0.79655366957543361</v>
      </c>
      <c r="K14" s="19" t="s">
        <v>46</v>
      </c>
      <c r="L14" s="20">
        <f>Main!E39</f>
        <v>0.6198576400814868</v>
      </c>
      <c r="M14" s="25"/>
    </row>
    <row r="15" spans="1:13" ht="15.75" thickBot="1" x14ac:dyDescent="0.3">
      <c r="A15" s="16" t="s">
        <v>8</v>
      </c>
      <c r="B15" s="26">
        <v>269</v>
      </c>
      <c r="D15" s="16" t="s">
        <v>32</v>
      </c>
      <c r="E15" s="26">
        <v>0.13</v>
      </c>
      <c r="H15" s="19" t="s">
        <v>39</v>
      </c>
      <c r="I15" s="53">
        <f>Main!E28</f>
        <v>5413.5434044678395</v>
      </c>
      <c r="K15" s="21" t="s">
        <v>47</v>
      </c>
      <c r="L15" s="22">
        <f>Main!E40</f>
        <v>5.7276615114354897E-2</v>
      </c>
      <c r="M15" s="25"/>
    </row>
    <row r="16" spans="1:13" ht="15.75" thickBot="1" x14ac:dyDescent="0.3">
      <c r="A16" s="17" t="s">
        <v>9</v>
      </c>
      <c r="B16" s="29">
        <v>22</v>
      </c>
      <c r="D16" s="16" t="s">
        <v>33</v>
      </c>
      <c r="E16" s="26">
        <v>1098</v>
      </c>
      <c r="H16" s="19" t="s">
        <v>40</v>
      </c>
      <c r="I16" s="20">
        <f>Main!E29</f>
        <v>8.9951143515089012</v>
      </c>
      <c r="M16" s="25"/>
    </row>
    <row r="17" spans="1:12" ht="15.75" thickBot="1" x14ac:dyDescent="0.3">
      <c r="A17" s="43" t="s">
        <v>14</v>
      </c>
      <c r="B17" s="45">
        <v>0.65</v>
      </c>
      <c r="D17" s="17" t="s">
        <v>34</v>
      </c>
      <c r="E17" s="29">
        <v>22.1</v>
      </c>
      <c r="H17" s="21" t="s">
        <v>41</v>
      </c>
      <c r="I17" s="54">
        <f>Main!E30</f>
        <v>7.3124180174922078</v>
      </c>
      <c r="K17" s="47" t="s">
        <v>69</v>
      </c>
      <c r="L17" s="15"/>
    </row>
    <row r="18" spans="1:12" ht="15.75" thickBot="1" x14ac:dyDescent="0.3">
      <c r="A18" s="16" t="s">
        <v>15</v>
      </c>
      <c r="B18" s="27">
        <v>0.3</v>
      </c>
      <c r="K18" s="19" t="s">
        <v>51</v>
      </c>
      <c r="L18" s="23" t="str">
        <f>CONCATENATE(Main!E45," ",Main!F45)</f>
        <v>58 S</v>
      </c>
    </row>
    <row r="19" spans="1:12" x14ac:dyDescent="0.25">
      <c r="A19" s="16" t="s">
        <v>16</v>
      </c>
      <c r="B19" s="27">
        <v>0.02</v>
      </c>
      <c r="D19" s="47" t="s">
        <v>64</v>
      </c>
      <c r="E19" s="15"/>
      <c r="H19" s="47" t="s">
        <v>67</v>
      </c>
      <c r="I19" s="55"/>
      <c r="K19" s="19" t="s">
        <v>52</v>
      </c>
      <c r="L19" s="23" t="str">
        <f>CONCATENATE(Main!E46," ",Main!F46)</f>
        <v>42 S</v>
      </c>
    </row>
    <row r="20" spans="1:12" ht="15.75" thickBot="1" x14ac:dyDescent="0.3">
      <c r="A20" s="16" t="s">
        <v>17</v>
      </c>
      <c r="B20" s="27">
        <v>0.02</v>
      </c>
      <c r="D20" s="21" t="s">
        <v>35</v>
      </c>
      <c r="E20" s="22">
        <f>Main!E35</f>
        <v>34.128047218962863</v>
      </c>
      <c r="H20" s="62" t="s">
        <v>68</v>
      </c>
      <c r="I20" s="63">
        <v>40</v>
      </c>
      <c r="K20" s="21" t="s">
        <v>42</v>
      </c>
      <c r="L20" s="24" t="str">
        <f>CONCATENATE(Main!E47," ",Main!F47)</f>
        <v>50 S</v>
      </c>
    </row>
    <row r="21" spans="1:12" x14ac:dyDescent="0.25">
      <c r="A21" s="16" t="s">
        <v>18</v>
      </c>
      <c r="B21" s="27">
        <v>0.01</v>
      </c>
      <c r="D21" s="31"/>
      <c r="E21" s="59"/>
      <c r="H21" s="62" t="s">
        <v>85</v>
      </c>
      <c r="I21" s="23" t="s">
        <v>84</v>
      </c>
    </row>
    <row r="22" spans="1:12" ht="15.75" thickBot="1" x14ac:dyDescent="0.3">
      <c r="A22" s="17" t="s">
        <v>70</v>
      </c>
      <c r="B22" s="28">
        <v>1.35</v>
      </c>
      <c r="D22" s="31"/>
      <c r="E22" s="59"/>
      <c r="H22" s="62" t="s">
        <v>86</v>
      </c>
      <c r="I22" s="23">
        <v>302</v>
      </c>
    </row>
    <row r="23" spans="1:12" ht="15.75" thickBot="1" x14ac:dyDescent="0.3">
      <c r="A23" s="17" t="s">
        <v>19</v>
      </c>
      <c r="B23" s="28">
        <v>0.41</v>
      </c>
      <c r="D23" s="31"/>
      <c r="E23" s="59"/>
      <c r="H23" s="18" t="s">
        <v>87</v>
      </c>
      <c r="I23" s="24">
        <v>297</v>
      </c>
    </row>
    <row r="24" spans="1:12" ht="15.75" thickBot="1" x14ac:dyDescent="0.3">
      <c r="D24" s="31"/>
      <c r="E24" s="59"/>
      <c r="H24" s="60"/>
      <c r="I24" s="60"/>
      <c r="K24" s="31"/>
      <c r="L24" s="61"/>
    </row>
    <row r="25" spans="1:12" x14ac:dyDescent="0.25">
      <c r="D25" s="47" t="s">
        <v>74</v>
      </c>
      <c r="E25" s="34"/>
      <c r="F25" s="35"/>
      <c r="G25" s="35"/>
      <c r="H25" s="48" t="s">
        <v>81</v>
      </c>
      <c r="I25" s="56"/>
      <c r="J25" s="35"/>
      <c r="K25" s="49" t="s">
        <v>77</v>
      </c>
      <c r="L25" s="15"/>
    </row>
    <row r="26" spans="1:12" x14ac:dyDescent="0.25">
      <c r="D26" s="19" t="s">
        <v>89</v>
      </c>
      <c r="E26" s="36"/>
      <c r="F26" s="25"/>
      <c r="G26" s="25"/>
      <c r="H26" s="37" t="s">
        <v>75</v>
      </c>
      <c r="I26" s="57"/>
      <c r="J26" s="25"/>
      <c r="K26" s="31" t="s">
        <v>78</v>
      </c>
      <c r="L26" s="38"/>
    </row>
    <row r="27" spans="1:12" ht="15.75" thickBot="1" x14ac:dyDescent="0.3">
      <c r="D27" s="21" t="s">
        <v>76</v>
      </c>
      <c r="E27" s="39"/>
      <c r="F27" s="40"/>
      <c r="G27" s="40"/>
      <c r="H27" s="51" t="s">
        <v>88</v>
      </c>
      <c r="I27" s="58"/>
      <c r="J27" s="40"/>
      <c r="K27" s="41" t="s">
        <v>79</v>
      </c>
      <c r="L27" s="42"/>
    </row>
    <row r="28" spans="1:12" x14ac:dyDescent="0.25">
      <c r="D28" s="33"/>
    </row>
  </sheetData>
  <sheetProtection algorithmName="SHA-512" hashValue="3BRuaVDh7dGIG2qosxQ4220o8fOgIak+IRUlqIb97K8g5y4S2RvG4j22yXuffTfJ7FH93YcmSGq1uFMxC9tuhw==" saltValue="WwKf0sAgm7DKnK68tP8AXw==" spinCount="100000" sheet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cp:lastPrinted>2016-02-12T15:33:09Z</cp:lastPrinted>
  <dcterms:created xsi:type="dcterms:W3CDTF">2016-01-13T02:06:12Z</dcterms:created>
  <dcterms:modified xsi:type="dcterms:W3CDTF">2018-12-09T03:36:57Z</dcterms:modified>
</cp:coreProperties>
</file>